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worksheets/sheet3.xml" ContentType="application/vnd.openxmlformats-officedocument.spreadsheetml.worksheet+xml"/>
  <Override PartName="/xl/externalLinks/externalLink3.xml" ContentType="application/vnd.openxmlformats-officedocument.spreadsheetml.externalLink+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Default Extension="emf" ContentType="image/x-emf"/>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Default Extension="gif" ContentType="image/gif"/>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drawings/drawing10.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45" windowWidth="12240" windowHeight="7995" firstSheet="19" activeTab="27"/>
  </bookViews>
  <sheets>
    <sheet name="EQT" sheetId="1" r:id="rId1"/>
    <sheet name="Sheet5" sheetId="15" r:id="rId2"/>
    <sheet name="ShMOON RISE" sheetId="3" r:id="rId3"/>
    <sheet name="Moon FQ" sheetId="13" r:id="rId4"/>
    <sheet name="Sheet2" sheetId="4" r:id="rId5"/>
    <sheet name="Moon LQ" sheetId="14" r:id="rId6"/>
    <sheet name="MEEUS" sheetId="5" r:id="rId7"/>
    <sheet name="eclipse nm" sheetId="17" r:id="rId8"/>
    <sheet name="sidereal" sheetId="6" r:id="rId9"/>
    <sheet name="D-1" sheetId="8" r:id="rId10"/>
    <sheet name="D+1" sheetId="10" r:id="rId11"/>
    <sheet name="moon form" sheetId="7" r:id="rId12"/>
    <sheet name="moon form 2" sheetId="11" r:id="rId13"/>
    <sheet name="moon Form 3" sheetId="16" r:id="rId14"/>
    <sheet name="M4" sheetId="24" r:id="rId15"/>
    <sheet name="m5" sheetId="26" r:id="rId16"/>
    <sheet name="Sheet1" sheetId="29" r:id="rId17"/>
    <sheet name="monn full" sheetId="12" r:id="rId18"/>
    <sheet name="Eclips-FM-C-day" sheetId="33" r:id="rId19"/>
    <sheet name="Moon new" sheetId="2" r:id="rId20"/>
    <sheet name="DyT" sheetId="31" r:id="rId21"/>
    <sheet name="Solar Eclips" sheetId="30" r:id="rId22"/>
    <sheet name="prigee-" sheetId="20" r:id="rId23"/>
    <sheet name="pr" sheetId="21" r:id="rId24"/>
    <sheet name="apogee" sheetId="19" r:id="rId25"/>
    <sheet name="parallex" sheetId="22" r:id="rId26"/>
    <sheet name="Eclipse FM" sheetId="18" r:id="rId27"/>
    <sheet name="Summary" sheetId="28" r:id="rId28"/>
    <sheet name="D" sheetId="9" r:id="rId29"/>
    <sheet name="Miladi" sheetId="39" r:id="rId30"/>
    <sheet name="Hijri" sheetId="34" r:id="rId31"/>
    <sheet name="DN" sheetId="35" r:id="rId32"/>
    <sheet name="day" sheetId="36" r:id="rId33"/>
    <sheet name="D-week" sheetId="38" r:id="rId34"/>
    <sheet name="Max-Dec" sheetId="40" r:id="rId35"/>
    <sheet name="node-Ac" sheetId="41" r:id="rId36"/>
    <sheet name="node-Dec" sheetId="42" r:id="rId37"/>
  </sheets>
  <externalReferences>
    <externalReference r:id="rId38"/>
    <externalReference r:id="rId39"/>
    <externalReference r:id="rId40"/>
  </externalReferences>
  <calcPr calcId="124519"/>
</workbook>
</file>

<file path=xl/calcChain.xml><?xml version="1.0" encoding="utf-8"?>
<calcChain xmlns="http://schemas.openxmlformats.org/spreadsheetml/2006/main">
  <c r="Z4" i="28"/>
  <c r="Y4"/>
  <c r="X4"/>
  <c r="T11"/>
  <c r="I4" i="9"/>
  <c r="H4"/>
  <c r="M4" i="42"/>
  <c r="L4"/>
  <c r="H4"/>
  <c r="M2"/>
  <c r="L2"/>
  <c r="K2"/>
  <c r="J2"/>
  <c r="I2"/>
  <c r="H2"/>
  <c r="G2"/>
  <c r="F2"/>
  <c r="E2"/>
  <c r="BH7" i="28"/>
  <c r="BH8"/>
  <c r="BH9"/>
  <c r="BH6"/>
  <c r="H4" i="41"/>
  <c r="L4"/>
  <c r="M4"/>
  <c r="E2"/>
  <c r="F2"/>
  <c r="G2"/>
  <c r="H2"/>
  <c r="I2"/>
  <c r="J2"/>
  <c r="K2"/>
  <c r="L2"/>
  <c r="M2"/>
  <c r="L4" i="9"/>
  <c r="M4"/>
  <c r="I121"/>
  <c r="I122"/>
  <c r="I123"/>
  <c r="I124"/>
  <c r="I125"/>
  <c r="I126"/>
  <c r="I127"/>
  <c r="I128"/>
  <c r="I130"/>
  <c r="I131"/>
  <c r="I137"/>
  <c r="I139"/>
  <c r="I141"/>
  <c r="I145"/>
  <c r="I146"/>
  <c r="I147"/>
  <c r="I148"/>
  <c r="I149"/>
  <c r="I150"/>
  <c r="I151"/>
  <c r="I152"/>
  <c r="I154"/>
  <c r="I155"/>
  <c r="I156"/>
  <c r="I157"/>
  <c r="I160"/>
  <c r="I163"/>
  <c r="I169"/>
  <c r="I172"/>
  <c r="I174"/>
  <c r="I175"/>
  <c r="I176"/>
  <c r="I120"/>
  <c r="I119"/>
  <c r="I57"/>
  <c r="I58"/>
  <c r="I59"/>
  <c r="I61"/>
  <c r="I62"/>
  <c r="I64"/>
  <c r="I67"/>
  <c r="I69"/>
  <c r="I70"/>
  <c r="I71"/>
  <c r="I72"/>
  <c r="I73"/>
  <c r="I74"/>
  <c r="I77"/>
  <c r="I80"/>
  <c r="I81"/>
  <c r="I82"/>
  <c r="I84"/>
  <c r="I86"/>
  <c r="I91"/>
  <c r="I92"/>
  <c r="I94"/>
  <c r="I95"/>
  <c r="I102"/>
  <c r="I103"/>
  <c r="I105"/>
  <c r="I107"/>
  <c r="I109"/>
  <c r="I110"/>
  <c r="I114"/>
  <c r="I115"/>
  <c r="I56"/>
  <c r="BD10" i="28"/>
  <c r="W7" i="40"/>
  <c r="AC3" i="28"/>
  <c r="K140" i="12" l="1"/>
  <c r="U6" i="35"/>
  <c r="F21" i="34"/>
  <c r="F13" i="39"/>
  <c r="F21"/>
  <c r="F14"/>
  <c r="G4"/>
  <c r="F27" s="1"/>
  <c r="G4" i="34"/>
  <c r="C6" i="38"/>
  <c r="W3" i="28"/>
  <c r="F14" i="34"/>
  <c r="J3" i="36"/>
  <c r="J3" i="42" s="1"/>
  <c r="K3" i="36"/>
  <c r="K3" i="42" s="1"/>
  <c r="L3" i="36"/>
  <c r="M3"/>
  <c r="I3"/>
  <c r="I3" i="42" s="1"/>
  <c r="G3" i="36"/>
  <c r="F3"/>
  <c r="E3"/>
  <c r="J21"/>
  <c r="I21"/>
  <c r="F21"/>
  <c r="E21"/>
  <c r="K20"/>
  <c r="K21" s="1"/>
  <c r="D6"/>
  <c r="E3" i="41" l="1"/>
  <c r="E3" i="42"/>
  <c r="G3" i="41"/>
  <c r="G3" i="42"/>
  <c r="M3" i="41"/>
  <c r="M3" i="42"/>
  <c r="F3" i="41"/>
  <c r="F3" i="42"/>
  <c r="L3" i="41"/>
  <c r="L3" i="42"/>
  <c r="I4" i="36"/>
  <c r="I3" i="41"/>
  <c r="J4" i="36"/>
  <c r="J3" i="41"/>
  <c r="K4" i="36"/>
  <c r="K3" i="41"/>
  <c r="H20" i="36"/>
  <c r="G21" s="1"/>
  <c r="F12" i="39"/>
  <c r="C12"/>
  <c r="C22"/>
  <c r="C20"/>
  <c r="C18"/>
  <c r="C16"/>
  <c r="C14"/>
  <c r="C23"/>
  <c r="C21"/>
  <c r="C19"/>
  <c r="C17"/>
  <c r="C15"/>
  <c r="C13"/>
  <c r="E4" i="36"/>
  <c r="E4" i="42" s="1"/>
  <c r="F4" i="36"/>
  <c r="E27"/>
  <c r="E28" s="1"/>
  <c r="H3" l="1"/>
  <c r="H3" i="42" s="1"/>
  <c r="K4" i="41"/>
  <c r="K4" i="42"/>
  <c r="J4" i="41"/>
  <c r="J4" i="42"/>
  <c r="I4" i="41"/>
  <c r="I4" i="42"/>
  <c r="F4" i="41"/>
  <c r="F4" i="42"/>
  <c r="E10" i="36"/>
  <c r="E10" i="42" s="1"/>
  <c r="E4" i="41"/>
  <c r="E29" i="36"/>
  <c r="G4" l="1"/>
  <c r="G4" i="41" s="1"/>
  <c r="H3"/>
  <c r="E11" i="36"/>
  <c r="E10" i="41"/>
  <c r="G4" i="42" l="1"/>
  <c r="E11" i="41"/>
  <c r="E11" i="42"/>
  <c r="E12" i="36"/>
  <c r="E12" i="41" l="1"/>
  <c r="E12" i="42"/>
  <c r="D6" i="38"/>
  <c r="D7" s="1"/>
  <c r="D43" l="1"/>
  <c r="D44" s="1"/>
  <c r="D45" s="1"/>
  <c r="D46" s="1"/>
  <c r="D47" s="1"/>
  <c r="D48" s="1"/>
  <c r="D49" s="1"/>
  <c r="E6" i="36" s="1"/>
  <c r="U11" i="28" s="1"/>
  <c r="D8" i="38"/>
  <c r="D11" s="1"/>
  <c r="D12" s="1"/>
  <c r="D13" s="1"/>
  <c r="D15" s="1"/>
  <c r="AY10" i="28" l="1"/>
  <c r="E6" i="42"/>
  <c r="E6" i="41"/>
  <c r="S3" i="28"/>
  <c r="D9" i="38"/>
  <c r="D16"/>
  <c r="D17" s="1"/>
  <c r="D18" s="1"/>
  <c r="D30" s="1"/>
  <c r="D38" l="1"/>
  <c r="D33"/>
  <c r="D39" s="1"/>
  <c r="D21"/>
  <c r="D22" l="1"/>
  <c r="D37" s="1"/>
  <c r="D23" l="1"/>
  <c r="D24" s="1"/>
  <c r="D8" i="35"/>
  <c r="D7"/>
  <c r="D6"/>
  <c r="D11" s="1"/>
  <c r="D12" s="1"/>
  <c r="F13" i="34"/>
  <c r="F25"/>
  <c r="F26" s="1"/>
  <c r="D25" i="38" l="1"/>
  <c r="D26" s="1"/>
  <c r="D27" s="1"/>
  <c r="D13" i="35"/>
  <c r="D14" s="1"/>
  <c r="D9" s="1"/>
  <c r="D15" s="1"/>
  <c r="F16" i="42" s="1"/>
  <c r="F17" s="1"/>
  <c r="F14" s="1"/>
  <c r="F18" s="1"/>
  <c r="K140" i="2"/>
  <c r="X6" i="28"/>
  <c r="X7"/>
  <c r="X8"/>
  <c r="X9"/>
  <c r="X10"/>
  <c r="X5"/>
  <c r="E68" i="30"/>
  <c r="AR6" i="28"/>
  <c r="G9" i="22"/>
  <c r="F15" i="42" l="1"/>
  <c r="F22" s="1"/>
  <c r="H28"/>
  <c r="D36" i="38"/>
  <c r="O20" i="20"/>
  <c r="F16" i="41"/>
  <c r="F17" s="1"/>
  <c r="F14" s="1"/>
  <c r="F18" s="1"/>
  <c r="F12" i="34"/>
  <c r="F23" s="1"/>
  <c r="F27" s="1"/>
  <c r="F28" s="1"/>
  <c r="K6" i="40"/>
  <c r="C6" i="33"/>
  <c r="F19" i="42" l="1"/>
  <c r="H44" s="1"/>
  <c r="H46"/>
  <c r="F24"/>
  <c r="H53" s="1"/>
  <c r="F20"/>
  <c r="F25"/>
  <c r="F23"/>
  <c r="H52" s="1"/>
  <c r="H31"/>
  <c r="H29"/>
  <c r="H30"/>
  <c r="F21"/>
  <c r="H28" i="41"/>
  <c r="K8" i="40"/>
  <c r="E60" i="30"/>
  <c r="E51"/>
  <c r="C14"/>
  <c r="C13"/>
  <c r="C12"/>
  <c r="C11"/>
  <c r="C10"/>
  <c r="C9"/>
  <c r="O29" i="20"/>
  <c r="O29" i="19"/>
  <c r="P4" i="9"/>
  <c r="O4"/>
  <c r="N4"/>
  <c r="K4"/>
  <c r="K5" s="1"/>
  <c r="G4"/>
  <c r="V20" i="28"/>
  <c r="V21"/>
  <c r="V19"/>
  <c r="K140" i="13"/>
  <c r="K140" i="14"/>
  <c r="H43" i="42" l="1"/>
  <c r="H39"/>
  <c r="H33"/>
  <c r="H35"/>
  <c r="H51"/>
  <c r="H40"/>
  <c r="H49"/>
  <c r="H41"/>
  <c r="H50"/>
  <c r="H48"/>
  <c r="H36"/>
  <c r="H45"/>
  <c r="H37"/>
  <c r="H42"/>
  <c r="H32"/>
  <c r="H38"/>
  <c r="H47"/>
  <c r="H34"/>
  <c r="K15" i="40"/>
  <c r="K16"/>
  <c r="K13"/>
  <c r="K14"/>
  <c r="K17"/>
  <c r="AY6" i="28"/>
  <c r="H6" i="35"/>
  <c r="U7" i="28" s="1"/>
  <c r="F29" i="34"/>
  <c r="F30" s="1"/>
  <c r="G5" i="9"/>
  <c r="H5"/>
  <c r="P3" i="26"/>
  <c r="O3"/>
  <c r="O4" s="1"/>
  <c r="N3"/>
  <c r="N4" s="1"/>
  <c r="M3"/>
  <c r="M4" s="1"/>
  <c r="K3"/>
  <c r="J3"/>
  <c r="I3"/>
  <c r="J79" i="7"/>
  <c r="P3" i="24"/>
  <c r="O3"/>
  <c r="O4" s="1"/>
  <c r="N3"/>
  <c r="N4" s="1"/>
  <c r="M3"/>
  <c r="M4" s="1"/>
  <c r="K3"/>
  <c r="J3"/>
  <c r="I3"/>
  <c r="F21" i="9"/>
  <c r="E21"/>
  <c r="F20"/>
  <c r="E20"/>
  <c r="F21" i="10"/>
  <c r="E21"/>
  <c r="F20"/>
  <c r="E20"/>
  <c r="F21" i="8"/>
  <c r="E21"/>
  <c r="F20"/>
  <c r="E20"/>
  <c r="H56" i="42" l="1"/>
  <c r="N59" s="1"/>
  <c r="O87" i="40"/>
  <c r="P87" s="1"/>
  <c r="P46"/>
  <c r="Q46" s="1"/>
  <c r="O106"/>
  <c r="P106" s="1"/>
  <c r="O102"/>
  <c r="P102" s="1"/>
  <c r="O97"/>
  <c r="P97" s="1"/>
  <c r="P40"/>
  <c r="Q40" s="1"/>
  <c r="P35"/>
  <c r="Q35" s="1"/>
  <c r="O105"/>
  <c r="P105" s="1"/>
  <c r="O83"/>
  <c r="P83" s="1"/>
  <c r="O100"/>
  <c r="P100" s="1"/>
  <c r="P38"/>
  <c r="Q38" s="1"/>
  <c r="O110"/>
  <c r="P110" s="1"/>
  <c r="O93"/>
  <c r="P93" s="1"/>
  <c r="P47"/>
  <c r="Q47" s="1"/>
  <c r="P39"/>
  <c r="Q39" s="1"/>
  <c r="O98"/>
  <c r="P98" s="1"/>
  <c r="O108"/>
  <c r="P108" s="1"/>
  <c r="O104"/>
  <c r="P104" s="1"/>
  <c r="O95"/>
  <c r="P95" s="1"/>
  <c r="P37"/>
  <c r="Q37" s="1"/>
  <c r="P45"/>
  <c r="Q45" s="1"/>
  <c r="O101"/>
  <c r="P101" s="1"/>
  <c r="O96"/>
  <c r="P96" s="1"/>
  <c r="O107"/>
  <c r="P107" s="1"/>
  <c r="O103"/>
  <c r="P103" s="1"/>
  <c r="O94"/>
  <c r="P94" s="1"/>
  <c r="O109"/>
  <c r="P109" s="1"/>
  <c r="O99"/>
  <c r="P99" s="1"/>
  <c r="P29"/>
  <c r="Q29" s="1"/>
  <c r="P48"/>
  <c r="Q48" s="1"/>
  <c r="P62"/>
  <c r="Q62" s="1"/>
  <c r="O77"/>
  <c r="P77" s="1"/>
  <c r="O75"/>
  <c r="P75" s="1"/>
  <c r="O82"/>
  <c r="P82" s="1"/>
  <c r="O74"/>
  <c r="P74" s="1"/>
  <c r="O88"/>
  <c r="P88" s="1"/>
  <c r="O85"/>
  <c r="P85" s="1"/>
  <c r="O78"/>
  <c r="P78" s="1"/>
  <c r="O79"/>
  <c r="P79" s="1"/>
  <c r="O76"/>
  <c r="P76" s="1"/>
  <c r="O92"/>
  <c r="P92" s="1"/>
  <c r="O84"/>
  <c r="P84" s="1"/>
  <c r="O80"/>
  <c r="P80" s="1"/>
  <c r="O89"/>
  <c r="P89" s="1"/>
  <c r="O81"/>
  <c r="P81" s="1"/>
  <c r="O90"/>
  <c r="P90" s="1"/>
  <c r="O86"/>
  <c r="P86" s="1"/>
  <c r="O91"/>
  <c r="P91" s="1"/>
  <c r="P63"/>
  <c r="Q63" s="1"/>
  <c r="P59"/>
  <c r="Q59" s="1"/>
  <c r="P55"/>
  <c r="Q55" s="1"/>
  <c r="P44"/>
  <c r="Q44" s="1"/>
  <c r="P42"/>
  <c r="Q42" s="1"/>
  <c r="P34"/>
  <c r="Q34" s="1"/>
  <c r="P32"/>
  <c r="Q32" s="1"/>
  <c r="P28"/>
  <c r="Q28" s="1"/>
  <c r="P61"/>
  <c r="Q61" s="1"/>
  <c r="P60"/>
  <c r="Q60" s="1"/>
  <c r="P56"/>
  <c r="Q56" s="1"/>
  <c r="P51"/>
  <c r="Q51" s="1"/>
  <c r="P33"/>
  <c r="Q33" s="1"/>
  <c r="P25"/>
  <c r="Q25" s="1"/>
  <c r="P65"/>
  <c r="Q65" s="1"/>
  <c r="P57"/>
  <c r="Q57" s="1"/>
  <c r="P53"/>
  <c r="Q53" s="1"/>
  <c r="P50"/>
  <c r="Q50" s="1"/>
  <c r="P36"/>
  <c r="Q36" s="1"/>
  <c r="P26"/>
  <c r="Q26" s="1"/>
  <c r="P64"/>
  <c r="Q64" s="1"/>
  <c r="P58"/>
  <c r="Q58" s="1"/>
  <c r="P54"/>
  <c r="Q54" s="1"/>
  <c r="P49"/>
  <c r="Q49" s="1"/>
  <c r="P41"/>
  <c r="Q41" s="1"/>
  <c r="P31"/>
  <c r="Q31" s="1"/>
  <c r="P27"/>
  <c r="Q27" s="1"/>
  <c r="P23"/>
  <c r="Q23" s="1"/>
  <c r="P30"/>
  <c r="Q30" s="1"/>
  <c r="P24"/>
  <c r="Q24" s="1"/>
  <c r="P22"/>
  <c r="Q22" s="1"/>
  <c r="P52"/>
  <c r="Q52" s="1"/>
  <c r="P43"/>
  <c r="Q43" s="1"/>
  <c r="F31" i="34"/>
  <c r="F32" s="1"/>
  <c r="K6" i="35"/>
  <c r="I4" i="26"/>
  <c r="J4"/>
  <c r="I4" i="24"/>
  <c r="J4"/>
  <c r="C39" i="22"/>
  <c r="M41" i="19"/>
  <c r="N30"/>
  <c r="O30" s="1"/>
  <c r="N23"/>
  <c r="C3"/>
  <c r="B40" i="22" s="1"/>
  <c r="C4" i="19"/>
  <c r="B41" i="22" s="1"/>
  <c r="C5" i="19"/>
  <c r="B42" i="22" s="1"/>
  <c r="C7" i="19"/>
  <c r="B44" i="22" s="1"/>
  <c r="C11" i="19"/>
  <c r="B48" i="22" s="1"/>
  <c r="C12" i="19"/>
  <c r="B49" i="22" s="1"/>
  <c r="C10" i="19"/>
  <c r="B47" i="22" s="1"/>
  <c r="H9"/>
  <c r="F9" s="1"/>
  <c r="H45"/>
  <c r="G45" s="1"/>
  <c r="C9" i="21"/>
  <c r="C10"/>
  <c r="C2"/>
  <c r="C6" i="22" s="1"/>
  <c r="C3" i="21"/>
  <c r="C7" i="22" s="1"/>
  <c r="C5" i="21"/>
  <c r="C9" i="22" s="1"/>
  <c r="C8" i="21"/>
  <c r="C1"/>
  <c r="C5" i="22" s="1"/>
  <c r="N23" i="20"/>
  <c r="M20" s="1"/>
  <c r="M41"/>
  <c r="N30"/>
  <c r="E60" i="18"/>
  <c r="E51"/>
  <c r="C14"/>
  <c r="C13"/>
  <c r="C12"/>
  <c r="C11"/>
  <c r="C10"/>
  <c r="C9"/>
  <c r="J3" i="2"/>
  <c r="J133" i="13" s="1"/>
  <c r="I3" i="2"/>
  <c r="J132" i="12" s="1"/>
  <c r="E60" i="17"/>
  <c r="E51"/>
  <c r="C10"/>
  <c r="C11"/>
  <c r="C12"/>
  <c r="C13"/>
  <c r="C14"/>
  <c r="C9"/>
  <c r="K52" i="2"/>
  <c r="K60"/>
  <c r="P3" i="16"/>
  <c r="O3"/>
  <c r="O4" s="1"/>
  <c r="N3"/>
  <c r="N4" s="1"/>
  <c r="M3"/>
  <c r="M4" s="1"/>
  <c r="K3"/>
  <c r="J3"/>
  <c r="J4" s="1"/>
  <c r="I3"/>
  <c r="N60" i="42" l="1"/>
  <c r="N96"/>
  <c r="N97" s="1"/>
  <c r="N98" s="1"/>
  <c r="N99" s="1"/>
  <c r="N100" s="1"/>
  <c r="N101" s="1"/>
  <c r="N102" s="1"/>
  <c r="Q66" i="40"/>
  <c r="K21" s="1"/>
  <c r="X7" s="1"/>
  <c r="P111"/>
  <c r="K23" s="1"/>
  <c r="AY7" i="28"/>
  <c r="J32" i="34"/>
  <c r="F33"/>
  <c r="F34" s="1"/>
  <c r="J30"/>
  <c r="N31" i="20"/>
  <c r="O31" s="1"/>
  <c r="O30"/>
  <c r="N31" i="19"/>
  <c r="O31" s="1"/>
  <c r="N32" i="20"/>
  <c r="O32" s="1"/>
  <c r="J132" i="13"/>
  <c r="J132" i="14"/>
  <c r="I4" i="16"/>
  <c r="J133" i="2"/>
  <c r="J133" i="12" s="1"/>
  <c r="L29" i="19" s="1"/>
  <c r="N24" s="1"/>
  <c r="J132" i="2"/>
  <c r="H140" i="13"/>
  <c r="I152"/>
  <c r="J141"/>
  <c r="K141" s="1"/>
  <c r="I152" i="14"/>
  <c r="J141"/>
  <c r="K141" s="1"/>
  <c r="I152" i="2"/>
  <c r="J141"/>
  <c r="K141" s="1"/>
  <c r="J141" i="12"/>
  <c r="K141" s="1"/>
  <c r="I152"/>
  <c r="M124" i="14"/>
  <c r="N113"/>
  <c r="N114" s="1"/>
  <c r="O112"/>
  <c r="N21"/>
  <c r="P20"/>
  <c r="O20"/>
  <c r="N19"/>
  <c r="N21" i="12"/>
  <c r="P20"/>
  <c r="O20"/>
  <c r="N19"/>
  <c r="M124" i="2"/>
  <c r="N113"/>
  <c r="N114" s="1"/>
  <c r="O112"/>
  <c r="N21"/>
  <c r="P20"/>
  <c r="O20"/>
  <c r="N19"/>
  <c r="M124" i="13"/>
  <c r="N113"/>
  <c r="N114" s="1"/>
  <c r="O112"/>
  <c r="P3" i="11"/>
  <c r="O3"/>
  <c r="O4" s="1"/>
  <c r="N3"/>
  <c r="N4" s="1"/>
  <c r="M3"/>
  <c r="M4" s="1"/>
  <c r="K3"/>
  <c r="J3"/>
  <c r="J4" s="1"/>
  <c r="I3"/>
  <c r="Q3" i="26"/>
  <c r="I20" i="5"/>
  <c r="I21" s="1"/>
  <c r="P3" i="7"/>
  <c r="M3"/>
  <c r="M4" s="1"/>
  <c r="I4" i="5"/>
  <c r="G3"/>
  <c r="F3"/>
  <c r="F4" s="1"/>
  <c r="E3"/>
  <c r="C6" i="31" s="1"/>
  <c r="K20" i="5"/>
  <c r="K21" s="1"/>
  <c r="J20"/>
  <c r="J21" s="1"/>
  <c r="G20"/>
  <c r="F20"/>
  <c r="F21" s="1"/>
  <c r="E20"/>
  <c r="H4" i="10"/>
  <c r="H5" s="1"/>
  <c r="G4"/>
  <c r="H4" i="8"/>
  <c r="G4"/>
  <c r="I3" i="7"/>
  <c r="J3"/>
  <c r="J4" s="1"/>
  <c r="K3"/>
  <c r="N3"/>
  <c r="N4" s="1"/>
  <c r="O3"/>
  <c r="O4" s="1"/>
  <c r="I4" i="10"/>
  <c r="I4" i="8"/>
  <c r="O186" i="10"/>
  <c r="N178"/>
  <c r="M178"/>
  <c r="L178"/>
  <c r="K178"/>
  <c r="N177"/>
  <c r="M177"/>
  <c r="L177"/>
  <c r="K177"/>
  <c r="N176"/>
  <c r="M176"/>
  <c r="L176"/>
  <c r="K176"/>
  <c r="N175"/>
  <c r="M175"/>
  <c r="L175"/>
  <c r="K175"/>
  <c r="N174"/>
  <c r="M174"/>
  <c r="L174"/>
  <c r="K174"/>
  <c r="N173"/>
  <c r="M173"/>
  <c r="L173"/>
  <c r="K173"/>
  <c r="N172"/>
  <c r="M172"/>
  <c r="L172"/>
  <c r="K172"/>
  <c r="N171"/>
  <c r="M171"/>
  <c r="L171"/>
  <c r="K171"/>
  <c r="N170"/>
  <c r="M170"/>
  <c r="L170"/>
  <c r="K170"/>
  <c r="N169"/>
  <c r="M169"/>
  <c r="L169"/>
  <c r="K169"/>
  <c r="N168"/>
  <c r="M168"/>
  <c r="L168"/>
  <c r="K168"/>
  <c r="N167"/>
  <c r="M167"/>
  <c r="L167"/>
  <c r="K167"/>
  <c r="N166"/>
  <c r="M166"/>
  <c r="L166"/>
  <c r="K166"/>
  <c r="N165"/>
  <c r="M165"/>
  <c r="L165"/>
  <c r="K165"/>
  <c r="N164"/>
  <c r="M164"/>
  <c r="L164"/>
  <c r="K164"/>
  <c r="N163"/>
  <c r="M163"/>
  <c r="L163"/>
  <c r="K163"/>
  <c r="N162"/>
  <c r="M162"/>
  <c r="L162"/>
  <c r="K162"/>
  <c r="N161"/>
  <c r="M161"/>
  <c r="L161"/>
  <c r="K161"/>
  <c r="N160"/>
  <c r="M160"/>
  <c r="L160"/>
  <c r="K160"/>
  <c r="I160"/>
  <c r="N159"/>
  <c r="M159"/>
  <c r="L159"/>
  <c r="K159"/>
  <c r="N158"/>
  <c r="M158"/>
  <c r="L158"/>
  <c r="K158"/>
  <c r="N157"/>
  <c r="M157"/>
  <c r="L157"/>
  <c r="K157"/>
  <c r="I157"/>
  <c r="N156"/>
  <c r="M156"/>
  <c r="L156"/>
  <c r="K156"/>
  <c r="N155"/>
  <c r="M155"/>
  <c r="L155"/>
  <c r="K155"/>
  <c r="I155"/>
  <c r="N154"/>
  <c r="M154"/>
  <c r="L154"/>
  <c r="K154"/>
  <c r="N153"/>
  <c r="M153"/>
  <c r="L153"/>
  <c r="K153"/>
  <c r="N152"/>
  <c r="M152"/>
  <c r="L152"/>
  <c r="K152"/>
  <c r="N151"/>
  <c r="M151"/>
  <c r="L151"/>
  <c r="K151"/>
  <c r="I151"/>
  <c r="N150"/>
  <c r="M150"/>
  <c r="L150"/>
  <c r="K150"/>
  <c r="N149"/>
  <c r="M149"/>
  <c r="L149"/>
  <c r="K149"/>
  <c r="N148"/>
  <c r="M148"/>
  <c r="L148"/>
  <c r="K148"/>
  <c r="N147"/>
  <c r="M147"/>
  <c r="L147"/>
  <c r="K147"/>
  <c r="I147"/>
  <c r="N146"/>
  <c r="M146"/>
  <c r="L146"/>
  <c r="K146"/>
  <c r="I146"/>
  <c r="N145"/>
  <c r="M145"/>
  <c r="L145"/>
  <c r="K145"/>
  <c r="I145"/>
  <c r="N144"/>
  <c r="M144"/>
  <c r="L144"/>
  <c r="K144"/>
  <c r="N143"/>
  <c r="M143"/>
  <c r="L143"/>
  <c r="K143"/>
  <c r="N142"/>
  <c r="M142"/>
  <c r="L142"/>
  <c r="K142"/>
  <c r="N141"/>
  <c r="M141"/>
  <c r="L141"/>
  <c r="K141"/>
  <c r="I141"/>
  <c r="N140"/>
  <c r="M140"/>
  <c r="L140"/>
  <c r="K140"/>
  <c r="N139"/>
  <c r="M139"/>
  <c r="L139"/>
  <c r="K139"/>
  <c r="I139"/>
  <c r="N138"/>
  <c r="M138"/>
  <c r="L138"/>
  <c r="K138"/>
  <c r="N137"/>
  <c r="M137"/>
  <c r="L137"/>
  <c r="K137"/>
  <c r="N136"/>
  <c r="M136"/>
  <c r="L136"/>
  <c r="K136"/>
  <c r="N135"/>
  <c r="M135"/>
  <c r="L135"/>
  <c r="K135"/>
  <c r="N134"/>
  <c r="M134"/>
  <c r="L134"/>
  <c r="K134"/>
  <c r="N133"/>
  <c r="M133"/>
  <c r="L133"/>
  <c r="K133"/>
  <c r="N132"/>
  <c r="M132"/>
  <c r="L132"/>
  <c r="K132"/>
  <c r="N131"/>
  <c r="M131"/>
  <c r="L131"/>
  <c r="K131"/>
  <c r="N130"/>
  <c r="M130"/>
  <c r="L130"/>
  <c r="K130"/>
  <c r="N129"/>
  <c r="M129"/>
  <c r="L129"/>
  <c r="K129"/>
  <c r="N128"/>
  <c r="M128"/>
  <c r="L128"/>
  <c r="K128"/>
  <c r="N127"/>
  <c r="M127"/>
  <c r="L127"/>
  <c r="K127"/>
  <c r="N126"/>
  <c r="M126"/>
  <c r="L126"/>
  <c r="K126"/>
  <c r="N125"/>
  <c r="M125"/>
  <c r="L125"/>
  <c r="K125"/>
  <c r="I125"/>
  <c r="N124"/>
  <c r="M124"/>
  <c r="L124"/>
  <c r="K124"/>
  <c r="N123"/>
  <c r="M123"/>
  <c r="L123"/>
  <c r="K123"/>
  <c r="N122"/>
  <c r="M122"/>
  <c r="L122"/>
  <c r="K122"/>
  <c r="I122"/>
  <c r="N121"/>
  <c r="M121"/>
  <c r="L121"/>
  <c r="K121"/>
  <c r="N120"/>
  <c r="M120"/>
  <c r="L120"/>
  <c r="K120"/>
  <c r="N119"/>
  <c r="M119"/>
  <c r="L119"/>
  <c r="K119"/>
  <c r="I119"/>
  <c r="N115"/>
  <c r="M115"/>
  <c r="L115"/>
  <c r="K115"/>
  <c r="N114"/>
  <c r="M114"/>
  <c r="L114"/>
  <c r="K114"/>
  <c r="I114"/>
  <c r="N113"/>
  <c r="M113"/>
  <c r="L113"/>
  <c r="K113"/>
  <c r="N112"/>
  <c r="M112"/>
  <c r="L112"/>
  <c r="K112"/>
  <c r="N111"/>
  <c r="M111"/>
  <c r="L111"/>
  <c r="K111"/>
  <c r="N110"/>
  <c r="M110"/>
  <c r="L110"/>
  <c r="K110"/>
  <c r="I110"/>
  <c r="N109"/>
  <c r="M109"/>
  <c r="L109"/>
  <c r="K109"/>
  <c r="N108"/>
  <c r="M108"/>
  <c r="L108"/>
  <c r="K108"/>
  <c r="N107"/>
  <c r="M107"/>
  <c r="L107"/>
  <c r="K107"/>
  <c r="N106"/>
  <c r="M106"/>
  <c r="L106"/>
  <c r="K106"/>
  <c r="N105"/>
  <c r="M105"/>
  <c r="L105"/>
  <c r="K105"/>
  <c r="N104"/>
  <c r="M104"/>
  <c r="L104"/>
  <c r="K104"/>
  <c r="N103"/>
  <c r="M103"/>
  <c r="L103"/>
  <c r="K103"/>
  <c r="I103"/>
  <c r="N102"/>
  <c r="M102"/>
  <c r="L102"/>
  <c r="K102"/>
  <c r="N101"/>
  <c r="M101"/>
  <c r="L101"/>
  <c r="K101"/>
  <c r="N100"/>
  <c r="M100"/>
  <c r="L100"/>
  <c r="K100"/>
  <c r="N99"/>
  <c r="M99"/>
  <c r="L99"/>
  <c r="K99"/>
  <c r="N98"/>
  <c r="M98"/>
  <c r="L98"/>
  <c r="K98"/>
  <c r="N97"/>
  <c r="M97"/>
  <c r="L97"/>
  <c r="K97"/>
  <c r="N96"/>
  <c r="M96"/>
  <c r="L96"/>
  <c r="K96"/>
  <c r="N95"/>
  <c r="M95"/>
  <c r="L95"/>
  <c r="K95"/>
  <c r="N94"/>
  <c r="M94"/>
  <c r="L94"/>
  <c r="K94"/>
  <c r="N93"/>
  <c r="M93"/>
  <c r="L93"/>
  <c r="K93"/>
  <c r="N92"/>
  <c r="M92"/>
  <c r="L92"/>
  <c r="K92"/>
  <c r="I92"/>
  <c r="N91"/>
  <c r="M91"/>
  <c r="L91"/>
  <c r="K91"/>
  <c r="N90"/>
  <c r="M90"/>
  <c r="L90"/>
  <c r="K90"/>
  <c r="N89"/>
  <c r="M89"/>
  <c r="L89"/>
  <c r="K89"/>
  <c r="N88"/>
  <c r="M88"/>
  <c r="L88"/>
  <c r="K88"/>
  <c r="N87"/>
  <c r="M87"/>
  <c r="L87"/>
  <c r="K87"/>
  <c r="N86"/>
  <c r="M86"/>
  <c r="L86"/>
  <c r="K86"/>
  <c r="N85"/>
  <c r="M85"/>
  <c r="L85"/>
  <c r="K85"/>
  <c r="N84"/>
  <c r="M84"/>
  <c r="L84"/>
  <c r="K84"/>
  <c r="N83"/>
  <c r="M83"/>
  <c r="L83"/>
  <c r="K83"/>
  <c r="N82"/>
  <c r="M82"/>
  <c r="L82"/>
  <c r="K82"/>
  <c r="I82"/>
  <c r="N81"/>
  <c r="M81"/>
  <c r="L81"/>
  <c r="K81"/>
  <c r="I81"/>
  <c r="N80"/>
  <c r="M80"/>
  <c r="L80"/>
  <c r="K80"/>
  <c r="N79"/>
  <c r="M79"/>
  <c r="L79"/>
  <c r="K79"/>
  <c r="N78"/>
  <c r="M78"/>
  <c r="L78"/>
  <c r="K78"/>
  <c r="N77"/>
  <c r="M77"/>
  <c r="L77"/>
  <c r="K77"/>
  <c r="N76"/>
  <c r="M76"/>
  <c r="L76"/>
  <c r="K76"/>
  <c r="N75"/>
  <c r="M75"/>
  <c r="L75"/>
  <c r="K75"/>
  <c r="N74"/>
  <c r="M74"/>
  <c r="L74"/>
  <c r="K74"/>
  <c r="N73"/>
  <c r="M73"/>
  <c r="L73"/>
  <c r="K73"/>
  <c r="I73"/>
  <c r="N72"/>
  <c r="M72"/>
  <c r="L72"/>
  <c r="K72"/>
  <c r="N71"/>
  <c r="M71"/>
  <c r="L71"/>
  <c r="K71"/>
  <c r="N70"/>
  <c r="M70"/>
  <c r="L70"/>
  <c r="K70"/>
  <c r="N69"/>
  <c r="M69"/>
  <c r="L69"/>
  <c r="K69"/>
  <c r="I69"/>
  <c r="N68"/>
  <c r="M68"/>
  <c r="L68"/>
  <c r="K68"/>
  <c r="N67"/>
  <c r="M67"/>
  <c r="L67"/>
  <c r="K67"/>
  <c r="I67"/>
  <c r="N66"/>
  <c r="M66"/>
  <c r="L66"/>
  <c r="K66"/>
  <c r="N65"/>
  <c r="M65"/>
  <c r="L65"/>
  <c r="K65"/>
  <c r="N64"/>
  <c r="M64"/>
  <c r="L64"/>
  <c r="K64"/>
  <c r="N63"/>
  <c r="M63"/>
  <c r="L63"/>
  <c r="K63"/>
  <c r="N62"/>
  <c r="M62"/>
  <c r="L62"/>
  <c r="K62"/>
  <c r="N61"/>
  <c r="M61"/>
  <c r="L61"/>
  <c r="K61"/>
  <c r="I61"/>
  <c r="N60"/>
  <c r="M60"/>
  <c r="L60"/>
  <c r="K60"/>
  <c r="N59"/>
  <c r="M59"/>
  <c r="L59"/>
  <c r="K59"/>
  <c r="N58"/>
  <c r="M58"/>
  <c r="L58"/>
  <c r="K58"/>
  <c r="I58"/>
  <c r="N57"/>
  <c r="M57"/>
  <c r="L57"/>
  <c r="K57"/>
  <c r="N56"/>
  <c r="M56"/>
  <c r="L56"/>
  <c r="K56"/>
  <c r="M5"/>
  <c r="L5"/>
  <c r="K5"/>
  <c r="O186" i="9"/>
  <c r="N178"/>
  <c r="M178"/>
  <c r="L178"/>
  <c r="K178"/>
  <c r="N177"/>
  <c r="M177"/>
  <c r="L177"/>
  <c r="K177"/>
  <c r="N176"/>
  <c r="M176"/>
  <c r="L176"/>
  <c r="K176"/>
  <c r="N175"/>
  <c r="M175"/>
  <c r="L175"/>
  <c r="K175"/>
  <c r="N174"/>
  <c r="M174"/>
  <c r="L174"/>
  <c r="K174"/>
  <c r="N173"/>
  <c r="M173"/>
  <c r="L173"/>
  <c r="K173"/>
  <c r="N172"/>
  <c r="M172"/>
  <c r="L172"/>
  <c r="K172"/>
  <c r="N171"/>
  <c r="M171"/>
  <c r="L171"/>
  <c r="K171"/>
  <c r="N170"/>
  <c r="M170"/>
  <c r="L170"/>
  <c r="K170"/>
  <c r="N169"/>
  <c r="M169"/>
  <c r="L169"/>
  <c r="K169"/>
  <c r="N168"/>
  <c r="M168"/>
  <c r="L168"/>
  <c r="K168"/>
  <c r="N167"/>
  <c r="M167"/>
  <c r="L167"/>
  <c r="K167"/>
  <c r="N166"/>
  <c r="M166"/>
  <c r="L166"/>
  <c r="K166"/>
  <c r="N165"/>
  <c r="M165"/>
  <c r="L165"/>
  <c r="K165"/>
  <c r="N164"/>
  <c r="M164"/>
  <c r="L164"/>
  <c r="K164"/>
  <c r="N163"/>
  <c r="M163"/>
  <c r="L163"/>
  <c r="K163"/>
  <c r="N162"/>
  <c r="M162"/>
  <c r="L162"/>
  <c r="K162"/>
  <c r="N161"/>
  <c r="M161"/>
  <c r="L161"/>
  <c r="K161"/>
  <c r="N160"/>
  <c r="M160"/>
  <c r="L160"/>
  <c r="K160"/>
  <c r="N159"/>
  <c r="M159"/>
  <c r="L159"/>
  <c r="K159"/>
  <c r="N158"/>
  <c r="M158"/>
  <c r="L158"/>
  <c r="K158"/>
  <c r="N157"/>
  <c r="M157"/>
  <c r="L157"/>
  <c r="K157"/>
  <c r="N156"/>
  <c r="M156"/>
  <c r="L156"/>
  <c r="K156"/>
  <c r="N155"/>
  <c r="M155"/>
  <c r="L155"/>
  <c r="K155"/>
  <c r="N154"/>
  <c r="M154"/>
  <c r="L154"/>
  <c r="K154"/>
  <c r="N153"/>
  <c r="M153"/>
  <c r="L153"/>
  <c r="K153"/>
  <c r="N152"/>
  <c r="M152"/>
  <c r="L152"/>
  <c r="K152"/>
  <c r="N151"/>
  <c r="M151"/>
  <c r="L151"/>
  <c r="K151"/>
  <c r="N150"/>
  <c r="M150"/>
  <c r="L150"/>
  <c r="K150"/>
  <c r="N149"/>
  <c r="M149"/>
  <c r="L149"/>
  <c r="K149"/>
  <c r="N148"/>
  <c r="M148"/>
  <c r="L148"/>
  <c r="K148"/>
  <c r="N147"/>
  <c r="M147"/>
  <c r="L147"/>
  <c r="K147"/>
  <c r="N146"/>
  <c r="M146"/>
  <c r="L146"/>
  <c r="K146"/>
  <c r="N145"/>
  <c r="M145"/>
  <c r="L145"/>
  <c r="K145"/>
  <c r="N144"/>
  <c r="M144"/>
  <c r="L144"/>
  <c r="K144"/>
  <c r="N143"/>
  <c r="M143"/>
  <c r="L143"/>
  <c r="K143"/>
  <c r="N142"/>
  <c r="M142"/>
  <c r="L142"/>
  <c r="K142"/>
  <c r="N141"/>
  <c r="M141"/>
  <c r="L141"/>
  <c r="K141"/>
  <c r="N140"/>
  <c r="M140"/>
  <c r="L140"/>
  <c r="K140"/>
  <c r="N139"/>
  <c r="M139"/>
  <c r="L139"/>
  <c r="K139"/>
  <c r="N138"/>
  <c r="M138"/>
  <c r="L138"/>
  <c r="K138"/>
  <c r="N137"/>
  <c r="M137"/>
  <c r="L137"/>
  <c r="K137"/>
  <c r="N136"/>
  <c r="M136"/>
  <c r="L136"/>
  <c r="K136"/>
  <c r="N135"/>
  <c r="M135"/>
  <c r="L135"/>
  <c r="K135"/>
  <c r="N134"/>
  <c r="M134"/>
  <c r="L134"/>
  <c r="K134"/>
  <c r="N133"/>
  <c r="M133"/>
  <c r="L133"/>
  <c r="K133"/>
  <c r="N132"/>
  <c r="M132"/>
  <c r="L132"/>
  <c r="K132"/>
  <c r="N131"/>
  <c r="M131"/>
  <c r="L131"/>
  <c r="K131"/>
  <c r="N130"/>
  <c r="M130"/>
  <c r="L130"/>
  <c r="K130"/>
  <c r="N129"/>
  <c r="M129"/>
  <c r="L129"/>
  <c r="K129"/>
  <c r="N128"/>
  <c r="M128"/>
  <c r="L128"/>
  <c r="K128"/>
  <c r="N127"/>
  <c r="M127"/>
  <c r="L127"/>
  <c r="K127"/>
  <c r="N126"/>
  <c r="M126"/>
  <c r="L126"/>
  <c r="K126"/>
  <c r="N125"/>
  <c r="M125"/>
  <c r="L125"/>
  <c r="K125"/>
  <c r="N124"/>
  <c r="M124"/>
  <c r="L124"/>
  <c r="K124"/>
  <c r="N123"/>
  <c r="M123"/>
  <c r="L123"/>
  <c r="K123"/>
  <c r="N122"/>
  <c r="M122"/>
  <c r="L122"/>
  <c r="K122"/>
  <c r="N121"/>
  <c r="M121"/>
  <c r="L121"/>
  <c r="K121"/>
  <c r="N120"/>
  <c r="M120"/>
  <c r="L120"/>
  <c r="K120"/>
  <c r="N119"/>
  <c r="M119"/>
  <c r="L119"/>
  <c r="K119"/>
  <c r="N115"/>
  <c r="M115"/>
  <c r="L115"/>
  <c r="K115"/>
  <c r="N114"/>
  <c r="M114"/>
  <c r="L114"/>
  <c r="K114"/>
  <c r="N113"/>
  <c r="M113"/>
  <c r="L113"/>
  <c r="K113"/>
  <c r="N112"/>
  <c r="M112"/>
  <c r="L112"/>
  <c r="K112"/>
  <c r="N111"/>
  <c r="M111"/>
  <c r="L111"/>
  <c r="K111"/>
  <c r="N110"/>
  <c r="M110"/>
  <c r="L110"/>
  <c r="K110"/>
  <c r="N109"/>
  <c r="M109"/>
  <c r="L109"/>
  <c r="K109"/>
  <c r="N108"/>
  <c r="M108"/>
  <c r="L108"/>
  <c r="K108"/>
  <c r="N107"/>
  <c r="M107"/>
  <c r="L107"/>
  <c r="K107"/>
  <c r="N106"/>
  <c r="M106"/>
  <c r="L106"/>
  <c r="K106"/>
  <c r="N105"/>
  <c r="M105"/>
  <c r="L105"/>
  <c r="K105"/>
  <c r="N104"/>
  <c r="M104"/>
  <c r="L104"/>
  <c r="K104"/>
  <c r="N103"/>
  <c r="M103"/>
  <c r="L103"/>
  <c r="K103"/>
  <c r="N102"/>
  <c r="M102"/>
  <c r="L102"/>
  <c r="K102"/>
  <c r="N101"/>
  <c r="M101"/>
  <c r="L101"/>
  <c r="K101"/>
  <c r="N100"/>
  <c r="M100"/>
  <c r="L100"/>
  <c r="K100"/>
  <c r="N99"/>
  <c r="M99"/>
  <c r="L99"/>
  <c r="K99"/>
  <c r="N98"/>
  <c r="M98"/>
  <c r="L98"/>
  <c r="K98"/>
  <c r="N97"/>
  <c r="M97"/>
  <c r="L97"/>
  <c r="K97"/>
  <c r="N96"/>
  <c r="M96"/>
  <c r="L96"/>
  <c r="K96"/>
  <c r="N95"/>
  <c r="M95"/>
  <c r="L95"/>
  <c r="K95"/>
  <c r="N94"/>
  <c r="M94"/>
  <c r="L94"/>
  <c r="K94"/>
  <c r="N93"/>
  <c r="M93"/>
  <c r="L93"/>
  <c r="K93"/>
  <c r="N92"/>
  <c r="M92"/>
  <c r="L92"/>
  <c r="K92"/>
  <c r="N91"/>
  <c r="M91"/>
  <c r="L91"/>
  <c r="K91"/>
  <c r="N90"/>
  <c r="M90"/>
  <c r="L90"/>
  <c r="K90"/>
  <c r="N89"/>
  <c r="M89"/>
  <c r="L89"/>
  <c r="K89"/>
  <c r="N88"/>
  <c r="M88"/>
  <c r="L88"/>
  <c r="K88"/>
  <c r="N87"/>
  <c r="M87"/>
  <c r="L87"/>
  <c r="K87"/>
  <c r="N86"/>
  <c r="M86"/>
  <c r="L86"/>
  <c r="K86"/>
  <c r="N85"/>
  <c r="M85"/>
  <c r="L85"/>
  <c r="K85"/>
  <c r="N84"/>
  <c r="M84"/>
  <c r="L84"/>
  <c r="K84"/>
  <c r="N83"/>
  <c r="M83"/>
  <c r="L83"/>
  <c r="K83"/>
  <c r="N82"/>
  <c r="M82"/>
  <c r="L82"/>
  <c r="K82"/>
  <c r="N81"/>
  <c r="M81"/>
  <c r="L81"/>
  <c r="K81"/>
  <c r="N80"/>
  <c r="M80"/>
  <c r="L80"/>
  <c r="K80"/>
  <c r="N79"/>
  <c r="M79"/>
  <c r="L79"/>
  <c r="K79"/>
  <c r="N78"/>
  <c r="M78"/>
  <c r="L78"/>
  <c r="K78"/>
  <c r="N77"/>
  <c r="M77"/>
  <c r="L77"/>
  <c r="K77"/>
  <c r="N76"/>
  <c r="M76"/>
  <c r="L76"/>
  <c r="K76"/>
  <c r="N75"/>
  <c r="M75"/>
  <c r="L75"/>
  <c r="K75"/>
  <c r="N74"/>
  <c r="M74"/>
  <c r="L74"/>
  <c r="K74"/>
  <c r="N73"/>
  <c r="M73"/>
  <c r="L73"/>
  <c r="K73"/>
  <c r="N72"/>
  <c r="M72"/>
  <c r="L72"/>
  <c r="K72"/>
  <c r="N71"/>
  <c r="M71"/>
  <c r="L71"/>
  <c r="K71"/>
  <c r="N70"/>
  <c r="M70"/>
  <c r="L70"/>
  <c r="K70"/>
  <c r="N69"/>
  <c r="M69"/>
  <c r="L69"/>
  <c r="K69"/>
  <c r="N68"/>
  <c r="M68"/>
  <c r="L68"/>
  <c r="K68"/>
  <c r="N67"/>
  <c r="M67"/>
  <c r="L67"/>
  <c r="K67"/>
  <c r="N66"/>
  <c r="M66"/>
  <c r="L66"/>
  <c r="K66"/>
  <c r="N65"/>
  <c r="M65"/>
  <c r="L65"/>
  <c r="K65"/>
  <c r="N64"/>
  <c r="M64"/>
  <c r="L64"/>
  <c r="K64"/>
  <c r="N63"/>
  <c r="M63"/>
  <c r="L63"/>
  <c r="K63"/>
  <c r="N62"/>
  <c r="M62"/>
  <c r="L62"/>
  <c r="K62"/>
  <c r="N61"/>
  <c r="M61"/>
  <c r="L61"/>
  <c r="K61"/>
  <c r="N60"/>
  <c r="M60"/>
  <c r="L60"/>
  <c r="K60"/>
  <c r="N59"/>
  <c r="M59"/>
  <c r="L59"/>
  <c r="K59"/>
  <c r="N58"/>
  <c r="M58"/>
  <c r="L58"/>
  <c r="K58"/>
  <c r="N57"/>
  <c r="M57"/>
  <c r="L57"/>
  <c r="K57"/>
  <c r="N56"/>
  <c r="M56"/>
  <c r="L56"/>
  <c r="K56"/>
  <c r="M5"/>
  <c r="L5"/>
  <c r="G11"/>
  <c r="G12" s="1"/>
  <c r="M5" i="8"/>
  <c r="L5"/>
  <c r="K5"/>
  <c r="O186"/>
  <c r="N178"/>
  <c r="M178"/>
  <c r="L178"/>
  <c r="K178"/>
  <c r="N177"/>
  <c r="M177"/>
  <c r="L177"/>
  <c r="K177"/>
  <c r="N176"/>
  <c r="M176"/>
  <c r="L176"/>
  <c r="K176"/>
  <c r="N175"/>
  <c r="M175"/>
  <c r="L175"/>
  <c r="K175"/>
  <c r="N174"/>
  <c r="M174"/>
  <c r="L174"/>
  <c r="K174"/>
  <c r="N173"/>
  <c r="M173"/>
  <c r="L173"/>
  <c r="K173"/>
  <c r="N172"/>
  <c r="M172"/>
  <c r="L172"/>
  <c r="K172"/>
  <c r="N171"/>
  <c r="M171"/>
  <c r="L171"/>
  <c r="K171"/>
  <c r="N170"/>
  <c r="M170"/>
  <c r="L170"/>
  <c r="K170"/>
  <c r="N169"/>
  <c r="M169"/>
  <c r="L169"/>
  <c r="K169"/>
  <c r="N168"/>
  <c r="M168"/>
  <c r="L168"/>
  <c r="K168"/>
  <c r="N167"/>
  <c r="M167"/>
  <c r="L167"/>
  <c r="K167"/>
  <c r="N166"/>
  <c r="M166"/>
  <c r="L166"/>
  <c r="K166"/>
  <c r="N165"/>
  <c r="M165"/>
  <c r="L165"/>
  <c r="K165"/>
  <c r="N164"/>
  <c r="M164"/>
  <c r="L164"/>
  <c r="K164"/>
  <c r="N163"/>
  <c r="M163"/>
  <c r="L163"/>
  <c r="K163"/>
  <c r="N162"/>
  <c r="M162"/>
  <c r="L162"/>
  <c r="K162"/>
  <c r="N161"/>
  <c r="M161"/>
  <c r="L161"/>
  <c r="K161"/>
  <c r="N160"/>
  <c r="M160"/>
  <c r="L160"/>
  <c r="K160"/>
  <c r="I160"/>
  <c r="N159"/>
  <c r="M159"/>
  <c r="L159"/>
  <c r="K159"/>
  <c r="N158"/>
  <c r="M158"/>
  <c r="L158"/>
  <c r="K158"/>
  <c r="N157"/>
  <c r="M157"/>
  <c r="L157"/>
  <c r="K157"/>
  <c r="I157"/>
  <c r="N156"/>
  <c r="M156"/>
  <c r="L156"/>
  <c r="K156"/>
  <c r="N155"/>
  <c r="M155"/>
  <c r="L155"/>
  <c r="K155"/>
  <c r="I155"/>
  <c r="N154"/>
  <c r="M154"/>
  <c r="L154"/>
  <c r="K154"/>
  <c r="N153"/>
  <c r="M153"/>
  <c r="L153"/>
  <c r="K153"/>
  <c r="N152"/>
  <c r="M152"/>
  <c r="L152"/>
  <c r="K152"/>
  <c r="N151"/>
  <c r="M151"/>
  <c r="L151"/>
  <c r="K151"/>
  <c r="I151"/>
  <c r="N150"/>
  <c r="M150"/>
  <c r="L150"/>
  <c r="K150"/>
  <c r="N149"/>
  <c r="M149"/>
  <c r="L149"/>
  <c r="K149"/>
  <c r="N148"/>
  <c r="M148"/>
  <c r="L148"/>
  <c r="K148"/>
  <c r="N147"/>
  <c r="M147"/>
  <c r="L147"/>
  <c r="K147"/>
  <c r="I147"/>
  <c r="N146"/>
  <c r="M146"/>
  <c r="L146"/>
  <c r="K146"/>
  <c r="I146"/>
  <c r="N145"/>
  <c r="M145"/>
  <c r="L145"/>
  <c r="K145"/>
  <c r="I145"/>
  <c r="N144"/>
  <c r="M144"/>
  <c r="L144"/>
  <c r="K144"/>
  <c r="N143"/>
  <c r="M143"/>
  <c r="L143"/>
  <c r="K143"/>
  <c r="N142"/>
  <c r="M142"/>
  <c r="L142"/>
  <c r="K142"/>
  <c r="N141"/>
  <c r="M141"/>
  <c r="L141"/>
  <c r="K141"/>
  <c r="I141"/>
  <c r="N140"/>
  <c r="M140"/>
  <c r="L140"/>
  <c r="K140"/>
  <c r="N139"/>
  <c r="M139"/>
  <c r="L139"/>
  <c r="K139"/>
  <c r="I139"/>
  <c r="N138"/>
  <c r="M138"/>
  <c r="L138"/>
  <c r="K138"/>
  <c r="N137"/>
  <c r="M137"/>
  <c r="L137"/>
  <c r="K137"/>
  <c r="N136"/>
  <c r="M136"/>
  <c r="L136"/>
  <c r="K136"/>
  <c r="N135"/>
  <c r="M135"/>
  <c r="L135"/>
  <c r="K135"/>
  <c r="N134"/>
  <c r="M134"/>
  <c r="L134"/>
  <c r="K134"/>
  <c r="N133"/>
  <c r="M133"/>
  <c r="L133"/>
  <c r="K133"/>
  <c r="N132"/>
  <c r="M132"/>
  <c r="L132"/>
  <c r="K132"/>
  <c r="N131"/>
  <c r="M131"/>
  <c r="L131"/>
  <c r="K131"/>
  <c r="N130"/>
  <c r="M130"/>
  <c r="L130"/>
  <c r="K130"/>
  <c r="N129"/>
  <c r="M129"/>
  <c r="L129"/>
  <c r="K129"/>
  <c r="N128"/>
  <c r="M128"/>
  <c r="L128"/>
  <c r="K128"/>
  <c r="N127"/>
  <c r="M127"/>
  <c r="L127"/>
  <c r="K127"/>
  <c r="N126"/>
  <c r="M126"/>
  <c r="L126"/>
  <c r="K126"/>
  <c r="N125"/>
  <c r="M125"/>
  <c r="L125"/>
  <c r="K125"/>
  <c r="I125"/>
  <c r="N124"/>
  <c r="M124"/>
  <c r="L124"/>
  <c r="K124"/>
  <c r="N123"/>
  <c r="M123"/>
  <c r="L123"/>
  <c r="K123"/>
  <c r="N122"/>
  <c r="M122"/>
  <c r="L122"/>
  <c r="K122"/>
  <c r="I122"/>
  <c r="N121"/>
  <c r="M121"/>
  <c r="L121"/>
  <c r="K121"/>
  <c r="N120"/>
  <c r="M120"/>
  <c r="L120"/>
  <c r="K120"/>
  <c r="N119"/>
  <c r="M119"/>
  <c r="L119"/>
  <c r="K119"/>
  <c r="I119"/>
  <c r="N115"/>
  <c r="M115"/>
  <c r="L115"/>
  <c r="K115"/>
  <c r="N114"/>
  <c r="M114"/>
  <c r="L114"/>
  <c r="K114"/>
  <c r="I114"/>
  <c r="N113"/>
  <c r="M113"/>
  <c r="L113"/>
  <c r="K113"/>
  <c r="N112"/>
  <c r="M112"/>
  <c r="L112"/>
  <c r="K112"/>
  <c r="N111"/>
  <c r="M111"/>
  <c r="L111"/>
  <c r="K111"/>
  <c r="N110"/>
  <c r="M110"/>
  <c r="L110"/>
  <c r="K110"/>
  <c r="I110"/>
  <c r="N109"/>
  <c r="M109"/>
  <c r="L109"/>
  <c r="K109"/>
  <c r="N108"/>
  <c r="M108"/>
  <c r="L108"/>
  <c r="K108"/>
  <c r="N107"/>
  <c r="M107"/>
  <c r="L107"/>
  <c r="K107"/>
  <c r="N106"/>
  <c r="M106"/>
  <c r="L106"/>
  <c r="K106"/>
  <c r="N105"/>
  <c r="M105"/>
  <c r="L105"/>
  <c r="K105"/>
  <c r="N104"/>
  <c r="M104"/>
  <c r="L104"/>
  <c r="K104"/>
  <c r="N103"/>
  <c r="M103"/>
  <c r="L103"/>
  <c r="K103"/>
  <c r="I103"/>
  <c r="N102"/>
  <c r="M102"/>
  <c r="L102"/>
  <c r="K102"/>
  <c r="N101"/>
  <c r="M101"/>
  <c r="L101"/>
  <c r="K101"/>
  <c r="N100"/>
  <c r="M100"/>
  <c r="L100"/>
  <c r="K100"/>
  <c r="N99"/>
  <c r="M99"/>
  <c r="L99"/>
  <c r="K99"/>
  <c r="N98"/>
  <c r="M98"/>
  <c r="L98"/>
  <c r="K98"/>
  <c r="N97"/>
  <c r="M97"/>
  <c r="L97"/>
  <c r="K97"/>
  <c r="N96"/>
  <c r="M96"/>
  <c r="L96"/>
  <c r="K96"/>
  <c r="N95"/>
  <c r="M95"/>
  <c r="L95"/>
  <c r="K95"/>
  <c r="N94"/>
  <c r="M94"/>
  <c r="L94"/>
  <c r="K94"/>
  <c r="N93"/>
  <c r="M93"/>
  <c r="L93"/>
  <c r="K93"/>
  <c r="N92"/>
  <c r="M92"/>
  <c r="L92"/>
  <c r="K92"/>
  <c r="I92"/>
  <c r="N91"/>
  <c r="M91"/>
  <c r="L91"/>
  <c r="K91"/>
  <c r="N90"/>
  <c r="M90"/>
  <c r="L90"/>
  <c r="K90"/>
  <c r="N89"/>
  <c r="M89"/>
  <c r="L89"/>
  <c r="K89"/>
  <c r="N88"/>
  <c r="M88"/>
  <c r="L88"/>
  <c r="K88"/>
  <c r="N87"/>
  <c r="M87"/>
  <c r="L87"/>
  <c r="K87"/>
  <c r="N86"/>
  <c r="M86"/>
  <c r="L86"/>
  <c r="K86"/>
  <c r="N85"/>
  <c r="M85"/>
  <c r="L85"/>
  <c r="K85"/>
  <c r="N84"/>
  <c r="M84"/>
  <c r="L84"/>
  <c r="K84"/>
  <c r="N83"/>
  <c r="M83"/>
  <c r="L83"/>
  <c r="K83"/>
  <c r="N82"/>
  <c r="M82"/>
  <c r="L82"/>
  <c r="K82"/>
  <c r="I82"/>
  <c r="N81"/>
  <c r="M81"/>
  <c r="L81"/>
  <c r="K81"/>
  <c r="I81"/>
  <c r="N80"/>
  <c r="M80"/>
  <c r="L80"/>
  <c r="K80"/>
  <c r="N79"/>
  <c r="M79"/>
  <c r="L79"/>
  <c r="K79"/>
  <c r="N78"/>
  <c r="M78"/>
  <c r="L78"/>
  <c r="K78"/>
  <c r="N77"/>
  <c r="M77"/>
  <c r="L77"/>
  <c r="K77"/>
  <c r="N76"/>
  <c r="M76"/>
  <c r="L76"/>
  <c r="K76"/>
  <c r="N75"/>
  <c r="M75"/>
  <c r="L75"/>
  <c r="K75"/>
  <c r="N74"/>
  <c r="M74"/>
  <c r="L74"/>
  <c r="K74"/>
  <c r="N73"/>
  <c r="M73"/>
  <c r="L73"/>
  <c r="K73"/>
  <c r="I73"/>
  <c r="N72"/>
  <c r="M72"/>
  <c r="L72"/>
  <c r="K72"/>
  <c r="N71"/>
  <c r="M71"/>
  <c r="L71"/>
  <c r="K71"/>
  <c r="N70"/>
  <c r="M70"/>
  <c r="L70"/>
  <c r="K70"/>
  <c r="N69"/>
  <c r="M69"/>
  <c r="L69"/>
  <c r="K69"/>
  <c r="I69"/>
  <c r="N68"/>
  <c r="M68"/>
  <c r="L68"/>
  <c r="K68"/>
  <c r="N67"/>
  <c r="M67"/>
  <c r="L67"/>
  <c r="K67"/>
  <c r="I67"/>
  <c r="N66"/>
  <c r="M66"/>
  <c r="L66"/>
  <c r="K66"/>
  <c r="N65"/>
  <c r="M65"/>
  <c r="L65"/>
  <c r="K65"/>
  <c r="N64"/>
  <c r="M64"/>
  <c r="L64"/>
  <c r="K64"/>
  <c r="N63"/>
  <c r="M63"/>
  <c r="L63"/>
  <c r="K63"/>
  <c r="N62"/>
  <c r="M62"/>
  <c r="L62"/>
  <c r="K62"/>
  <c r="N61"/>
  <c r="M61"/>
  <c r="L61"/>
  <c r="K61"/>
  <c r="I61"/>
  <c r="N60"/>
  <c r="M60"/>
  <c r="L60"/>
  <c r="K60"/>
  <c r="N59"/>
  <c r="M59"/>
  <c r="L59"/>
  <c r="K59"/>
  <c r="N58"/>
  <c r="M58"/>
  <c r="L58"/>
  <c r="K58"/>
  <c r="I58"/>
  <c r="N57"/>
  <c r="M57"/>
  <c r="L57"/>
  <c r="K57"/>
  <c r="N56"/>
  <c r="M56"/>
  <c r="L56"/>
  <c r="K56"/>
  <c r="K4" i="5"/>
  <c r="J4"/>
  <c r="H16" i="4"/>
  <c r="N61" i="42" l="1"/>
  <c r="N64" s="1"/>
  <c r="N65" s="1"/>
  <c r="N66" s="1"/>
  <c r="N68" s="1"/>
  <c r="X44" i="40"/>
  <c r="X45" s="1"/>
  <c r="X46" s="1"/>
  <c r="X47" s="1"/>
  <c r="X48" s="1"/>
  <c r="X49" s="1"/>
  <c r="X50" s="1"/>
  <c r="BE10" i="28" s="1"/>
  <c r="X8" i="40"/>
  <c r="K24"/>
  <c r="AY9" i="28"/>
  <c r="U10"/>
  <c r="F35" i="34"/>
  <c r="F36" s="1"/>
  <c r="O13" i="2"/>
  <c r="O13" i="14"/>
  <c r="O13" i="12"/>
  <c r="P2" i="24"/>
  <c r="P2" i="26"/>
  <c r="Q2" i="24"/>
  <c r="Q2" i="26"/>
  <c r="Q3" i="7"/>
  <c r="Q3" i="24"/>
  <c r="N32" i="19"/>
  <c r="O32" s="1"/>
  <c r="H140" i="12"/>
  <c r="L29" i="20"/>
  <c r="N24" s="1"/>
  <c r="N33"/>
  <c r="O33" s="1"/>
  <c r="O113" i="14"/>
  <c r="H140" i="2"/>
  <c r="J133" i="14"/>
  <c r="H140" s="1"/>
  <c r="J142" i="12"/>
  <c r="K142" s="1"/>
  <c r="J4" i="8"/>
  <c r="I5" s="1"/>
  <c r="J4" i="10"/>
  <c r="I5" s="1"/>
  <c r="E4" i="5"/>
  <c r="Q2" i="7"/>
  <c r="Q2" i="16"/>
  <c r="Q3" i="11"/>
  <c r="Q3" i="16"/>
  <c r="P2" i="7"/>
  <c r="P2" i="16"/>
  <c r="J142" i="13"/>
  <c r="K142" s="1"/>
  <c r="J142" i="14"/>
  <c r="K142" s="1"/>
  <c r="J142" i="2"/>
  <c r="K142" s="1"/>
  <c r="N115" i="14"/>
  <c r="O114"/>
  <c r="N115" i="2"/>
  <c r="O114"/>
  <c r="O113"/>
  <c r="N115" i="13"/>
  <c r="O114"/>
  <c r="O113"/>
  <c r="P2" i="11"/>
  <c r="Q2"/>
  <c r="I4"/>
  <c r="G5" i="8"/>
  <c r="G11" s="1"/>
  <c r="G12" s="1"/>
  <c r="G5" i="10"/>
  <c r="G11" s="1"/>
  <c r="G12" s="1"/>
  <c r="E21" i="5"/>
  <c r="E27" s="1"/>
  <c r="E28" s="1"/>
  <c r="J4" i="9"/>
  <c r="I5" s="1"/>
  <c r="H20" i="5"/>
  <c r="G21" s="1"/>
  <c r="I4" i="7"/>
  <c r="H5" i="8"/>
  <c r="H3" i="5"/>
  <c r="G4" s="1"/>
  <c r="K120" i="3"/>
  <c r="L120"/>
  <c r="M120"/>
  <c r="N120"/>
  <c r="K121"/>
  <c r="L121"/>
  <c r="M121"/>
  <c r="N121"/>
  <c r="K122"/>
  <c r="L122"/>
  <c r="M122"/>
  <c r="N122"/>
  <c r="K123"/>
  <c r="L123"/>
  <c r="M123"/>
  <c r="N123"/>
  <c r="K124"/>
  <c r="L124"/>
  <c r="M124"/>
  <c r="N124"/>
  <c r="K125"/>
  <c r="L125"/>
  <c r="M125"/>
  <c r="N125"/>
  <c r="K126"/>
  <c r="L126"/>
  <c r="M126"/>
  <c r="N126"/>
  <c r="K127"/>
  <c r="L127"/>
  <c r="M127"/>
  <c r="N127"/>
  <c r="K128"/>
  <c r="L128"/>
  <c r="M128"/>
  <c r="N128"/>
  <c r="K129"/>
  <c r="L129"/>
  <c r="M129"/>
  <c r="N129"/>
  <c r="K130"/>
  <c r="L130"/>
  <c r="M130"/>
  <c r="N130"/>
  <c r="K131"/>
  <c r="L131"/>
  <c r="M131"/>
  <c r="N131"/>
  <c r="K132"/>
  <c r="L132"/>
  <c r="M132"/>
  <c r="N132"/>
  <c r="K133"/>
  <c r="L133"/>
  <c r="M133"/>
  <c r="N133"/>
  <c r="K134"/>
  <c r="L134"/>
  <c r="M134"/>
  <c r="N134"/>
  <c r="K135"/>
  <c r="L135"/>
  <c r="M135"/>
  <c r="N135"/>
  <c r="K136"/>
  <c r="L136"/>
  <c r="M136"/>
  <c r="N136"/>
  <c r="K137"/>
  <c r="L137"/>
  <c r="M137"/>
  <c r="N137"/>
  <c r="K138"/>
  <c r="L138"/>
  <c r="M138"/>
  <c r="N138"/>
  <c r="K139"/>
  <c r="L139"/>
  <c r="M139"/>
  <c r="N139"/>
  <c r="K140"/>
  <c r="L140"/>
  <c r="M140"/>
  <c r="N140"/>
  <c r="K141"/>
  <c r="L141"/>
  <c r="M141"/>
  <c r="N141"/>
  <c r="K142"/>
  <c r="L142"/>
  <c r="M142"/>
  <c r="N142"/>
  <c r="K143"/>
  <c r="L143"/>
  <c r="M143"/>
  <c r="N143"/>
  <c r="K144"/>
  <c r="L144"/>
  <c r="M144"/>
  <c r="N144"/>
  <c r="K145"/>
  <c r="L145"/>
  <c r="M145"/>
  <c r="N145"/>
  <c r="K146"/>
  <c r="L146"/>
  <c r="M146"/>
  <c r="N146"/>
  <c r="K147"/>
  <c r="L147"/>
  <c r="M147"/>
  <c r="N147"/>
  <c r="K148"/>
  <c r="L148"/>
  <c r="M148"/>
  <c r="N148"/>
  <c r="K149"/>
  <c r="L149"/>
  <c r="M149"/>
  <c r="N149"/>
  <c r="K150"/>
  <c r="L150"/>
  <c r="M150"/>
  <c r="N150"/>
  <c r="K151"/>
  <c r="L151"/>
  <c r="M151"/>
  <c r="N151"/>
  <c r="K152"/>
  <c r="L152"/>
  <c r="M152"/>
  <c r="N152"/>
  <c r="K153"/>
  <c r="L153"/>
  <c r="M153"/>
  <c r="N153"/>
  <c r="K154"/>
  <c r="L154"/>
  <c r="M154"/>
  <c r="N154"/>
  <c r="K155"/>
  <c r="L155"/>
  <c r="M155"/>
  <c r="N155"/>
  <c r="K156"/>
  <c r="L156"/>
  <c r="M156"/>
  <c r="N156"/>
  <c r="K157"/>
  <c r="L157"/>
  <c r="M157"/>
  <c r="N157"/>
  <c r="K158"/>
  <c r="L158"/>
  <c r="M158"/>
  <c r="N158"/>
  <c r="K159"/>
  <c r="L159"/>
  <c r="M159"/>
  <c r="N159"/>
  <c r="K160"/>
  <c r="L160"/>
  <c r="M160"/>
  <c r="N160"/>
  <c r="K161"/>
  <c r="L161"/>
  <c r="M161"/>
  <c r="N161"/>
  <c r="K162"/>
  <c r="L162"/>
  <c r="M162"/>
  <c r="N162"/>
  <c r="K163"/>
  <c r="L163"/>
  <c r="M163"/>
  <c r="N163"/>
  <c r="K164"/>
  <c r="L164"/>
  <c r="M164"/>
  <c r="N164"/>
  <c r="K165"/>
  <c r="L165"/>
  <c r="M165"/>
  <c r="N165"/>
  <c r="K166"/>
  <c r="L166"/>
  <c r="M166"/>
  <c r="N166"/>
  <c r="K167"/>
  <c r="L167"/>
  <c r="M167"/>
  <c r="N167"/>
  <c r="K168"/>
  <c r="L168"/>
  <c r="M168"/>
  <c r="N168"/>
  <c r="K169"/>
  <c r="L169"/>
  <c r="M169"/>
  <c r="N169"/>
  <c r="K170"/>
  <c r="L170"/>
  <c r="M170"/>
  <c r="N170"/>
  <c r="K171"/>
  <c r="L171"/>
  <c r="M171"/>
  <c r="N171"/>
  <c r="K172"/>
  <c r="L172"/>
  <c r="M172"/>
  <c r="N172"/>
  <c r="K173"/>
  <c r="L173"/>
  <c r="M173"/>
  <c r="N173"/>
  <c r="K174"/>
  <c r="L174"/>
  <c r="M174"/>
  <c r="N174"/>
  <c r="K175"/>
  <c r="L175"/>
  <c r="M175"/>
  <c r="N175"/>
  <c r="K176"/>
  <c r="L176"/>
  <c r="M176"/>
  <c r="N176"/>
  <c r="K177"/>
  <c r="L177"/>
  <c r="M177"/>
  <c r="N177"/>
  <c r="K178"/>
  <c r="L178"/>
  <c r="M178"/>
  <c r="N178"/>
  <c r="L119"/>
  <c r="M119"/>
  <c r="N119"/>
  <c r="K119"/>
  <c r="I122"/>
  <c r="I125"/>
  <c r="I139"/>
  <c r="I141"/>
  <c r="I145"/>
  <c r="I146"/>
  <c r="I147"/>
  <c r="I151"/>
  <c r="I155"/>
  <c r="I157"/>
  <c r="I160"/>
  <c r="I119"/>
  <c r="I58"/>
  <c r="I61"/>
  <c r="I67"/>
  <c r="I69"/>
  <c r="I73"/>
  <c r="I81"/>
  <c r="I82"/>
  <c r="I92"/>
  <c r="I103"/>
  <c r="I110"/>
  <c r="I114"/>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56"/>
  <c r="L57"/>
  <c r="M57"/>
  <c r="L58"/>
  <c r="M58"/>
  <c r="L59"/>
  <c r="M59"/>
  <c r="L60"/>
  <c r="M60"/>
  <c r="L61"/>
  <c r="M61"/>
  <c r="L62"/>
  <c r="M62"/>
  <c r="L63"/>
  <c r="M63"/>
  <c r="L64"/>
  <c r="M64"/>
  <c r="L65"/>
  <c r="M65"/>
  <c r="L66"/>
  <c r="M66"/>
  <c r="L67"/>
  <c r="M67"/>
  <c r="L68"/>
  <c r="M68"/>
  <c r="L69"/>
  <c r="M69"/>
  <c r="L70"/>
  <c r="M70"/>
  <c r="L71"/>
  <c r="M71"/>
  <c r="L72"/>
  <c r="M72"/>
  <c r="L73"/>
  <c r="M73"/>
  <c r="L74"/>
  <c r="M74"/>
  <c r="L75"/>
  <c r="M75"/>
  <c r="L76"/>
  <c r="M76"/>
  <c r="L77"/>
  <c r="M77"/>
  <c r="L78"/>
  <c r="M78"/>
  <c r="L79"/>
  <c r="M79"/>
  <c r="L80"/>
  <c r="M80"/>
  <c r="L81"/>
  <c r="M81"/>
  <c r="L82"/>
  <c r="M82"/>
  <c r="L83"/>
  <c r="M83"/>
  <c r="L84"/>
  <c r="M84"/>
  <c r="L85"/>
  <c r="M85"/>
  <c r="L86"/>
  <c r="M86"/>
  <c r="L87"/>
  <c r="M87"/>
  <c r="L88"/>
  <c r="M88"/>
  <c r="L89"/>
  <c r="M89"/>
  <c r="L90"/>
  <c r="M90"/>
  <c r="L91"/>
  <c r="M91"/>
  <c r="L92"/>
  <c r="M92"/>
  <c r="L93"/>
  <c r="M93"/>
  <c r="L94"/>
  <c r="M94"/>
  <c r="L95"/>
  <c r="M95"/>
  <c r="L96"/>
  <c r="M96"/>
  <c r="L97"/>
  <c r="M97"/>
  <c r="L98"/>
  <c r="M98"/>
  <c r="L99"/>
  <c r="M99"/>
  <c r="L100"/>
  <c r="M100"/>
  <c r="L101"/>
  <c r="M101"/>
  <c r="L102"/>
  <c r="M102"/>
  <c r="L103"/>
  <c r="M103"/>
  <c r="L104"/>
  <c r="M104"/>
  <c r="L105"/>
  <c r="M105"/>
  <c r="L106"/>
  <c r="M106"/>
  <c r="L107"/>
  <c r="M107"/>
  <c r="L108"/>
  <c r="M108"/>
  <c r="L109"/>
  <c r="M109"/>
  <c r="L110"/>
  <c r="M110"/>
  <c r="L111"/>
  <c r="M111"/>
  <c r="L112"/>
  <c r="M112"/>
  <c r="L113"/>
  <c r="M113"/>
  <c r="L114"/>
  <c r="M114"/>
  <c r="L115"/>
  <c r="M115"/>
  <c r="M56"/>
  <c r="L56"/>
  <c r="C70" i="4"/>
  <c r="F32"/>
  <c r="F31"/>
  <c r="F30"/>
  <c r="F12"/>
  <c r="F13" s="1"/>
  <c r="N62" i="42" l="1"/>
  <c r="N69"/>
  <c r="N70" s="1"/>
  <c r="N71" s="1"/>
  <c r="N83" s="1"/>
  <c r="K25" i="40"/>
  <c r="K26" s="1"/>
  <c r="BE11" i="28"/>
  <c r="X9" i="40"/>
  <c r="X12" s="1"/>
  <c r="X13" s="1"/>
  <c r="X14" s="1"/>
  <c r="X16" s="1"/>
  <c r="AY8" i="28"/>
  <c r="L3" i="26"/>
  <c r="K4" s="1"/>
  <c r="E10" i="5"/>
  <c r="L3" i="16"/>
  <c r="K4" s="1"/>
  <c r="L3" i="24"/>
  <c r="K4" s="1"/>
  <c r="N33" i="19"/>
  <c r="O33" s="1"/>
  <c r="N34" i="20"/>
  <c r="O34" s="1"/>
  <c r="L3" i="7"/>
  <c r="K4" s="1"/>
  <c r="G13" i="10"/>
  <c r="D6" s="1"/>
  <c r="D7" s="1"/>
  <c r="J143" i="12"/>
  <c r="K143" s="1"/>
  <c r="G13" i="8"/>
  <c r="D6" s="1"/>
  <c r="D7" s="1"/>
  <c r="G15" i="9"/>
  <c r="L3" i="11"/>
  <c r="K4" s="1"/>
  <c r="J143" i="13"/>
  <c r="K143" s="1"/>
  <c r="J143" i="14"/>
  <c r="K143" s="1"/>
  <c r="J143" i="2"/>
  <c r="K143" s="1"/>
  <c r="N116" i="14"/>
  <c r="O115"/>
  <c r="N116" i="2"/>
  <c r="O115"/>
  <c r="N116" i="13"/>
  <c r="O115"/>
  <c r="E29" i="5"/>
  <c r="H5" i="6" s="1"/>
  <c r="F28" i="4"/>
  <c r="F26"/>
  <c r="F25"/>
  <c r="F27"/>
  <c r="F14"/>
  <c r="F24" s="1"/>
  <c r="N91" i="42" l="1"/>
  <c r="BJ8" i="28" s="1"/>
  <c r="N86" i="42"/>
  <c r="N92" s="1"/>
  <c r="BJ9" i="28" s="1"/>
  <c r="N74" i="42"/>
  <c r="K27" i="40"/>
  <c r="BE13" i="28" s="1"/>
  <c r="BE12"/>
  <c r="X10" i="40"/>
  <c r="X17"/>
  <c r="X18" s="1"/>
  <c r="X19" s="1"/>
  <c r="X31" s="1"/>
  <c r="G13" i="9"/>
  <c r="D6" s="1"/>
  <c r="D7" s="1"/>
  <c r="E11" i="5"/>
  <c r="E12" s="1"/>
  <c r="D5" i="24"/>
  <c r="D5" i="26"/>
  <c r="D17" i="10"/>
  <c r="D8" i="8"/>
  <c r="D9"/>
  <c r="N34" i="19"/>
  <c r="O34" s="1"/>
  <c r="D12" i="8"/>
  <c r="D47"/>
  <c r="I106" s="1"/>
  <c r="D18" i="10"/>
  <c r="D47"/>
  <c r="D48" s="1"/>
  <c r="N35" i="20"/>
  <c r="O35" s="1"/>
  <c r="D8" i="10"/>
  <c r="D17" i="8"/>
  <c r="D13"/>
  <c r="D16"/>
  <c r="D18"/>
  <c r="D10"/>
  <c r="D11"/>
  <c r="D15" i="10"/>
  <c r="D16"/>
  <c r="D21" s="1"/>
  <c r="D9"/>
  <c r="D14"/>
  <c r="D12"/>
  <c r="D15" i="8"/>
  <c r="D14"/>
  <c r="D13" i="10"/>
  <c r="D11"/>
  <c r="D10"/>
  <c r="J144" i="12"/>
  <c r="K144" s="1"/>
  <c r="D5" i="11"/>
  <c r="D5" i="16"/>
  <c r="J144" i="13"/>
  <c r="K144" s="1"/>
  <c r="J144" i="14"/>
  <c r="K144" s="1"/>
  <c r="J144" i="2"/>
  <c r="K144" s="1"/>
  <c r="N117" i="14"/>
  <c r="O116"/>
  <c r="N117" i="2"/>
  <c r="O116"/>
  <c r="N117" i="13"/>
  <c r="O116"/>
  <c r="H9" i="6"/>
  <c r="H15" s="1"/>
  <c r="D5" i="7"/>
  <c r="F34" i="4"/>
  <c r="O186" i="3"/>
  <c r="N75" i="42" l="1"/>
  <c r="N90" s="1"/>
  <c r="BJ7" i="28" s="1"/>
  <c r="X34" i="40"/>
  <c r="X40" s="1"/>
  <c r="BE6" i="28" s="1"/>
  <c r="X39" i="40"/>
  <c r="BE7" i="28" s="1"/>
  <c r="X22" i="40"/>
  <c r="C12" i="31"/>
  <c r="C8"/>
  <c r="C10" s="1"/>
  <c r="D47" i="9"/>
  <c r="D12"/>
  <c r="D15"/>
  <c r="D18"/>
  <c r="D9"/>
  <c r="D11"/>
  <c r="D8"/>
  <c r="D10"/>
  <c r="D17"/>
  <c r="D14"/>
  <c r="D13"/>
  <c r="D16"/>
  <c r="D5" i="6"/>
  <c r="D9" s="1"/>
  <c r="D8" i="26" s="1"/>
  <c r="D6" i="3"/>
  <c r="D7" s="1"/>
  <c r="D8" s="1"/>
  <c r="D20" i="10"/>
  <c r="D22" s="1"/>
  <c r="I127" i="8"/>
  <c r="O127" s="1"/>
  <c r="I124"/>
  <c r="O124" s="1"/>
  <c r="I115" i="10"/>
  <c r="O115" s="1"/>
  <c r="D20" i="8"/>
  <c r="N35" i="19"/>
  <c r="O35" s="1"/>
  <c r="N36" i="20"/>
  <c r="O36" s="1"/>
  <c r="D19" i="8"/>
  <c r="I136"/>
  <c r="O136" s="1"/>
  <c r="I64"/>
  <c r="O64" s="1"/>
  <c r="I65"/>
  <c r="P65" s="1"/>
  <c r="I148"/>
  <c r="O148" s="1"/>
  <c r="O147" i="10"/>
  <c r="I102"/>
  <c r="P102" s="1"/>
  <c r="I95" i="8"/>
  <c r="O95" s="1"/>
  <c r="I123"/>
  <c r="O123" s="1"/>
  <c r="I137" i="10"/>
  <c r="O137" s="1"/>
  <c r="P110"/>
  <c r="P103" i="8"/>
  <c r="I95" i="10"/>
  <c r="P95" s="1"/>
  <c r="D21" i="8"/>
  <c r="D43" i="10"/>
  <c r="O141" i="8"/>
  <c r="I166"/>
  <c r="O166" s="1"/>
  <c r="I96"/>
  <c r="O96" s="1"/>
  <c r="O81" i="10"/>
  <c r="D45" i="8"/>
  <c r="I101"/>
  <c r="P101" s="1"/>
  <c r="I149"/>
  <c r="O149" s="1"/>
  <c r="I177"/>
  <c r="O177" s="1"/>
  <c r="I72"/>
  <c r="P72" s="1"/>
  <c r="I158"/>
  <c r="O158" s="1"/>
  <c r="I138"/>
  <c r="O138" s="1"/>
  <c r="I104"/>
  <c r="O104" s="1"/>
  <c r="I76"/>
  <c r="P76" s="1"/>
  <c r="D48"/>
  <c r="I109" s="1"/>
  <c r="O109" s="1"/>
  <c r="I159"/>
  <c r="O159" s="1"/>
  <c r="I60"/>
  <c r="P60" s="1"/>
  <c r="D43"/>
  <c r="I153"/>
  <c r="O153" s="1"/>
  <c r="O81"/>
  <c r="O58" i="10"/>
  <c r="O61"/>
  <c r="I79" i="8"/>
  <c r="P79" s="1"/>
  <c r="I78"/>
  <c r="P78" s="1"/>
  <c r="I174"/>
  <c r="O174" s="1"/>
  <c r="I161"/>
  <c r="O161" s="1"/>
  <c r="I142"/>
  <c r="O142" s="1"/>
  <c r="I132"/>
  <c r="O132" s="1"/>
  <c r="I108"/>
  <c r="P108" s="1"/>
  <c r="I66"/>
  <c r="O66" s="1"/>
  <c r="I63"/>
  <c r="O63" s="1"/>
  <c r="I91"/>
  <c r="O91" s="1"/>
  <c r="I165"/>
  <c r="O165" s="1"/>
  <c r="I135"/>
  <c r="O135" s="1"/>
  <c r="I86"/>
  <c r="O86" s="1"/>
  <c r="I68"/>
  <c r="P68" s="1"/>
  <c r="P58" i="10"/>
  <c r="P69"/>
  <c r="O73"/>
  <c r="I75" i="8"/>
  <c r="P75" s="1"/>
  <c r="I169"/>
  <c r="O169" s="1"/>
  <c r="I129"/>
  <c r="O129" s="1"/>
  <c r="I56"/>
  <c r="O56" s="1"/>
  <c r="I131"/>
  <c r="O131" s="1"/>
  <c r="P73" i="10"/>
  <c r="I93" i="8"/>
  <c r="P93" s="1"/>
  <c r="I57"/>
  <c r="O57" s="1"/>
  <c r="I176"/>
  <c r="O176" s="1"/>
  <c r="I164"/>
  <c r="O164" s="1"/>
  <c r="I144"/>
  <c r="O144" s="1"/>
  <c r="I134"/>
  <c r="O134" s="1"/>
  <c r="I121"/>
  <c r="O121" s="1"/>
  <c r="I84"/>
  <c r="P84" s="1"/>
  <c r="I77"/>
  <c r="P77" s="1"/>
  <c r="I173"/>
  <c r="O173" s="1"/>
  <c r="I140"/>
  <c r="O140" s="1"/>
  <c r="I168" i="10"/>
  <c r="O168" s="1"/>
  <c r="I136"/>
  <c r="O136" s="1"/>
  <c r="P67" i="8"/>
  <c r="O122"/>
  <c r="O110" i="10"/>
  <c r="P61" i="8"/>
  <c r="O146"/>
  <c r="I93" i="10"/>
  <c r="O93" s="1"/>
  <c r="I91"/>
  <c r="P91" s="1"/>
  <c r="P82" i="8"/>
  <c r="O92"/>
  <c r="O114"/>
  <c r="O73"/>
  <c r="I177" i="10"/>
  <c r="O177" s="1"/>
  <c r="I123"/>
  <c r="O123" s="1"/>
  <c r="I76"/>
  <c r="O76" s="1"/>
  <c r="I144"/>
  <c r="O144" s="1"/>
  <c r="P114"/>
  <c r="O139"/>
  <c r="O141"/>
  <c r="O155"/>
  <c r="O146"/>
  <c r="I79"/>
  <c r="P79" s="1"/>
  <c r="I165"/>
  <c r="O165" s="1"/>
  <c r="I135"/>
  <c r="O135" s="1"/>
  <c r="I86"/>
  <c r="O86" s="1"/>
  <c r="I71"/>
  <c r="P71" s="1"/>
  <c r="I132"/>
  <c r="O132" s="1"/>
  <c r="I63"/>
  <c r="P63" s="1"/>
  <c r="I148"/>
  <c r="O148" s="1"/>
  <c r="I64"/>
  <c r="P64" s="1"/>
  <c r="I161"/>
  <c r="O161" s="1"/>
  <c r="I129"/>
  <c r="O129" s="1"/>
  <c r="I84"/>
  <c r="O84" s="1"/>
  <c r="P92"/>
  <c r="O114"/>
  <c r="O103"/>
  <c r="O122"/>
  <c r="I57"/>
  <c r="O57" s="1"/>
  <c r="I153"/>
  <c r="O153" s="1"/>
  <c r="I127"/>
  <c r="O127" s="1"/>
  <c r="I68"/>
  <c r="P68" s="1"/>
  <c r="I166"/>
  <c r="O166" s="1"/>
  <c r="I96"/>
  <c r="P96" s="1"/>
  <c r="I138"/>
  <c r="O138" s="1"/>
  <c r="I176"/>
  <c r="O176" s="1"/>
  <c r="D19"/>
  <c r="O67"/>
  <c r="P81" i="8"/>
  <c r="P69"/>
  <c r="I101" i="10"/>
  <c r="P101" s="1"/>
  <c r="I65"/>
  <c r="O65" s="1"/>
  <c r="I173"/>
  <c r="O173" s="1"/>
  <c r="I159"/>
  <c r="O159" s="1"/>
  <c r="I140"/>
  <c r="O140" s="1"/>
  <c r="I131"/>
  <c r="O131" s="1"/>
  <c r="I106"/>
  <c r="P106" s="1"/>
  <c r="I72"/>
  <c r="P72" s="1"/>
  <c r="I113"/>
  <c r="O113" s="1"/>
  <c r="I174"/>
  <c r="O174" s="1"/>
  <c r="I142"/>
  <c r="O142" s="1"/>
  <c r="I108"/>
  <c r="O108" s="1"/>
  <c r="I158"/>
  <c r="O158" s="1"/>
  <c r="I70"/>
  <c r="P70" s="1"/>
  <c r="O139" i="8"/>
  <c r="O119"/>
  <c r="P92"/>
  <c r="O157"/>
  <c r="I60" i="10"/>
  <c r="P60" s="1"/>
  <c r="I164"/>
  <c r="O164" s="1"/>
  <c r="O103" i="8"/>
  <c r="O110"/>
  <c r="I134" i="10"/>
  <c r="O134" s="1"/>
  <c r="O147" i="8"/>
  <c r="P73"/>
  <c r="P106"/>
  <c r="I115"/>
  <c r="I168"/>
  <c r="O168" s="1"/>
  <c r="I133"/>
  <c r="O133" s="1"/>
  <c r="I163"/>
  <c r="O163" s="1"/>
  <c r="I175"/>
  <c r="O175" s="1"/>
  <c r="I137"/>
  <c r="O137" s="1"/>
  <c r="I70"/>
  <c r="I71"/>
  <c r="I143"/>
  <c r="O143" s="1"/>
  <c r="I102"/>
  <c r="I113"/>
  <c r="I120"/>
  <c r="O120" s="1"/>
  <c r="O82"/>
  <c r="O145"/>
  <c r="O125"/>
  <c r="P114"/>
  <c r="P110"/>
  <c r="O155"/>
  <c r="D45" i="10"/>
  <c r="O67" i="8"/>
  <c r="I75" i="10"/>
  <c r="O75" s="1"/>
  <c r="I175"/>
  <c r="O175" s="1"/>
  <c r="I163"/>
  <c r="O163" s="1"/>
  <c r="I143"/>
  <c r="O143" s="1"/>
  <c r="I133"/>
  <c r="O133" s="1"/>
  <c r="I120"/>
  <c r="O120" s="1"/>
  <c r="I78"/>
  <c r="P78" s="1"/>
  <c r="I56"/>
  <c r="P56" s="1"/>
  <c r="I74"/>
  <c r="O74" s="1"/>
  <c r="I149"/>
  <c r="O149" s="1"/>
  <c r="I124"/>
  <c r="O124" s="1"/>
  <c r="I66"/>
  <c r="P66" s="1"/>
  <c r="I169"/>
  <c r="O169" s="1"/>
  <c r="I104"/>
  <c r="P104" s="1"/>
  <c r="O151" i="8"/>
  <c r="P58"/>
  <c r="O69"/>
  <c r="O160"/>
  <c r="I121" i="10"/>
  <c r="O121" s="1"/>
  <c r="O58" i="8"/>
  <c r="O61"/>
  <c r="I77" i="10"/>
  <c r="P77" s="1"/>
  <c r="P115"/>
  <c r="O160"/>
  <c r="O82"/>
  <c r="O151"/>
  <c r="P81"/>
  <c r="P82"/>
  <c r="P103"/>
  <c r="O157"/>
  <c r="O92"/>
  <c r="P67"/>
  <c r="O119"/>
  <c r="P61"/>
  <c r="O145"/>
  <c r="O69"/>
  <c r="O125"/>
  <c r="O106" i="8"/>
  <c r="J145" i="12"/>
  <c r="K145" s="1"/>
  <c r="J145" i="13"/>
  <c r="K145" s="1"/>
  <c r="J145" i="14"/>
  <c r="K145" s="1"/>
  <c r="J145" i="2"/>
  <c r="K145" s="1"/>
  <c r="N118" i="14"/>
  <c r="O117"/>
  <c r="N118" i="2"/>
  <c r="O117"/>
  <c r="N118" i="13"/>
  <c r="O117"/>
  <c r="P20"/>
  <c r="N21"/>
  <c r="O20"/>
  <c r="N19"/>
  <c r="H10" i="6"/>
  <c r="H11" s="1"/>
  <c r="H12" s="1"/>
  <c r="H13" s="1"/>
  <c r="H14" s="1"/>
  <c r="N76" i="42" l="1"/>
  <c r="N77" s="1"/>
  <c r="N78" s="1"/>
  <c r="I132" i="9"/>
  <c r="O132" s="1"/>
  <c r="I134"/>
  <c r="O134" s="1"/>
  <c r="I136"/>
  <c r="O136" s="1"/>
  <c r="I138"/>
  <c r="O138" s="1"/>
  <c r="I140"/>
  <c r="O140" s="1"/>
  <c r="I142"/>
  <c r="O142" s="1"/>
  <c r="I144"/>
  <c r="O144" s="1"/>
  <c r="I158"/>
  <c r="O158" s="1"/>
  <c r="I164"/>
  <c r="O164" s="1"/>
  <c r="I166"/>
  <c r="O166" s="1"/>
  <c r="I168"/>
  <c r="O168" s="1"/>
  <c r="I170"/>
  <c r="I60"/>
  <c r="P60" s="1"/>
  <c r="I66"/>
  <c r="O66" s="1"/>
  <c r="I68"/>
  <c r="O68" s="1"/>
  <c r="I76"/>
  <c r="O76" s="1"/>
  <c r="I78"/>
  <c r="P78" s="1"/>
  <c r="I88"/>
  <c r="I96"/>
  <c r="P96" s="1"/>
  <c r="I100"/>
  <c r="I104"/>
  <c r="P104" s="1"/>
  <c r="I106"/>
  <c r="P106" s="1"/>
  <c r="I108"/>
  <c r="P108" s="1"/>
  <c r="I129"/>
  <c r="O129" s="1"/>
  <c r="I133"/>
  <c r="O133" s="1"/>
  <c r="I135"/>
  <c r="O135" s="1"/>
  <c r="I143"/>
  <c r="O143" s="1"/>
  <c r="I153"/>
  <c r="O153" s="1"/>
  <c r="I159"/>
  <c r="O159" s="1"/>
  <c r="I161"/>
  <c r="O161" s="1"/>
  <c r="I165"/>
  <c r="O165" s="1"/>
  <c r="I167"/>
  <c r="I171"/>
  <c r="I177"/>
  <c r="O177" s="1"/>
  <c r="I65"/>
  <c r="O65" s="1"/>
  <c r="I83"/>
  <c r="I101"/>
  <c r="O101" s="1"/>
  <c r="I113"/>
  <c r="O113" s="1"/>
  <c r="I173"/>
  <c r="O173" s="1"/>
  <c r="I63"/>
  <c r="O63" s="1"/>
  <c r="I75"/>
  <c r="O75" s="1"/>
  <c r="I79"/>
  <c r="O79" s="1"/>
  <c r="I85"/>
  <c r="I93"/>
  <c r="P93" s="1"/>
  <c r="I97"/>
  <c r="I111"/>
  <c r="X23" i="40"/>
  <c r="X38" s="1"/>
  <c r="BE8" i="28" s="1"/>
  <c r="O13" i="13"/>
  <c r="O127" i="9"/>
  <c r="P70"/>
  <c r="F10" i="31"/>
  <c r="P82" i="9"/>
  <c r="O155"/>
  <c r="D8" i="16"/>
  <c r="O141" i="9"/>
  <c r="O57"/>
  <c r="D20"/>
  <c r="D21"/>
  <c r="D45"/>
  <c r="D43"/>
  <c r="O148"/>
  <c r="O145"/>
  <c r="O110"/>
  <c r="P72"/>
  <c r="D19"/>
  <c r="P81"/>
  <c r="O119"/>
  <c r="O91"/>
  <c r="O77"/>
  <c r="O81"/>
  <c r="O146"/>
  <c r="O114"/>
  <c r="O163"/>
  <c r="O125"/>
  <c r="P58"/>
  <c r="P102"/>
  <c r="O69"/>
  <c r="O124"/>
  <c r="O149"/>
  <c r="D48"/>
  <c r="O121"/>
  <c r="O176"/>
  <c r="O115"/>
  <c r="O92"/>
  <c r="P67"/>
  <c r="O147"/>
  <c r="O123"/>
  <c r="P92"/>
  <c r="P110"/>
  <c r="P69"/>
  <c r="O131"/>
  <c r="P61"/>
  <c r="O58"/>
  <c r="O139"/>
  <c r="O64"/>
  <c r="O174"/>
  <c r="O71"/>
  <c r="O169"/>
  <c r="P95"/>
  <c r="O82"/>
  <c r="O73"/>
  <c r="O157"/>
  <c r="O103"/>
  <c r="P114"/>
  <c r="O160"/>
  <c r="P84"/>
  <c r="O67"/>
  <c r="P56"/>
  <c r="O120"/>
  <c r="O175"/>
  <c r="O151"/>
  <c r="O122"/>
  <c r="O61"/>
  <c r="P73"/>
  <c r="P103"/>
  <c r="P86"/>
  <c r="O137"/>
  <c r="D8" i="24"/>
  <c r="N36" i="19"/>
  <c r="O36" s="1"/>
  <c r="N37" i="20"/>
  <c r="O37" s="1"/>
  <c r="P95" i="8"/>
  <c r="O102" i="10"/>
  <c r="O72" i="8"/>
  <c r="P64"/>
  <c r="D22"/>
  <c r="O79"/>
  <c r="I126" i="10"/>
  <c r="O126" s="1"/>
  <c r="I80"/>
  <c r="P80" s="1"/>
  <c r="P86"/>
  <c r="O65" i="8"/>
  <c r="O66" i="10"/>
  <c r="I90" i="8"/>
  <c r="P90" s="1"/>
  <c r="O84"/>
  <c r="I111" i="10"/>
  <c r="O111" s="1"/>
  <c r="I170"/>
  <c r="O170" s="1"/>
  <c r="I130"/>
  <c r="O130" s="1"/>
  <c r="I62"/>
  <c r="O62" s="1"/>
  <c r="O95"/>
  <c r="O70"/>
  <c r="I97"/>
  <c r="O97" s="1"/>
  <c r="I162"/>
  <c r="O162" s="1"/>
  <c r="I59"/>
  <c r="O59" s="1"/>
  <c r="P108"/>
  <c r="I107"/>
  <c r="O107" s="1"/>
  <c r="I94"/>
  <c r="P94" s="1"/>
  <c r="I171"/>
  <c r="O171" s="1"/>
  <c r="I88"/>
  <c r="P88" s="1"/>
  <c r="I85"/>
  <c r="P85" s="1"/>
  <c r="I112"/>
  <c r="O112" s="1"/>
  <c r="O78" i="8"/>
  <c r="I74"/>
  <c r="P74" s="1"/>
  <c r="I98" i="10"/>
  <c r="P98" s="1"/>
  <c r="I87"/>
  <c r="O87" s="1"/>
  <c r="I111" i="8"/>
  <c r="P111" s="1"/>
  <c r="I89" i="10"/>
  <c r="P89" s="1"/>
  <c r="I156"/>
  <c r="O156" s="1"/>
  <c r="I172"/>
  <c r="O172" s="1"/>
  <c r="I90"/>
  <c r="O90" s="1"/>
  <c r="I167"/>
  <c r="O167" s="1"/>
  <c r="I128"/>
  <c r="O128" s="1"/>
  <c r="O101" i="8"/>
  <c r="I178" i="10"/>
  <c r="O178" s="1"/>
  <c r="I83"/>
  <c r="P83" s="1"/>
  <c r="I100"/>
  <c r="O100" s="1"/>
  <c r="I99"/>
  <c r="O99" s="1"/>
  <c r="I150"/>
  <c r="O150" s="1"/>
  <c r="P75"/>
  <c r="I167" i="8"/>
  <c r="O167" s="1"/>
  <c r="I154" i="10"/>
  <c r="O154" s="1"/>
  <c r="O77" i="8"/>
  <c r="I171"/>
  <c r="O171" s="1"/>
  <c r="I88"/>
  <c r="O88" s="1"/>
  <c r="P84" i="10"/>
  <c r="O75" i="8"/>
  <c r="P57"/>
  <c r="O108"/>
  <c r="I87"/>
  <c r="O87" s="1"/>
  <c r="I126"/>
  <c r="O126" s="1"/>
  <c r="I59"/>
  <c r="O59" s="1"/>
  <c r="I80"/>
  <c r="I62"/>
  <c r="P62" s="1"/>
  <c r="P96"/>
  <c r="O68"/>
  <c r="P109"/>
  <c r="I97"/>
  <c r="P97" s="1"/>
  <c r="I130"/>
  <c r="O130" s="1"/>
  <c r="I107"/>
  <c r="O107" s="1"/>
  <c r="I170"/>
  <c r="O170" s="1"/>
  <c r="I85"/>
  <c r="P85" s="1"/>
  <c r="I128"/>
  <c r="O128" s="1"/>
  <c r="P91"/>
  <c r="O106" i="10"/>
  <c r="O68"/>
  <c r="P104" i="8"/>
  <c r="O60" i="10"/>
  <c r="O60" i="8"/>
  <c r="P66"/>
  <c r="O72" i="10"/>
  <c r="P57"/>
  <c r="O63"/>
  <c r="O56"/>
  <c r="O96"/>
  <c r="I83" i="8"/>
  <c r="O83" s="1"/>
  <c r="I156"/>
  <c r="O156" s="1"/>
  <c r="I100"/>
  <c r="P100" s="1"/>
  <c r="I154"/>
  <c r="O154" s="1"/>
  <c r="I162"/>
  <c r="O162" s="1"/>
  <c r="P56"/>
  <c r="I99"/>
  <c r="P99" s="1"/>
  <c r="O93"/>
  <c r="I150"/>
  <c r="O150" s="1"/>
  <c r="P86"/>
  <c r="I105"/>
  <c r="O105" s="1"/>
  <c r="I178"/>
  <c r="O178" s="1"/>
  <c r="I152"/>
  <c r="O152" s="1"/>
  <c r="I94"/>
  <c r="P94" s="1"/>
  <c r="I98"/>
  <c r="O76"/>
  <c r="I112"/>
  <c r="P112" s="1"/>
  <c r="I89"/>
  <c r="O89" s="1"/>
  <c r="I172"/>
  <c r="O172" s="1"/>
  <c r="P63"/>
  <c r="O91" i="10"/>
  <c r="P76"/>
  <c r="P93"/>
  <c r="O64"/>
  <c r="O79"/>
  <c r="O71"/>
  <c r="P65"/>
  <c r="O77"/>
  <c r="O102" i="8"/>
  <c r="P102"/>
  <c r="P113"/>
  <c r="O113"/>
  <c r="P70"/>
  <c r="O70"/>
  <c r="I109" i="10"/>
  <c r="I105"/>
  <c r="I152"/>
  <c r="O152" s="1"/>
  <c r="O115" i="8"/>
  <c r="P115"/>
  <c r="O78" i="10"/>
  <c r="P113"/>
  <c r="O101"/>
  <c r="O71" i="8"/>
  <c r="P71"/>
  <c r="O104" i="10"/>
  <c r="P74"/>
  <c r="J146" i="12"/>
  <c r="K146" s="1"/>
  <c r="D17" i="3"/>
  <c r="J146" i="13"/>
  <c r="K146" s="1"/>
  <c r="J146" i="14"/>
  <c r="J146" i="2"/>
  <c r="K146" s="1"/>
  <c r="N119" i="14"/>
  <c r="O118"/>
  <c r="N119" i="2"/>
  <c r="O118"/>
  <c r="N119" i="13"/>
  <c r="O118"/>
  <c r="D8" i="11"/>
  <c r="D8" i="7"/>
  <c r="E9" i="6"/>
  <c r="G23" i="9" s="1"/>
  <c r="D15" i="3"/>
  <c r="D12"/>
  <c r="D47"/>
  <c r="I124" s="1"/>
  <c r="D9"/>
  <c r="D16"/>
  <c r="D21" s="1"/>
  <c r="D11"/>
  <c r="D13"/>
  <c r="D10"/>
  <c r="D14"/>
  <c r="D18"/>
  <c r="D10" i="6"/>
  <c r="N79" i="42" l="1"/>
  <c r="N80" s="1"/>
  <c r="N89" s="1"/>
  <c r="BJ6" i="28" s="1"/>
  <c r="P66" i="9"/>
  <c r="I162"/>
  <c r="O162" s="1"/>
  <c r="I178"/>
  <c r="O178" s="1"/>
  <c r="I90"/>
  <c r="P90" s="1"/>
  <c r="I98"/>
  <c r="P98" s="1"/>
  <c r="I112"/>
  <c r="O112" s="1"/>
  <c r="I87"/>
  <c r="P87" s="1"/>
  <c r="I99"/>
  <c r="O99" s="1"/>
  <c r="I89"/>
  <c r="P89" s="1"/>
  <c r="X24" i="40"/>
  <c r="P65" i="9"/>
  <c r="O70"/>
  <c r="P68"/>
  <c r="K146" i="14"/>
  <c r="P113" i="9"/>
  <c r="P101"/>
  <c r="D22"/>
  <c r="P57"/>
  <c r="O78"/>
  <c r="O93"/>
  <c r="P94"/>
  <c r="O95"/>
  <c r="P115"/>
  <c r="O60"/>
  <c r="O96"/>
  <c r="O84"/>
  <c r="P79"/>
  <c r="P75"/>
  <c r="O106"/>
  <c r="O172"/>
  <c r="O72"/>
  <c r="O104"/>
  <c r="O108"/>
  <c r="P64"/>
  <c r="P76"/>
  <c r="P91"/>
  <c r="O152"/>
  <c r="O105"/>
  <c r="O150"/>
  <c r="P63"/>
  <c r="P71"/>
  <c r="P77"/>
  <c r="O80"/>
  <c r="O126"/>
  <c r="O167"/>
  <c r="O62"/>
  <c r="P85"/>
  <c r="P111"/>
  <c r="O86"/>
  <c r="O88"/>
  <c r="P100"/>
  <c r="O130"/>
  <c r="O156"/>
  <c r="O171"/>
  <c r="O83"/>
  <c r="P97"/>
  <c r="P109"/>
  <c r="O74"/>
  <c r="O128"/>
  <c r="O154"/>
  <c r="O170"/>
  <c r="O59"/>
  <c r="O56"/>
  <c r="O102"/>
  <c r="N37" i="19"/>
  <c r="O37" s="1"/>
  <c r="N38" i="20"/>
  <c r="O38" s="1"/>
  <c r="P97" i="10"/>
  <c r="P59"/>
  <c r="P90"/>
  <c r="O80"/>
  <c r="O90" i="8"/>
  <c r="O89" i="10"/>
  <c r="P100"/>
  <c r="O98"/>
  <c r="P107"/>
  <c r="P88" i="8"/>
  <c r="P87"/>
  <c r="P111" i="10"/>
  <c r="O62" i="8"/>
  <c r="P62" i="10"/>
  <c r="O111" i="8"/>
  <c r="O85" i="10"/>
  <c r="O97" i="8"/>
  <c r="O83" i="10"/>
  <c r="O88"/>
  <c r="O74" i="8"/>
  <c r="P99" i="10"/>
  <c r="O179"/>
  <c r="O180" s="1"/>
  <c r="D3" s="1"/>
  <c r="O94"/>
  <c r="P112"/>
  <c r="P87"/>
  <c r="O85" i="8"/>
  <c r="P80"/>
  <c r="O80"/>
  <c r="O100"/>
  <c r="P107"/>
  <c r="O99"/>
  <c r="P59"/>
  <c r="O179"/>
  <c r="O180" s="1"/>
  <c r="D3" s="1"/>
  <c r="P105"/>
  <c r="P83"/>
  <c r="O98"/>
  <c r="P98"/>
  <c r="O94"/>
  <c r="O112"/>
  <c r="P89"/>
  <c r="I106" i="3"/>
  <c r="P106" s="1"/>
  <c r="P109" i="10"/>
  <c r="O109"/>
  <c r="I153" i="3"/>
  <c r="O153" s="1"/>
  <c r="O105" i="10"/>
  <c r="P105"/>
  <c r="I93" i="3"/>
  <c r="O93" s="1"/>
  <c r="I144"/>
  <c r="O144" s="1"/>
  <c r="P107" i="9"/>
  <c r="O107"/>
  <c r="J147" i="12"/>
  <c r="K147" s="1"/>
  <c r="I76" i="3"/>
  <c r="P76" s="1"/>
  <c r="I165"/>
  <c r="O165" s="1"/>
  <c r="I115"/>
  <c r="P115" s="1"/>
  <c r="I166"/>
  <c r="O166" s="1"/>
  <c r="I56"/>
  <c r="O56" s="1"/>
  <c r="I177"/>
  <c r="O177" s="1"/>
  <c r="I127"/>
  <c r="O127" s="1"/>
  <c r="I57"/>
  <c r="O57" s="1"/>
  <c r="I120"/>
  <c r="O120" s="1"/>
  <c r="I78"/>
  <c r="O78" s="1"/>
  <c r="I135"/>
  <c r="O135" s="1"/>
  <c r="I75"/>
  <c r="O75" s="1"/>
  <c r="I136"/>
  <c r="O136" s="1"/>
  <c r="O147"/>
  <c r="I104"/>
  <c r="O104" s="1"/>
  <c r="I68"/>
  <c r="O68" s="1"/>
  <c r="I96"/>
  <c r="O96" s="1"/>
  <c r="I66"/>
  <c r="O66" s="1"/>
  <c r="I173"/>
  <c r="O173" s="1"/>
  <c r="I161"/>
  <c r="O161" s="1"/>
  <c r="I143"/>
  <c r="O143" s="1"/>
  <c r="I131"/>
  <c r="O131" s="1"/>
  <c r="I121"/>
  <c r="O121" s="1"/>
  <c r="I101"/>
  <c r="O101" s="1"/>
  <c r="I79"/>
  <c r="O79" s="1"/>
  <c r="I65"/>
  <c r="P65" s="1"/>
  <c r="I174"/>
  <c r="O174" s="1"/>
  <c r="I158"/>
  <c r="O158" s="1"/>
  <c r="I140"/>
  <c r="O140" s="1"/>
  <c r="I132"/>
  <c r="O132" s="1"/>
  <c r="J147" i="13"/>
  <c r="K147" s="1"/>
  <c r="J147" i="14"/>
  <c r="K147" s="1"/>
  <c r="J147" i="2"/>
  <c r="K147" s="1"/>
  <c r="N120" i="14"/>
  <c r="O119"/>
  <c r="N120" i="2"/>
  <c r="O119"/>
  <c r="N120" i="13"/>
  <c r="O119"/>
  <c r="O141" i="3"/>
  <c r="P73"/>
  <c r="P61"/>
  <c r="P92"/>
  <c r="O58"/>
  <c r="O122"/>
  <c r="O69"/>
  <c r="P67"/>
  <c r="O67"/>
  <c r="O146"/>
  <c r="O110"/>
  <c r="O155"/>
  <c r="O73"/>
  <c r="O82"/>
  <c r="O119"/>
  <c r="P114"/>
  <c r="P82"/>
  <c r="O103"/>
  <c r="O125"/>
  <c r="O157"/>
  <c r="P81"/>
  <c r="O114"/>
  <c r="O145"/>
  <c r="P58"/>
  <c r="P103"/>
  <c r="O61"/>
  <c r="O81"/>
  <c r="O92"/>
  <c r="O151"/>
  <c r="P69"/>
  <c r="P110"/>
  <c r="O139"/>
  <c r="O160"/>
  <c r="I108"/>
  <c r="O108" s="1"/>
  <c r="I84"/>
  <c r="O84" s="1"/>
  <c r="I72"/>
  <c r="O72" s="1"/>
  <c r="I60"/>
  <c r="P60" s="1"/>
  <c r="I102"/>
  <c r="O102" s="1"/>
  <c r="I86"/>
  <c r="O86" s="1"/>
  <c r="I70"/>
  <c r="O70" s="1"/>
  <c r="I64"/>
  <c r="P64" s="1"/>
  <c r="I175"/>
  <c r="O175" s="1"/>
  <c r="I169"/>
  <c r="I163"/>
  <c r="O163" s="1"/>
  <c r="I159"/>
  <c r="O159" s="1"/>
  <c r="I149"/>
  <c r="O149" s="1"/>
  <c r="I137"/>
  <c r="O137" s="1"/>
  <c r="I133"/>
  <c r="O133" s="1"/>
  <c r="I129"/>
  <c r="O129" s="1"/>
  <c r="I123"/>
  <c r="O123" s="1"/>
  <c r="D48"/>
  <c r="I126" s="1"/>
  <c r="O126" s="1"/>
  <c r="I113"/>
  <c r="P113" s="1"/>
  <c r="I95"/>
  <c r="P95" s="1"/>
  <c r="I91"/>
  <c r="P91" s="1"/>
  <c r="I77"/>
  <c r="O77" s="1"/>
  <c r="I71"/>
  <c r="P71" s="1"/>
  <c r="I63"/>
  <c r="P63" s="1"/>
  <c r="I176"/>
  <c r="O176" s="1"/>
  <c r="I168"/>
  <c r="O168" s="1"/>
  <c r="I164"/>
  <c r="O164" s="1"/>
  <c r="I148"/>
  <c r="O148" s="1"/>
  <c r="I142"/>
  <c r="O142" s="1"/>
  <c r="I138"/>
  <c r="O138" s="1"/>
  <c r="I134"/>
  <c r="O134" s="1"/>
  <c r="D20"/>
  <c r="D22" s="1"/>
  <c r="D19"/>
  <c r="O169"/>
  <c r="O124"/>
  <c r="D11" i="6"/>
  <c r="D12" s="1"/>
  <c r="D13" s="1"/>
  <c r="H12" i="1"/>
  <c r="I12" s="1"/>
  <c r="H13"/>
  <c r="I13" s="1"/>
  <c r="H14"/>
  <c r="I14" s="1"/>
  <c r="H15"/>
  <c r="I15" s="1"/>
  <c r="H16"/>
  <c r="I16" s="1"/>
  <c r="H17"/>
  <c r="I17" s="1"/>
  <c r="H18"/>
  <c r="I18" s="1"/>
  <c r="H19"/>
  <c r="I19" s="1"/>
  <c r="H20"/>
  <c r="I20" s="1"/>
  <c r="H21"/>
  <c r="I21" s="1"/>
  <c r="H22"/>
  <c r="I22" s="1"/>
  <c r="H23"/>
  <c r="I23" s="1"/>
  <c r="H24"/>
  <c r="I24" s="1"/>
  <c r="H25"/>
  <c r="I25" s="1"/>
  <c r="H26"/>
  <c r="I26" s="1"/>
  <c r="H27"/>
  <c r="I27" s="1"/>
  <c r="H28"/>
  <c r="I28" s="1"/>
  <c r="H29"/>
  <c r="I29" s="1"/>
  <c r="H30"/>
  <c r="I30" s="1"/>
  <c r="H31"/>
  <c r="I31" s="1"/>
  <c r="H32"/>
  <c r="I32" s="1"/>
  <c r="H33"/>
  <c r="I33" s="1"/>
  <c r="H34"/>
  <c r="I34" s="1"/>
  <c r="H35"/>
  <c r="I35" s="1"/>
  <c r="H36"/>
  <c r="I36" s="1"/>
  <c r="H37"/>
  <c r="I37" s="1"/>
  <c r="H38"/>
  <c r="I38" s="1"/>
  <c r="H39"/>
  <c r="I39" s="1"/>
  <c r="H40"/>
  <c r="I40" s="1"/>
  <c r="H41"/>
  <c r="I41" s="1"/>
  <c r="H42"/>
  <c r="I42" s="1"/>
  <c r="H43"/>
  <c r="I43" s="1"/>
  <c r="H44"/>
  <c r="I44" s="1"/>
  <c r="H45"/>
  <c r="I45" s="1"/>
  <c r="H46"/>
  <c r="I46" s="1"/>
  <c r="H47"/>
  <c r="I47" s="1"/>
  <c r="H48"/>
  <c r="I48" s="1"/>
  <c r="H49"/>
  <c r="I49" s="1"/>
  <c r="H50"/>
  <c r="I50" s="1"/>
  <c r="H51"/>
  <c r="I51" s="1"/>
  <c r="H52"/>
  <c r="I52" s="1"/>
  <c r="H53"/>
  <c r="I53" s="1"/>
  <c r="H54"/>
  <c r="I54" s="1"/>
  <c r="H55"/>
  <c r="I55" s="1"/>
  <c r="H56"/>
  <c r="I56" s="1"/>
  <c r="H57"/>
  <c r="I57" s="1"/>
  <c r="H58"/>
  <c r="I58" s="1"/>
  <c r="H59"/>
  <c r="I59" s="1"/>
  <c r="H60"/>
  <c r="I60" s="1"/>
  <c r="H61"/>
  <c r="I61" s="1"/>
  <c r="H62"/>
  <c r="I62" s="1"/>
  <c r="H63"/>
  <c r="I63" s="1"/>
  <c r="H64"/>
  <c r="I64" s="1"/>
  <c r="H65"/>
  <c r="I65" s="1"/>
  <c r="H66"/>
  <c r="I66" s="1"/>
  <c r="H67"/>
  <c r="I67" s="1"/>
  <c r="H68"/>
  <c r="I68" s="1"/>
  <c r="H69"/>
  <c r="I69" s="1"/>
  <c r="H70"/>
  <c r="I70" s="1"/>
  <c r="H71"/>
  <c r="I71" s="1"/>
  <c r="H72"/>
  <c r="I72" s="1"/>
  <c r="H73"/>
  <c r="I73" s="1"/>
  <c r="H74"/>
  <c r="I74" s="1"/>
  <c r="H75"/>
  <c r="I75" s="1"/>
  <c r="H76"/>
  <c r="I76" s="1"/>
  <c r="H77"/>
  <c r="I77" s="1"/>
  <c r="H78"/>
  <c r="I78" s="1"/>
  <c r="H79"/>
  <c r="I79" s="1"/>
  <c r="H80"/>
  <c r="I80" s="1"/>
  <c r="H81"/>
  <c r="I81" s="1"/>
  <c r="H82"/>
  <c r="I82" s="1"/>
  <c r="H83"/>
  <c r="I83" s="1"/>
  <c r="H84"/>
  <c r="I84" s="1"/>
  <c r="H85"/>
  <c r="I85" s="1"/>
  <c r="H86"/>
  <c r="I86" s="1"/>
  <c r="H87"/>
  <c r="I87" s="1"/>
  <c r="H88"/>
  <c r="I88" s="1"/>
  <c r="H89"/>
  <c r="I89" s="1"/>
  <c r="H90"/>
  <c r="I90" s="1"/>
  <c r="H91"/>
  <c r="I91" s="1"/>
  <c r="H92"/>
  <c r="I92" s="1"/>
  <c r="H93"/>
  <c r="I93" s="1"/>
  <c r="H94"/>
  <c r="I94" s="1"/>
  <c r="H95"/>
  <c r="I95" s="1"/>
  <c r="H96"/>
  <c r="I96" s="1"/>
  <c r="H97"/>
  <c r="I97" s="1"/>
  <c r="H98"/>
  <c r="I98" s="1"/>
  <c r="H99"/>
  <c r="I99" s="1"/>
  <c r="H100"/>
  <c r="I100" s="1"/>
  <c r="H101"/>
  <c r="I101" s="1"/>
  <c r="H102"/>
  <c r="I102" s="1"/>
  <c r="H103"/>
  <c r="I103" s="1"/>
  <c r="H104"/>
  <c r="I104" s="1"/>
  <c r="H105"/>
  <c r="I105" s="1"/>
  <c r="H106"/>
  <c r="I106" s="1"/>
  <c r="H107"/>
  <c r="I107" s="1"/>
  <c r="H108"/>
  <c r="I108" s="1"/>
  <c r="H109"/>
  <c r="I109" s="1"/>
  <c r="H110"/>
  <c r="I110" s="1"/>
  <c r="H111"/>
  <c r="I111" s="1"/>
  <c r="H112"/>
  <c r="I112" s="1"/>
  <c r="H113"/>
  <c r="I113" s="1"/>
  <c r="H114"/>
  <c r="I114" s="1"/>
  <c r="H115"/>
  <c r="I115" s="1"/>
  <c r="H116"/>
  <c r="I116" s="1"/>
  <c r="H117"/>
  <c r="I117" s="1"/>
  <c r="H118"/>
  <c r="I118" s="1"/>
  <c r="H119"/>
  <c r="I119" s="1"/>
  <c r="H120"/>
  <c r="I120" s="1"/>
  <c r="H121"/>
  <c r="I121" s="1"/>
  <c r="H122"/>
  <c r="I122" s="1"/>
  <c r="H123"/>
  <c r="I123" s="1"/>
  <c r="H124"/>
  <c r="I124" s="1"/>
  <c r="H125"/>
  <c r="I125" s="1"/>
  <c r="H126"/>
  <c r="I126" s="1"/>
  <c r="H127"/>
  <c r="I127" s="1"/>
  <c r="H128"/>
  <c r="I128" s="1"/>
  <c r="H129"/>
  <c r="I129" s="1"/>
  <c r="H130"/>
  <c r="I130" s="1"/>
  <c r="H131"/>
  <c r="I131" s="1"/>
  <c r="H132"/>
  <c r="I132" s="1"/>
  <c r="H133"/>
  <c r="I133" s="1"/>
  <c r="H134"/>
  <c r="I134" s="1"/>
  <c r="H135"/>
  <c r="I135" s="1"/>
  <c r="H136"/>
  <c r="I136" s="1"/>
  <c r="H137"/>
  <c r="I137" s="1"/>
  <c r="H138"/>
  <c r="I138" s="1"/>
  <c r="H139"/>
  <c r="I139" s="1"/>
  <c r="H140"/>
  <c r="I140" s="1"/>
  <c r="H141"/>
  <c r="I141" s="1"/>
  <c r="H142"/>
  <c r="I142" s="1"/>
  <c r="H143"/>
  <c r="I143" s="1"/>
  <c r="H144"/>
  <c r="I144" s="1"/>
  <c r="H145"/>
  <c r="I145" s="1"/>
  <c r="H146"/>
  <c r="I146" s="1"/>
  <c r="H147"/>
  <c r="I147" s="1"/>
  <c r="H148"/>
  <c r="I148" s="1"/>
  <c r="H149"/>
  <c r="I149" s="1"/>
  <c r="H150"/>
  <c r="I150" s="1"/>
  <c r="H151"/>
  <c r="I151" s="1"/>
  <c r="H152"/>
  <c r="I152" s="1"/>
  <c r="H153"/>
  <c r="I153" s="1"/>
  <c r="H154"/>
  <c r="I154" s="1"/>
  <c r="H155"/>
  <c r="I155" s="1"/>
  <c r="H156"/>
  <c r="I156" s="1"/>
  <c r="H157"/>
  <c r="I157" s="1"/>
  <c r="H158"/>
  <c r="I158" s="1"/>
  <c r="H159"/>
  <c r="I159" s="1"/>
  <c r="H160"/>
  <c r="I160" s="1"/>
  <c r="H161"/>
  <c r="I161" s="1"/>
  <c r="H162"/>
  <c r="I162" s="1"/>
  <c r="H163"/>
  <c r="I163" s="1"/>
  <c r="H164"/>
  <c r="I164" s="1"/>
  <c r="H165"/>
  <c r="I165" s="1"/>
  <c r="H166"/>
  <c r="I166" s="1"/>
  <c r="H167"/>
  <c r="I167" s="1"/>
  <c r="H168"/>
  <c r="I168" s="1"/>
  <c r="H169"/>
  <c r="I169" s="1"/>
  <c r="H170"/>
  <c r="I170" s="1"/>
  <c r="H171"/>
  <c r="I171" s="1"/>
  <c r="H172"/>
  <c r="I172" s="1"/>
  <c r="H173"/>
  <c r="I173" s="1"/>
  <c r="H174"/>
  <c r="I174" s="1"/>
  <c r="H175"/>
  <c r="I175" s="1"/>
  <c r="H176"/>
  <c r="I176" s="1"/>
  <c r="H177"/>
  <c r="I177" s="1"/>
  <c r="H178"/>
  <c r="I178" s="1"/>
  <c r="H179"/>
  <c r="I179" s="1"/>
  <c r="H180"/>
  <c r="I180" s="1"/>
  <c r="H181"/>
  <c r="I181" s="1"/>
  <c r="H182"/>
  <c r="I182" s="1"/>
  <c r="H183"/>
  <c r="I183" s="1"/>
  <c r="H184"/>
  <c r="I184" s="1"/>
  <c r="H185"/>
  <c r="I185" s="1"/>
  <c r="H186"/>
  <c r="I186" s="1"/>
  <c r="H187"/>
  <c r="I187" s="1"/>
  <c r="H188"/>
  <c r="I188" s="1"/>
  <c r="H189"/>
  <c r="I189" s="1"/>
  <c r="H190"/>
  <c r="I190" s="1"/>
  <c r="H191"/>
  <c r="I191" s="1"/>
  <c r="H192"/>
  <c r="I192" s="1"/>
  <c r="H193"/>
  <c r="I193" s="1"/>
  <c r="H194"/>
  <c r="I194" s="1"/>
  <c r="H195"/>
  <c r="I195" s="1"/>
  <c r="H196"/>
  <c r="I196" s="1"/>
  <c r="H197"/>
  <c r="I197" s="1"/>
  <c r="H198"/>
  <c r="I198" s="1"/>
  <c r="H199"/>
  <c r="I199" s="1"/>
  <c r="H200"/>
  <c r="I200" s="1"/>
  <c r="H201"/>
  <c r="I201" s="1"/>
  <c r="H202"/>
  <c r="I202" s="1"/>
  <c r="H203"/>
  <c r="I203" s="1"/>
  <c r="H204"/>
  <c r="I204" s="1"/>
  <c r="H205"/>
  <c r="I205" s="1"/>
  <c r="H206"/>
  <c r="I206" s="1"/>
  <c r="H207"/>
  <c r="I207" s="1"/>
  <c r="H208"/>
  <c r="I208" s="1"/>
  <c r="H209"/>
  <c r="I209" s="1"/>
  <c r="H210"/>
  <c r="I210" s="1"/>
  <c r="H211"/>
  <c r="I211" s="1"/>
  <c r="H212"/>
  <c r="I212" s="1"/>
  <c r="H213"/>
  <c r="I213" s="1"/>
  <c r="H214"/>
  <c r="I214" s="1"/>
  <c r="H215"/>
  <c r="I215" s="1"/>
  <c r="H216"/>
  <c r="I216" s="1"/>
  <c r="H217"/>
  <c r="I217" s="1"/>
  <c r="H218"/>
  <c r="I218" s="1"/>
  <c r="H219"/>
  <c r="I219" s="1"/>
  <c r="H220"/>
  <c r="I220" s="1"/>
  <c r="H221"/>
  <c r="I221" s="1"/>
  <c r="H222"/>
  <c r="I222" s="1"/>
  <c r="H223"/>
  <c r="I223" s="1"/>
  <c r="H224"/>
  <c r="I224" s="1"/>
  <c r="H225"/>
  <c r="I225" s="1"/>
  <c r="H226"/>
  <c r="I226" s="1"/>
  <c r="H227"/>
  <c r="I227" s="1"/>
  <c r="H228"/>
  <c r="I228" s="1"/>
  <c r="H229"/>
  <c r="I229" s="1"/>
  <c r="H230"/>
  <c r="I230" s="1"/>
  <c r="H231"/>
  <c r="I231" s="1"/>
  <c r="H232"/>
  <c r="I232" s="1"/>
  <c r="H233"/>
  <c r="I233" s="1"/>
  <c r="H234"/>
  <c r="I234" s="1"/>
  <c r="H235"/>
  <c r="I235" s="1"/>
  <c r="H236"/>
  <c r="I236" s="1"/>
  <c r="H237"/>
  <c r="I237" s="1"/>
  <c r="H238"/>
  <c r="I238" s="1"/>
  <c r="H239"/>
  <c r="I239" s="1"/>
  <c r="H240"/>
  <c r="I240" s="1"/>
  <c r="H241"/>
  <c r="I241" s="1"/>
  <c r="H242"/>
  <c r="I242" s="1"/>
  <c r="H243"/>
  <c r="I243" s="1"/>
  <c r="H244"/>
  <c r="I244" s="1"/>
  <c r="H245"/>
  <c r="I245" s="1"/>
  <c r="H246"/>
  <c r="I246" s="1"/>
  <c r="H247"/>
  <c r="I247" s="1"/>
  <c r="H248"/>
  <c r="I248" s="1"/>
  <c r="H249"/>
  <c r="I249" s="1"/>
  <c r="H250"/>
  <c r="I250" s="1"/>
  <c r="H251"/>
  <c r="I251" s="1"/>
  <c r="H252"/>
  <c r="I252" s="1"/>
  <c r="H253"/>
  <c r="I253" s="1"/>
  <c r="H254"/>
  <c r="I254" s="1"/>
  <c r="H255"/>
  <c r="I255" s="1"/>
  <c r="H256"/>
  <c r="I256" s="1"/>
  <c r="H257"/>
  <c r="I257" s="1"/>
  <c r="H258"/>
  <c r="I258" s="1"/>
  <c r="H259"/>
  <c r="I259" s="1"/>
  <c r="H260"/>
  <c r="I260" s="1"/>
  <c r="H261"/>
  <c r="I261" s="1"/>
  <c r="H262"/>
  <c r="I262" s="1"/>
  <c r="H263"/>
  <c r="I263" s="1"/>
  <c r="H264"/>
  <c r="I264" s="1"/>
  <c r="H265"/>
  <c r="I265" s="1"/>
  <c r="H266"/>
  <c r="I266" s="1"/>
  <c r="H267"/>
  <c r="I267" s="1"/>
  <c r="H268"/>
  <c r="I268" s="1"/>
  <c r="H269"/>
  <c r="I269" s="1"/>
  <c r="H270"/>
  <c r="I270" s="1"/>
  <c r="H271"/>
  <c r="I271" s="1"/>
  <c r="H272"/>
  <c r="I272" s="1"/>
  <c r="H273"/>
  <c r="I273" s="1"/>
  <c r="H274"/>
  <c r="I274" s="1"/>
  <c r="H275"/>
  <c r="I275" s="1"/>
  <c r="H276"/>
  <c r="I276" s="1"/>
  <c r="H277"/>
  <c r="I277" s="1"/>
  <c r="H278"/>
  <c r="I278" s="1"/>
  <c r="H279"/>
  <c r="I279" s="1"/>
  <c r="H280"/>
  <c r="I280" s="1"/>
  <c r="H281"/>
  <c r="I281" s="1"/>
  <c r="H282"/>
  <c r="I282" s="1"/>
  <c r="H283"/>
  <c r="I283" s="1"/>
  <c r="H284"/>
  <c r="I284" s="1"/>
  <c r="H285"/>
  <c r="I285" s="1"/>
  <c r="H286"/>
  <c r="I286" s="1"/>
  <c r="H287"/>
  <c r="I287" s="1"/>
  <c r="H288"/>
  <c r="I288" s="1"/>
  <c r="H289"/>
  <c r="I289" s="1"/>
  <c r="H290"/>
  <c r="I290" s="1"/>
  <c r="H291"/>
  <c r="I291" s="1"/>
  <c r="H292"/>
  <c r="I292" s="1"/>
  <c r="H293"/>
  <c r="I293" s="1"/>
  <c r="H294"/>
  <c r="I294" s="1"/>
  <c r="H295"/>
  <c r="I295" s="1"/>
  <c r="H296"/>
  <c r="I296" s="1"/>
  <c r="H297"/>
  <c r="I297" s="1"/>
  <c r="H298"/>
  <c r="I298" s="1"/>
  <c r="H299"/>
  <c r="I299" s="1"/>
  <c r="H300"/>
  <c r="I300" s="1"/>
  <c r="H301"/>
  <c r="I301" s="1"/>
  <c r="H302"/>
  <c r="I302" s="1"/>
  <c r="H303"/>
  <c r="I303" s="1"/>
  <c r="H304"/>
  <c r="I304" s="1"/>
  <c r="H305"/>
  <c r="I305" s="1"/>
  <c r="H306"/>
  <c r="I306" s="1"/>
  <c r="H307"/>
  <c r="I307" s="1"/>
  <c r="H308"/>
  <c r="I308" s="1"/>
  <c r="H309"/>
  <c r="I309" s="1"/>
  <c r="H310"/>
  <c r="I310" s="1"/>
  <c r="H311"/>
  <c r="I311" s="1"/>
  <c r="H312"/>
  <c r="I312" s="1"/>
  <c r="H313"/>
  <c r="I313" s="1"/>
  <c r="H314"/>
  <c r="I314" s="1"/>
  <c r="H315"/>
  <c r="I315" s="1"/>
  <c r="H316"/>
  <c r="I316" s="1"/>
  <c r="H317"/>
  <c r="I317" s="1"/>
  <c r="H318"/>
  <c r="I318" s="1"/>
  <c r="H319"/>
  <c r="I319" s="1"/>
  <c r="H320"/>
  <c r="I320" s="1"/>
  <c r="H321"/>
  <c r="I321" s="1"/>
  <c r="H322"/>
  <c r="I322" s="1"/>
  <c r="H323"/>
  <c r="I323" s="1"/>
  <c r="H324"/>
  <c r="I324" s="1"/>
  <c r="H325"/>
  <c r="I325" s="1"/>
  <c r="H326"/>
  <c r="I326" s="1"/>
  <c r="H327"/>
  <c r="I327" s="1"/>
  <c r="H328"/>
  <c r="I328" s="1"/>
  <c r="H329"/>
  <c r="I329" s="1"/>
  <c r="H330"/>
  <c r="I330" s="1"/>
  <c r="H331"/>
  <c r="I331" s="1"/>
  <c r="H332"/>
  <c r="I332" s="1"/>
  <c r="H333"/>
  <c r="I333" s="1"/>
  <c r="H334"/>
  <c r="I334" s="1"/>
  <c r="H335"/>
  <c r="I335" s="1"/>
  <c r="H336"/>
  <c r="I336" s="1"/>
  <c r="H337"/>
  <c r="I337" s="1"/>
  <c r="H338"/>
  <c r="I338" s="1"/>
  <c r="H339"/>
  <c r="I339" s="1"/>
  <c r="H340"/>
  <c r="I340" s="1"/>
  <c r="H341"/>
  <c r="I341" s="1"/>
  <c r="H342"/>
  <c r="I342" s="1"/>
  <c r="H343"/>
  <c r="I343" s="1"/>
  <c r="H344"/>
  <c r="I344" s="1"/>
  <c r="H345"/>
  <c r="I345" s="1"/>
  <c r="H346"/>
  <c r="I346" s="1"/>
  <c r="H347"/>
  <c r="I347" s="1"/>
  <c r="H348"/>
  <c r="I348" s="1"/>
  <c r="H349"/>
  <c r="I349" s="1"/>
  <c r="H350"/>
  <c r="I350" s="1"/>
  <c r="H351"/>
  <c r="I351" s="1"/>
  <c r="H352"/>
  <c r="I352" s="1"/>
  <c r="H353"/>
  <c r="I353" s="1"/>
  <c r="H354"/>
  <c r="I354" s="1"/>
  <c r="H355"/>
  <c r="I355" s="1"/>
  <c r="H356"/>
  <c r="I356" s="1"/>
  <c r="H357"/>
  <c r="I357" s="1"/>
  <c r="H358"/>
  <c r="I358" s="1"/>
  <c r="H359"/>
  <c r="I359" s="1"/>
  <c r="H360"/>
  <c r="I360" s="1"/>
  <c r="H361"/>
  <c r="I361" s="1"/>
  <c r="H362"/>
  <c r="I362" s="1"/>
  <c r="H363"/>
  <c r="I363" s="1"/>
  <c r="H364"/>
  <c r="I364" s="1"/>
  <c r="H365"/>
  <c r="I365" s="1"/>
  <c r="H366"/>
  <c r="I366" s="1"/>
  <c r="H367"/>
  <c r="I367" s="1"/>
  <c r="H368"/>
  <c r="I368" s="1"/>
  <c r="H369"/>
  <c r="I369" s="1"/>
  <c r="H370"/>
  <c r="I370" s="1"/>
  <c r="H371"/>
  <c r="I371" s="1"/>
  <c r="H372"/>
  <c r="I372" s="1"/>
  <c r="H373"/>
  <c r="I373" s="1"/>
  <c r="H374"/>
  <c r="I374" s="1"/>
  <c r="H375"/>
  <c r="I375" s="1"/>
  <c r="H11"/>
  <c r="I11" s="1"/>
  <c r="X25" i="40" l="1"/>
  <c r="P62" i="9"/>
  <c r="O94"/>
  <c r="O97"/>
  <c r="P99"/>
  <c r="P74"/>
  <c r="P88"/>
  <c r="O90"/>
  <c r="P105"/>
  <c r="O89"/>
  <c r="O111"/>
  <c r="P80"/>
  <c r="P59"/>
  <c r="P112"/>
  <c r="O100"/>
  <c r="O85"/>
  <c r="O87"/>
  <c r="O98"/>
  <c r="O109"/>
  <c r="P83"/>
  <c r="O179"/>
  <c r="O180" s="1"/>
  <c r="D3" s="1"/>
  <c r="N38" i="19"/>
  <c r="O38" s="1"/>
  <c r="N39" i="20"/>
  <c r="O39" s="1"/>
  <c r="O106" i="3"/>
  <c r="P116" i="10"/>
  <c r="P117" s="1"/>
  <c r="D4" s="1"/>
  <c r="D5" s="1"/>
  <c r="O116" i="8"/>
  <c r="O117" s="1"/>
  <c r="D2" s="1"/>
  <c r="D26" s="1"/>
  <c r="P116"/>
  <c r="P117" s="1"/>
  <c r="D4" s="1"/>
  <c r="D5" s="1"/>
  <c r="P93" i="3"/>
  <c r="P104"/>
  <c r="O116" i="10"/>
  <c r="O117" s="1"/>
  <c r="D2" s="1"/>
  <c r="D26" s="1"/>
  <c r="O76" i="3"/>
  <c r="P56"/>
  <c r="P78"/>
  <c r="O64"/>
  <c r="O115"/>
  <c r="P79"/>
  <c r="O60"/>
  <c r="O95"/>
  <c r="O65"/>
  <c r="P66"/>
  <c r="O63"/>
  <c r="J148" i="12"/>
  <c r="K148" s="1"/>
  <c r="I162" i="3"/>
  <c r="O162" s="1"/>
  <c r="P57"/>
  <c r="I100"/>
  <c r="O100" s="1"/>
  <c r="P75"/>
  <c r="I89"/>
  <c r="O89" s="1"/>
  <c r="I171"/>
  <c r="O171" s="1"/>
  <c r="P96"/>
  <c r="I99"/>
  <c r="P99" s="1"/>
  <c r="I172"/>
  <c r="O172" s="1"/>
  <c r="P84"/>
  <c r="P77"/>
  <c r="I94"/>
  <c r="O94" s="1"/>
  <c r="I107"/>
  <c r="O107" s="1"/>
  <c r="I59"/>
  <c r="P59" s="1"/>
  <c r="I150"/>
  <c r="O150" s="1"/>
  <c r="I74"/>
  <c r="P74" s="1"/>
  <c r="I128"/>
  <c r="O128" s="1"/>
  <c r="I88"/>
  <c r="P88" s="1"/>
  <c r="I111"/>
  <c r="O111" s="1"/>
  <c r="I85"/>
  <c r="O85" s="1"/>
  <c r="I154"/>
  <c r="O154" s="1"/>
  <c r="P86"/>
  <c r="P101"/>
  <c r="P68"/>
  <c r="J148" i="13"/>
  <c r="K148" s="1"/>
  <c r="J148" i="14"/>
  <c r="K148" s="1"/>
  <c r="J148" i="2"/>
  <c r="K148" s="1"/>
  <c r="N121" i="14"/>
  <c r="O120"/>
  <c r="N121" i="2"/>
  <c r="O120"/>
  <c r="N121" i="13"/>
  <c r="O120"/>
  <c r="O71" i="3"/>
  <c r="O91"/>
  <c r="O113"/>
  <c r="P70"/>
  <c r="P102"/>
  <c r="P72"/>
  <c r="P108"/>
  <c r="I112"/>
  <c r="P112" s="1"/>
  <c r="I98"/>
  <c r="O98" s="1"/>
  <c r="I80"/>
  <c r="O80" s="1"/>
  <c r="I90"/>
  <c r="O90" s="1"/>
  <c r="I62"/>
  <c r="P62" s="1"/>
  <c r="I167"/>
  <c r="O167" s="1"/>
  <c r="I109"/>
  <c r="P109" s="1"/>
  <c r="I105"/>
  <c r="O105" s="1"/>
  <c r="I97"/>
  <c r="O97" s="1"/>
  <c r="I87"/>
  <c r="O87" s="1"/>
  <c r="I83"/>
  <c r="P83" s="1"/>
  <c r="I178"/>
  <c r="O178" s="1"/>
  <c r="I170"/>
  <c r="O170" s="1"/>
  <c r="I156"/>
  <c r="O156" s="1"/>
  <c r="I152"/>
  <c r="O152" s="1"/>
  <c r="I130"/>
  <c r="O130" s="1"/>
  <c r="D14" i="6"/>
  <c r="J375" i="1"/>
  <c r="L375"/>
  <c r="K375"/>
  <c r="J371"/>
  <c r="L371"/>
  <c r="K371"/>
  <c r="J367"/>
  <c r="L367"/>
  <c r="K367"/>
  <c r="J363"/>
  <c r="L363"/>
  <c r="K363"/>
  <c r="J359"/>
  <c r="L359"/>
  <c r="K359"/>
  <c r="L353"/>
  <c r="J353"/>
  <c r="K353"/>
  <c r="L349"/>
  <c r="J349"/>
  <c r="K349"/>
  <c r="L345"/>
  <c r="J345"/>
  <c r="K345"/>
  <c r="L341"/>
  <c r="J341"/>
  <c r="K341"/>
  <c r="L337"/>
  <c r="J337"/>
  <c r="K337"/>
  <c r="L333"/>
  <c r="J333"/>
  <c r="K333"/>
  <c r="J331"/>
  <c r="L331"/>
  <c r="K331"/>
  <c r="J327"/>
  <c r="L327"/>
  <c r="K327"/>
  <c r="L325"/>
  <c r="J325"/>
  <c r="K325"/>
  <c r="J323"/>
  <c r="L323"/>
  <c r="K323"/>
  <c r="L321"/>
  <c r="J321"/>
  <c r="K321"/>
  <c r="J319"/>
  <c r="L319"/>
  <c r="K319"/>
  <c r="L317"/>
  <c r="J317"/>
  <c r="K317"/>
  <c r="J315"/>
  <c r="L315"/>
  <c r="K315"/>
  <c r="L313"/>
  <c r="J313"/>
  <c r="K313"/>
  <c r="J311"/>
  <c r="L311"/>
  <c r="K311"/>
  <c r="L309"/>
  <c r="J309"/>
  <c r="K309"/>
  <c r="J307"/>
  <c r="L307"/>
  <c r="K307"/>
  <c r="L305"/>
  <c r="J305"/>
  <c r="K305"/>
  <c r="J303"/>
  <c r="L303"/>
  <c r="K303"/>
  <c r="L301"/>
  <c r="J301"/>
  <c r="K301"/>
  <c r="J299"/>
  <c r="L299"/>
  <c r="K299"/>
  <c r="L297"/>
  <c r="J297"/>
  <c r="K297"/>
  <c r="J295"/>
  <c r="L295"/>
  <c r="K295"/>
  <c r="L293"/>
  <c r="J293"/>
  <c r="K293"/>
  <c r="J291"/>
  <c r="L291"/>
  <c r="K291"/>
  <c r="L289"/>
  <c r="J289"/>
  <c r="K289"/>
  <c r="J287"/>
  <c r="L287"/>
  <c r="K287"/>
  <c r="L285"/>
  <c r="J285"/>
  <c r="K285"/>
  <c r="J283"/>
  <c r="L283"/>
  <c r="K283"/>
  <c r="L281"/>
  <c r="J281"/>
  <c r="K281"/>
  <c r="J279"/>
  <c r="L279"/>
  <c r="K279"/>
  <c r="L277"/>
  <c r="J277"/>
  <c r="K277"/>
  <c r="J275"/>
  <c r="L275"/>
  <c r="K275"/>
  <c r="L273"/>
  <c r="J273"/>
  <c r="K273"/>
  <c r="J271"/>
  <c r="L271"/>
  <c r="K271"/>
  <c r="L269"/>
  <c r="J269"/>
  <c r="K269"/>
  <c r="J267"/>
  <c r="L267"/>
  <c r="K267"/>
  <c r="L265"/>
  <c r="J265"/>
  <c r="K265"/>
  <c r="J263"/>
  <c r="L263"/>
  <c r="K263"/>
  <c r="L261"/>
  <c r="J261"/>
  <c r="K261"/>
  <c r="J259"/>
  <c r="L259"/>
  <c r="K259"/>
  <c r="L257"/>
  <c r="J257"/>
  <c r="K257"/>
  <c r="J255"/>
  <c r="L255"/>
  <c r="K255"/>
  <c r="L253"/>
  <c r="J253"/>
  <c r="K253"/>
  <c r="J251"/>
  <c r="L251"/>
  <c r="K251"/>
  <c r="L249"/>
  <c r="J249"/>
  <c r="K249"/>
  <c r="J247"/>
  <c r="L247"/>
  <c r="K247"/>
  <c r="L245"/>
  <c r="J245"/>
  <c r="K245"/>
  <c r="J243"/>
  <c r="L243"/>
  <c r="K243"/>
  <c r="L241"/>
  <c r="J241"/>
  <c r="K241"/>
  <c r="J239"/>
  <c r="L239"/>
  <c r="K239"/>
  <c r="L237"/>
  <c r="J237"/>
  <c r="K237"/>
  <c r="J235"/>
  <c r="L235"/>
  <c r="K235"/>
  <c r="L233"/>
  <c r="J233"/>
  <c r="K233"/>
  <c r="J231"/>
  <c r="L231"/>
  <c r="K231"/>
  <c r="L229"/>
  <c r="J229"/>
  <c r="K229"/>
  <c r="J227"/>
  <c r="L227"/>
  <c r="K227"/>
  <c r="L225"/>
  <c r="J225"/>
  <c r="K225"/>
  <c r="J223"/>
  <c r="L223"/>
  <c r="K223"/>
  <c r="L221"/>
  <c r="J221"/>
  <c r="K221"/>
  <c r="J219"/>
  <c r="L219"/>
  <c r="K219"/>
  <c r="L217"/>
  <c r="J217"/>
  <c r="K217"/>
  <c r="J215"/>
  <c r="L215"/>
  <c r="K215"/>
  <c r="L213"/>
  <c r="J213"/>
  <c r="K213"/>
  <c r="J211"/>
  <c r="L211"/>
  <c r="K211"/>
  <c r="L209"/>
  <c r="J209"/>
  <c r="K209"/>
  <c r="J207"/>
  <c r="L207"/>
  <c r="K207"/>
  <c r="L205"/>
  <c r="J205"/>
  <c r="K205"/>
  <c r="J203"/>
  <c r="L203"/>
  <c r="K203"/>
  <c r="L201"/>
  <c r="J201"/>
  <c r="K201"/>
  <c r="J199"/>
  <c r="L199"/>
  <c r="K199"/>
  <c r="L197"/>
  <c r="J197"/>
  <c r="K197"/>
  <c r="J195"/>
  <c r="L195"/>
  <c r="K195"/>
  <c r="L193"/>
  <c r="J193"/>
  <c r="K193"/>
  <c r="J191"/>
  <c r="L191"/>
  <c r="K191"/>
  <c r="L189"/>
  <c r="J189"/>
  <c r="K189"/>
  <c r="J187"/>
  <c r="L187"/>
  <c r="K187"/>
  <c r="L185"/>
  <c r="J185"/>
  <c r="K185"/>
  <c r="J183"/>
  <c r="L183"/>
  <c r="K183"/>
  <c r="L181"/>
  <c r="J181"/>
  <c r="K181"/>
  <c r="J179"/>
  <c r="L179"/>
  <c r="K179"/>
  <c r="L177"/>
  <c r="J177"/>
  <c r="K177"/>
  <c r="J175"/>
  <c r="L175"/>
  <c r="K175"/>
  <c r="L173"/>
  <c r="J173"/>
  <c r="K173"/>
  <c r="J171"/>
  <c r="L171"/>
  <c r="K171"/>
  <c r="L169"/>
  <c r="J169"/>
  <c r="K169"/>
  <c r="J167"/>
  <c r="L167"/>
  <c r="K167"/>
  <c r="L165"/>
  <c r="J165"/>
  <c r="K165"/>
  <c r="J163"/>
  <c r="L163"/>
  <c r="K163"/>
  <c r="L161"/>
  <c r="J161"/>
  <c r="K161"/>
  <c r="J159"/>
  <c r="L159"/>
  <c r="K159"/>
  <c r="L157"/>
  <c r="J157"/>
  <c r="K157"/>
  <c r="J155"/>
  <c r="L155"/>
  <c r="K155"/>
  <c r="L153"/>
  <c r="J153"/>
  <c r="K153"/>
  <c r="J151"/>
  <c r="L151"/>
  <c r="K151"/>
  <c r="L149"/>
  <c r="J149"/>
  <c r="K149"/>
  <c r="J147"/>
  <c r="L147"/>
  <c r="K147"/>
  <c r="L145"/>
  <c r="J145"/>
  <c r="K145"/>
  <c r="J143"/>
  <c r="L143"/>
  <c r="K143"/>
  <c r="L141"/>
  <c r="J141"/>
  <c r="K141"/>
  <c r="J139"/>
  <c r="L139"/>
  <c r="K139"/>
  <c r="L137"/>
  <c r="J137"/>
  <c r="K137"/>
  <c r="J135"/>
  <c r="L135"/>
  <c r="K135"/>
  <c r="L133"/>
  <c r="J133"/>
  <c r="K133"/>
  <c r="J131"/>
  <c r="L131"/>
  <c r="K131"/>
  <c r="L129"/>
  <c r="J129"/>
  <c r="K129"/>
  <c r="J127"/>
  <c r="L127"/>
  <c r="K127"/>
  <c r="L125"/>
  <c r="J125"/>
  <c r="K125"/>
  <c r="J123"/>
  <c r="L123"/>
  <c r="K123"/>
  <c r="L121"/>
  <c r="J121"/>
  <c r="K121"/>
  <c r="J119"/>
  <c r="L119"/>
  <c r="K119"/>
  <c r="L117"/>
  <c r="J117"/>
  <c r="K117"/>
  <c r="J115"/>
  <c r="L115"/>
  <c r="K115"/>
  <c r="L113"/>
  <c r="J113"/>
  <c r="K113"/>
  <c r="J111"/>
  <c r="L111"/>
  <c r="K111"/>
  <c r="L109"/>
  <c r="J109"/>
  <c r="K109"/>
  <c r="J107"/>
  <c r="L107"/>
  <c r="K107"/>
  <c r="L105"/>
  <c r="J105"/>
  <c r="K105"/>
  <c r="J103"/>
  <c r="L103"/>
  <c r="K103"/>
  <c r="L373"/>
  <c r="J373"/>
  <c r="K373"/>
  <c r="L369"/>
  <c r="J369"/>
  <c r="K369"/>
  <c r="L365"/>
  <c r="J365"/>
  <c r="K365"/>
  <c r="L361"/>
  <c r="J361"/>
  <c r="K361"/>
  <c r="L357"/>
  <c r="J357"/>
  <c r="K357"/>
  <c r="J355"/>
  <c r="L355"/>
  <c r="K355"/>
  <c r="J351"/>
  <c r="L351"/>
  <c r="K351"/>
  <c r="J347"/>
  <c r="L347"/>
  <c r="K347"/>
  <c r="J343"/>
  <c r="L343"/>
  <c r="K343"/>
  <c r="J339"/>
  <c r="L339"/>
  <c r="K339"/>
  <c r="J335"/>
  <c r="L335"/>
  <c r="K335"/>
  <c r="L329"/>
  <c r="J329"/>
  <c r="K329"/>
  <c r="L11"/>
  <c r="K11"/>
  <c r="J11"/>
  <c r="L374"/>
  <c r="K374"/>
  <c r="J374"/>
  <c r="L372"/>
  <c r="K372"/>
  <c r="J372"/>
  <c r="L370"/>
  <c r="K370"/>
  <c r="J370"/>
  <c r="L368"/>
  <c r="K368"/>
  <c r="J368"/>
  <c r="L366"/>
  <c r="K366"/>
  <c r="J366"/>
  <c r="L364"/>
  <c r="K364"/>
  <c r="J364"/>
  <c r="L362"/>
  <c r="K362"/>
  <c r="J362"/>
  <c r="L360"/>
  <c r="K360"/>
  <c r="J360"/>
  <c r="L358"/>
  <c r="K358"/>
  <c r="J358"/>
  <c r="L356"/>
  <c r="K356"/>
  <c r="J356"/>
  <c r="L354"/>
  <c r="K354"/>
  <c r="J354"/>
  <c r="L352"/>
  <c r="K352"/>
  <c r="J352"/>
  <c r="L350"/>
  <c r="K350"/>
  <c r="J350"/>
  <c r="L348"/>
  <c r="K348"/>
  <c r="J348"/>
  <c r="L346"/>
  <c r="K346"/>
  <c r="J346"/>
  <c r="L344"/>
  <c r="K344"/>
  <c r="J344"/>
  <c r="L342"/>
  <c r="K342"/>
  <c r="J342"/>
  <c r="L340"/>
  <c r="K340"/>
  <c r="J340"/>
  <c r="L338"/>
  <c r="K338"/>
  <c r="J338"/>
  <c r="L336"/>
  <c r="K336"/>
  <c r="J336"/>
  <c r="L334"/>
  <c r="K334"/>
  <c r="J334"/>
  <c r="L332"/>
  <c r="K332"/>
  <c r="J332"/>
  <c r="L330"/>
  <c r="K330"/>
  <c r="J330"/>
  <c r="L328"/>
  <c r="K328"/>
  <c r="J328"/>
  <c r="L326"/>
  <c r="K326"/>
  <c r="J326"/>
  <c r="L324"/>
  <c r="K324"/>
  <c r="J324"/>
  <c r="L322"/>
  <c r="K322"/>
  <c r="J322"/>
  <c r="L320"/>
  <c r="K320"/>
  <c r="J320"/>
  <c r="L318"/>
  <c r="K318"/>
  <c r="J318"/>
  <c r="L316"/>
  <c r="K316"/>
  <c r="J316"/>
  <c r="L314"/>
  <c r="K314"/>
  <c r="J314"/>
  <c r="L312"/>
  <c r="K312"/>
  <c r="J312"/>
  <c r="L310"/>
  <c r="K310"/>
  <c r="J310"/>
  <c r="L308"/>
  <c r="K308"/>
  <c r="J308"/>
  <c r="L306"/>
  <c r="K306"/>
  <c r="J306"/>
  <c r="L304"/>
  <c r="K304"/>
  <c r="J304"/>
  <c r="L302"/>
  <c r="K302"/>
  <c r="J302"/>
  <c r="L300"/>
  <c r="K300"/>
  <c r="J300"/>
  <c r="L298"/>
  <c r="K298"/>
  <c r="J298"/>
  <c r="L296"/>
  <c r="K296"/>
  <c r="J296"/>
  <c r="L294"/>
  <c r="K294"/>
  <c r="J294"/>
  <c r="L292"/>
  <c r="K292"/>
  <c r="J292"/>
  <c r="L290"/>
  <c r="K290"/>
  <c r="J290"/>
  <c r="L288"/>
  <c r="K288"/>
  <c r="J288"/>
  <c r="L286"/>
  <c r="K286"/>
  <c r="J286"/>
  <c r="L284"/>
  <c r="K284"/>
  <c r="J284"/>
  <c r="L282"/>
  <c r="K282"/>
  <c r="J282"/>
  <c r="L280"/>
  <c r="K280"/>
  <c r="J280"/>
  <c r="L278"/>
  <c r="K278"/>
  <c r="J278"/>
  <c r="L276"/>
  <c r="K276"/>
  <c r="J276"/>
  <c r="L274"/>
  <c r="K274"/>
  <c r="J274"/>
  <c r="L272"/>
  <c r="K272"/>
  <c r="J272"/>
  <c r="L270"/>
  <c r="K270"/>
  <c r="J270"/>
  <c r="L268"/>
  <c r="K268"/>
  <c r="J268"/>
  <c r="L266"/>
  <c r="K266"/>
  <c r="J266"/>
  <c r="L264"/>
  <c r="K264"/>
  <c r="J264"/>
  <c r="L262"/>
  <c r="K262"/>
  <c r="J262"/>
  <c r="L260"/>
  <c r="K260"/>
  <c r="J260"/>
  <c r="L258"/>
  <c r="K258"/>
  <c r="J258"/>
  <c r="L256"/>
  <c r="K256"/>
  <c r="J256"/>
  <c r="L254"/>
  <c r="K254"/>
  <c r="J254"/>
  <c r="L252"/>
  <c r="K252"/>
  <c r="J252"/>
  <c r="L250"/>
  <c r="K250"/>
  <c r="J250"/>
  <c r="L248"/>
  <c r="K248"/>
  <c r="J248"/>
  <c r="L246"/>
  <c r="K246"/>
  <c r="J246"/>
  <c r="L244"/>
  <c r="K244"/>
  <c r="J244"/>
  <c r="L242"/>
  <c r="K242"/>
  <c r="J242"/>
  <c r="L240"/>
  <c r="K240"/>
  <c r="J240"/>
  <c r="L238"/>
  <c r="K238"/>
  <c r="J238"/>
  <c r="L236"/>
  <c r="K236"/>
  <c r="J236"/>
  <c r="L234"/>
  <c r="K234"/>
  <c r="J234"/>
  <c r="L232"/>
  <c r="K232"/>
  <c r="J232"/>
  <c r="L230"/>
  <c r="K230"/>
  <c r="J230"/>
  <c r="L228"/>
  <c r="K228"/>
  <c r="J228"/>
  <c r="L226"/>
  <c r="K226"/>
  <c r="J226"/>
  <c r="L224"/>
  <c r="K224"/>
  <c r="J224"/>
  <c r="L222"/>
  <c r="K222"/>
  <c r="J222"/>
  <c r="L220"/>
  <c r="K220"/>
  <c r="J220"/>
  <c r="L218"/>
  <c r="K218"/>
  <c r="J218"/>
  <c r="L216"/>
  <c r="K216"/>
  <c r="J216"/>
  <c r="L214"/>
  <c r="K214"/>
  <c r="J214"/>
  <c r="L212"/>
  <c r="K212"/>
  <c r="J212"/>
  <c r="L210"/>
  <c r="K210"/>
  <c r="J210"/>
  <c r="L208"/>
  <c r="K208"/>
  <c r="J208"/>
  <c r="L206"/>
  <c r="K206"/>
  <c r="J206"/>
  <c r="L204"/>
  <c r="K204"/>
  <c r="J204"/>
  <c r="L202"/>
  <c r="K202"/>
  <c r="J202"/>
  <c r="L200"/>
  <c r="K200"/>
  <c r="J200"/>
  <c r="L198"/>
  <c r="K198"/>
  <c r="J198"/>
  <c r="L196"/>
  <c r="K196"/>
  <c r="J196"/>
  <c r="L194"/>
  <c r="K194"/>
  <c r="J194"/>
  <c r="L192"/>
  <c r="K192"/>
  <c r="J192"/>
  <c r="L190"/>
  <c r="K190"/>
  <c r="J190"/>
  <c r="L188"/>
  <c r="K188"/>
  <c r="J188"/>
  <c r="L186"/>
  <c r="K186"/>
  <c r="J186"/>
  <c r="L184"/>
  <c r="K184"/>
  <c r="J184"/>
  <c r="L182"/>
  <c r="K182"/>
  <c r="J182"/>
  <c r="L180"/>
  <c r="K180"/>
  <c r="J180"/>
  <c r="L178"/>
  <c r="K178"/>
  <c r="J178"/>
  <c r="L176"/>
  <c r="K176"/>
  <c r="J176"/>
  <c r="L174"/>
  <c r="K174"/>
  <c r="J174"/>
  <c r="L172"/>
  <c r="K172"/>
  <c r="J172"/>
  <c r="L170"/>
  <c r="K170"/>
  <c r="J170"/>
  <c r="L168"/>
  <c r="K168"/>
  <c r="J168"/>
  <c r="L166"/>
  <c r="K166"/>
  <c r="J166"/>
  <c r="L164"/>
  <c r="K164"/>
  <c r="J164"/>
  <c r="L162"/>
  <c r="K162"/>
  <c r="J162"/>
  <c r="L160"/>
  <c r="K160"/>
  <c r="J160"/>
  <c r="L158"/>
  <c r="K158"/>
  <c r="J158"/>
  <c r="L156"/>
  <c r="K156"/>
  <c r="J156"/>
  <c r="L154"/>
  <c r="K154"/>
  <c r="J154"/>
  <c r="L152"/>
  <c r="K152"/>
  <c r="J152"/>
  <c r="L150"/>
  <c r="K150"/>
  <c r="J150"/>
  <c r="L148"/>
  <c r="K148"/>
  <c r="J148"/>
  <c r="L146"/>
  <c r="K146"/>
  <c r="J146"/>
  <c r="L144"/>
  <c r="K144"/>
  <c r="J144"/>
  <c r="L142"/>
  <c r="K142"/>
  <c r="J142"/>
  <c r="L140"/>
  <c r="K140"/>
  <c r="J140"/>
  <c r="L138"/>
  <c r="K138"/>
  <c r="J138"/>
  <c r="L136"/>
  <c r="K136"/>
  <c r="J136"/>
  <c r="L134"/>
  <c r="K134"/>
  <c r="J134"/>
  <c r="L132"/>
  <c r="K132"/>
  <c r="J132"/>
  <c r="L130"/>
  <c r="K130"/>
  <c r="J130"/>
  <c r="L128"/>
  <c r="K128"/>
  <c r="J128"/>
  <c r="L126"/>
  <c r="K126"/>
  <c r="J126"/>
  <c r="L124"/>
  <c r="K124"/>
  <c r="J124"/>
  <c r="L122"/>
  <c r="K122"/>
  <c r="J122"/>
  <c r="L120"/>
  <c r="K120"/>
  <c r="J120"/>
  <c r="L118"/>
  <c r="K118"/>
  <c r="J118"/>
  <c r="L116"/>
  <c r="K116"/>
  <c r="J116"/>
  <c r="L114"/>
  <c r="K114"/>
  <c r="J114"/>
  <c r="L112"/>
  <c r="K112"/>
  <c r="J112"/>
  <c r="L110"/>
  <c r="K110"/>
  <c r="J110"/>
  <c r="L108"/>
  <c r="K108"/>
  <c r="J108"/>
  <c r="L106"/>
  <c r="K106"/>
  <c r="J106"/>
  <c r="L104"/>
  <c r="K104"/>
  <c r="J104"/>
  <c r="L102"/>
  <c r="K102"/>
  <c r="J102"/>
  <c r="L100"/>
  <c r="K100"/>
  <c r="J100"/>
  <c r="L98"/>
  <c r="K98"/>
  <c r="J98"/>
  <c r="L96"/>
  <c r="K96"/>
  <c r="J96"/>
  <c r="L94"/>
  <c r="K94"/>
  <c r="J94"/>
  <c r="L92"/>
  <c r="K92"/>
  <c r="J92"/>
  <c r="L90"/>
  <c r="K90"/>
  <c r="J90"/>
  <c r="L88"/>
  <c r="K88"/>
  <c r="J88"/>
  <c r="L86"/>
  <c r="K86"/>
  <c r="J86"/>
  <c r="L84"/>
  <c r="K84"/>
  <c r="J84"/>
  <c r="L82"/>
  <c r="K82"/>
  <c r="J82"/>
  <c r="L80"/>
  <c r="K80"/>
  <c r="J80"/>
  <c r="L78"/>
  <c r="K78"/>
  <c r="J78"/>
  <c r="L76"/>
  <c r="K76"/>
  <c r="J76"/>
  <c r="L74"/>
  <c r="K74"/>
  <c r="J74"/>
  <c r="L72"/>
  <c r="K72"/>
  <c r="J72"/>
  <c r="L70"/>
  <c r="K70"/>
  <c r="J70"/>
  <c r="L68"/>
  <c r="K68"/>
  <c r="J68"/>
  <c r="L66"/>
  <c r="K66"/>
  <c r="J66"/>
  <c r="L64"/>
  <c r="K64"/>
  <c r="J64"/>
  <c r="L62"/>
  <c r="K62"/>
  <c r="J62"/>
  <c r="L60"/>
  <c r="K60"/>
  <c r="J60"/>
  <c r="L58"/>
  <c r="K58"/>
  <c r="J58"/>
  <c r="L56"/>
  <c r="K56"/>
  <c r="J56"/>
  <c r="L54"/>
  <c r="K54"/>
  <c r="J54"/>
  <c r="L52"/>
  <c r="K52"/>
  <c r="J52"/>
  <c r="L50"/>
  <c r="K50"/>
  <c r="J50"/>
  <c r="L48"/>
  <c r="K48"/>
  <c r="J48"/>
  <c r="L46"/>
  <c r="K46"/>
  <c r="J46"/>
  <c r="L44"/>
  <c r="K44"/>
  <c r="J44"/>
  <c r="L42"/>
  <c r="K42"/>
  <c r="J42"/>
  <c r="L40"/>
  <c r="K40"/>
  <c r="J40"/>
  <c r="L38"/>
  <c r="K38"/>
  <c r="J38"/>
  <c r="L36"/>
  <c r="K36"/>
  <c r="J36"/>
  <c r="L34"/>
  <c r="K34"/>
  <c r="J34"/>
  <c r="L32"/>
  <c r="K32"/>
  <c r="J32"/>
  <c r="L30"/>
  <c r="K30"/>
  <c r="J30"/>
  <c r="L28"/>
  <c r="K28"/>
  <c r="J28"/>
  <c r="L26"/>
  <c r="K26"/>
  <c r="J26"/>
  <c r="L24"/>
  <c r="K24"/>
  <c r="J24"/>
  <c r="L22"/>
  <c r="K22"/>
  <c r="J22"/>
  <c r="L20"/>
  <c r="K20"/>
  <c r="J20"/>
  <c r="L18"/>
  <c r="K18"/>
  <c r="J18"/>
  <c r="L16"/>
  <c r="K16"/>
  <c r="J16"/>
  <c r="L14"/>
  <c r="K14"/>
  <c r="J14"/>
  <c r="L12"/>
  <c r="K12"/>
  <c r="J12"/>
  <c r="L101"/>
  <c r="J101"/>
  <c r="K101"/>
  <c r="J99"/>
  <c r="L99"/>
  <c r="K99"/>
  <c r="L97"/>
  <c r="J97"/>
  <c r="K97"/>
  <c r="J95"/>
  <c r="L95"/>
  <c r="K95"/>
  <c r="L93"/>
  <c r="J93"/>
  <c r="K93"/>
  <c r="J91"/>
  <c r="L91"/>
  <c r="K91"/>
  <c r="L89"/>
  <c r="J89"/>
  <c r="K89"/>
  <c r="L87"/>
  <c r="J87"/>
  <c r="K87"/>
  <c r="L85"/>
  <c r="J85"/>
  <c r="K85"/>
  <c r="J83"/>
  <c r="L83"/>
  <c r="K83"/>
  <c r="L81"/>
  <c r="J81"/>
  <c r="K81"/>
  <c r="L79"/>
  <c r="J79"/>
  <c r="K79"/>
  <c r="L77"/>
  <c r="J77"/>
  <c r="K77"/>
  <c r="J75"/>
  <c r="L75"/>
  <c r="K75"/>
  <c r="L73"/>
  <c r="J73"/>
  <c r="K73"/>
  <c r="L71"/>
  <c r="J71"/>
  <c r="K71"/>
  <c r="L69"/>
  <c r="J69"/>
  <c r="K69"/>
  <c r="J67"/>
  <c r="L67"/>
  <c r="K67"/>
  <c r="L65"/>
  <c r="J65"/>
  <c r="K65"/>
  <c r="L63"/>
  <c r="J63"/>
  <c r="K63"/>
  <c r="L61"/>
  <c r="J61"/>
  <c r="K61"/>
  <c r="J59"/>
  <c r="L59"/>
  <c r="K59"/>
  <c r="L57"/>
  <c r="J57"/>
  <c r="K57"/>
  <c r="L55"/>
  <c r="J55"/>
  <c r="K55"/>
  <c r="L53"/>
  <c r="J53"/>
  <c r="K53"/>
  <c r="J51"/>
  <c r="L51"/>
  <c r="K51"/>
  <c r="L49"/>
  <c r="J49"/>
  <c r="K49"/>
  <c r="L47"/>
  <c r="J47"/>
  <c r="K47"/>
  <c r="L45"/>
  <c r="J45"/>
  <c r="K45"/>
  <c r="J43"/>
  <c r="L43"/>
  <c r="K43"/>
  <c r="L41"/>
  <c r="J41"/>
  <c r="K41"/>
  <c r="L39"/>
  <c r="J39"/>
  <c r="K39"/>
  <c r="L37"/>
  <c r="J37"/>
  <c r="K37"/>
  <c r="J35"/>
  <c r="L35"/>
  <c r="K35"/>
  <c r="L33"/>
  <c r="J33"/>
  <c r="K33"/>
  <c r="L31"/>
  <c r="J31"/>
  <c r="K31"/>
  <c r="L29"/>
  <c r="J29"/>
  <c r="K29"/>
  <c r="J27"/>
  <c r="L27"/>
  <c r="K27"/>
  <c r="L25"/>
  <c r="J25"/>
  <c r="K25"/>
  <c r="L23"/>
  <c r="J23"/>
  <c r="K23"/>
  <c r="L21"/>
  <c r="J21"/>
  <c r="K21"/>
  <c r="J19"/>
  <c r="L19"/>
  <c r="K19"/>
  <c r="L17"/>
  <c r="J17"/>
  <c r="K17"/>
  <c r="K15"/>
  <c r="L15"/>
  <c r="J15"/>
  <c r="L13"/>
  <c r="K13"/>
  <c r="J13"/>
  <c r="M13" l="1"/>
  <c r="M23"/>
  <c r="M31"/>
  <c r="M39"/>
  <c r="M47"/>
  <c r="M55"/>
  <c r="M63"/>
  <c r="M71"/>
  <c r="M79"/>
  <c r="M87"/>
  <c r="M18"/>
  <c r="M26"/>
  <c r="M42"/>
  <c r="M50"/>
  <c r="M58"/>
  <c r="M66"/>
  <c r="M74"/>
  <c r="M82"/>
  <c r="M90"/>
  <c r="M98"/>
  <c r="M106"/>
  <c r="M114"/>
  <c r="M122"/>
  <c r="M130"/>
  <c r="M138"/>
  <c r="M146"/>
  <c r="M154"/>
  <c r="M162"/>
  <c r="M170"/>
  <c r="M178"/>
  <c r="M186"/>
  <c r="M194"/>
  <c r="M202"/>
  <c r="M210"/>
  <c r="M218"/>
  <c r="M226"/>
  <c r="M234"/>
  <c r="M242"/>
  <c r="M250"/>
  <c r="M258"/>
  <c r="M266"/>
  <c r="M274"/>
  <c r="M282"/>
  <c r="M290"/>
  <c r="M298"/>
  <c r="M306"/>
  <c r="M314"/>
  <c r="M322"/>
  <c r="M330"/>
  <c r="M338"/>
  <c r="M346"/>
  <c r="X26" i="40"/>
  <c r="M14" i="1"/>
  <c r="M22"/>
  <c r="M30"/>
  <c r="M38"/>
  <c r="M54"/>
  <c r="M62"/>
  <c r="M70"/>
  <c r="M78"/>
  <c r="M86"/>
  <c r="M94"/>
  <c r="M102"/>
  <c r="M110"/>
  <c r="M118"/>
  <c r="M126"/>
  <c r="M134"/>
  <c r="M142"/>
  <c r="M150"/>
  <c r="M158"/>
  <c r="M166"/>
  <c r="M174"/>
  <c r="M182"/>
  <c r="M190"/>
  <c r="M198"/>
  <c r="M206"/>
  <c r="M214"/>
  <c r="M222"/>
  <c r="M230"/>
  <c r="M238"/>
  <c r="M246"/>
  <c r="M254"/>
  <c r="M262"/>
  <c r="M270"/>
  <c r="M278"/>
  <c r="M286"/>
  <c r="M294"/>
  <c r="M302"/>
  <c r="M310"/>
  <c r="M318"/>
  <c r="M326"/>
  <c r="M334"/>
  <c r="M342"/>
  <c r="M350"/>
  <c r="O116" i="9"/>
  <c r="O117" s="1"/>
  <c r="P116"/>
  <c r="P117" s="1"/>
  <c r="M46" i="1"/>
  <c r="M354"/>
  <c r="N39" i="19"/>
  <c r="O39" s="1"/>
  <c r="P29" i="20"/>
  <c r="N20" s="1"/>
  <c r="C23" s="1"/>
  <c r="N40"/>
  <c r="O40" s="1"/>
  <c r="D23" i="8"/>
  <c r="D24"/>
  <c r="D28"/>
  <c r="D10" i="26" s="1"/>
  <c r="D28" i="10"/>
  <c r="D14" i="26" s="1"/>
  <c r="P89" i="3"/>
  <c r="D24" i="10"/>
  <c r="D23"/>
  <c r="P94" i="3"/>
  <c r="P100"/>
  <c r="O74"/>
  <c r="O59"/>
  <c r="P111"/>
  <c r="O88"/>
  <c r="J149" i="12"/>
  <c r="K149" s="1"/>
  <c r="P98" i="3"/>
  <c r="P85"/>
  <c r="P107"/>
  <c r="O109"/>
  <c r="O83"/>
  <c r="O99"/>
  <c r="P97"/>
  <c r="J149" i="13"/>
  <c r="K149" s="1"/>
  <c r="J149" i="14"/>
  <c r="K149" s="1"/>
  <c r="J149" i="2"/>
  <c r="K149" s="1"/>
  <c r="N122" i="14"/>
  <c r="O121"/>
  <c r="N122" i="2"/>
  <c r="O121"/>
  <c r="N122" i="13"/>
  <c r="O121"/>
  <c r="P87" i="3"/>
  <c r="P105"/>
  <c r="P90"/>
  <c r="O62"/>
  <c r="P80"/>
  <c r="O112"/>
  <c r="M358" i="1"/>
  <c r="M362"/>
  <c r="M366"/>
  <c r="M370"/>
  <c r="M374"/>
  <c r="M357"/>
  <c r="M365"/>
  <c r="M373"/>
  <c r="M105"/>
  <c r="M109"/>
  <c r="M113"/>
  <c r="M117"/>
  <c r="M121"/>
  <c r="M125"/>
  <c r="M129"/>
  <c r="M133"/>
  <c r="M137"/>
  <c r="M141"/>
  <c r="M145"/>
  <c r="M149"/>
  <c r="M153"/>
  <c r="M157"/>
  <c r="M161"/>
  <c r="M165"/>
  <c r="M169"/>
  <c r="M173"/>
  <c r="M177"/>
  <c r="M201"/>
  <c r="M205"/>
  <c r="M209"/>
  <c r="M213"/>
  <c r="M217"/>
  <c r="M221"/>
  <c r="M225"/>
  <c r="M229"/>
  <c r="M233"/>
  <c r="M237"/>
  <c r="M241"/>
  <c r="M245"/>
  <c r="M249"/>
  <c r="M253"/>
  <c r="M257"/>
  <c r="M261"/>
  <c r="M265"/>
  <c r="M269"/>
  <c r="M273"/>
  <c r="M277"/>
  <c r="M281"/>
  <c r="M285"/>
  <c r="M289"/>
  <c r="M181"/>
  <c r="M185"/>
  <c r="M189"/>
  <c r="M193"/>
  <c r="M197"/>
  <c r="M34"/>
  <c r="M293"/>
  <c r="M297"/>
  <c r="M301"/>
  <c r="M305"/>
  <c r="M309"/>
  <c r="M313"/>
  <c r="M317"/>
  <c r="M321"/>
  <c r="M325"/>
  <c r="M337"/>
  <c r="M345"/>
  <c r="M353"/>
  <c r="M339"/>
  <c r="M347"/>
  <c r="M355"/>
  <c r="M103"/>
  <c r="M107"/>
  <c r="M111"/>
  <c r="M115"/>
  <c r="M119"/>
  <c r="M123"/>
  <c r="M127"/>
  <c r="M131"/>
  <c r="M135"/>
  <c r="M139"/>
  <c r="M143"/>
  <c r="M147"/>
  <c r="M151"/>
  <c r="M155"/>
  <c r="M159"/>
  <c r="M163"/>
  <c r="M167"/>
  <c r="M171"/>
  <c r="M175"/>
  <c r="M179"/>
  <c r="M183"/>
  <c r="M187"/>
  <c r="M191"/>
  <c r="M195"/>
  <c r="M199"/>
  <c r="M203"/>
  <c r="M207"/>
  <c r="M211"/>
  <c r="M215"/>
  <c r="M219"/>
  <c r="M223"/>
  <c r="M227"/>
  <c r="M231"/>
  <c r="M235"/>
  <c r="M239"/>
  <c r="M243"/>
  <c r="M247"/>
  <c r="M251"/>
  <c r="M255"/>
  <c r="M259"/>
  <c r="M263"/>
  <c r="M267"/>
  <c r="M271"/>
  <c r="M275"/>
  <c r="M279"/>
  <c r="M283"/>
  <c r="M287"/>
  <c r="M291"/>
  <c r="M295"/>
  <c r="M299"/>
  <c r="M303"/>
  <c r="M307"/>
  <c r="M311"/>
  <c r="M315"/>
  <c r="M319"/>
  <c r="M323"/>
  <c r="M327"/>
  <c r="M359"/>
  <c r="M367"/>
  <c r="M375"/>
  <c r="M15"/>
  <c r="M17"/>
  <c r="M19"/>
  <c r="M21"/>
  <c r="M25"/>
  <c r="M27"/>
  <c r="M29"/>
  <c r="M33"/>
  <c r="M35"/>
  <c r="M37"/>
  <c r="M41"/>
  <c r="M43"/>
  <c r="M45"/>
  <c r="M49"/>
  <c r="M51"/>
  <c r="M53"/>
  <c r="M57"/>
  <c r="M59"/>
  <c r="M61"/>
  <c r="M65"/>
  <c r="M67"/>
  <c r="M69"/>
  <c r="M73"/>
  <c r="M75"/>
  <c r="M77"/>
  <c r="M81"/>
  <c r="M83"/>
  <c r="M85"/>
  <c r="M89"/>
  <c r="M91"/>
  <c r="M93"/>
  <c r="M95"/>
  <c r="M97"/>
  <c r="M99"/>
  <c r="M101"/>
  <c r="M12"/>
  <c r="M16"/>
  <c r="M20"/>
  <c r="M24"/>
  <c r="M28"/>
  <c r="M32"/>
  <c r="M36"/>
  <c r="M40"/>
  <c r="M44"/>
  <c r="M48"/>
  <c r="M52"/>
  <c r="M56"/>
  <c r="M60"/>
  <c r="M64"/>
  <c r="M68"/>
  <c r="M72"/>
  <c r="M76"/>
  <c r="M80"/>
  <c r="M84"/>
  <c r="M88"/>
  <c r="M92"/>
  <c r="M96"/>
  <c r="M100"/>
  <c r="M104"/>
  <c r="M108"/>
  <c r="M112"/>
  <c r="M116"/>
  <c r="M120"/>
  <c r="M124"/>
  <c r="M128"/>
  <c r="M132"/>
  <c r="M136"/>
  <c r="M140"/>
  <c r="M144"/>
  <c r="M148"/>
  <c r="M152"/>
  <c r="M156"/>
  <c r="M160"/>
  <c r="M164"/>
  <c r="M168"/>
  <c r="M172"/>
  <c r="M176"/>
  <c r="M180"/>
  <c r="M184"/>
  <c r="M188"/>
  <c r="M192"/>
  <c r="M196"/>
  <c r="M200"/>
  <c r="M204"/>
  <c r="M208"/>
  <c r="M212"/>
  <c r="M216"/>
  <c r="M220"/>
  <c r="M224"/>
  <c r="M228"/>
  <c r="M232"/>
  <c r="M236"/>
  <c r="M240"/>
  <c r="M244"/>
  <c r="M248"/>
  <c r="M252"/>
  <c r="M256"/>
  <c r="M260"/>
  <c r="M264"/>
  <c r="M268"/>
  <c r="M272"/>
  <c r="M276"/>
  <c r="M280"/>
  <c r="M284"/>
  <c r="M288"/>
  <c r="M292"/>
  <c r="M296"/>
  <c r="M300"/>
  <c r="M304"/>
  <c r="M308"/>
  <c r="M312"/>
  <c r="M316"/>
  <c r="M320"/>
  <c r="M324"/>
  <c r="M328"/>
  <c r="M332"/>
  <c r="M336"/>
  <c r="M340"/>
  <c r="M344"/>
  <c r="M348"/>
  <c r="M352"/>
  <c r="M356"/>
  <c r="M360"/>
  <c r="M364"/>
  <c r="M368"/>
  <c r="M372"/>
  <c r="M11"/>
  <c r="M329"/>
  <c r="M335"/>
  <c r="M343"/>
  <c r="M351"/>
  <c r="M361"/>
  <c r="M369"/>
  <c r="M331"/>
  <c r="M333"/>
  <c r="M341"/>
  <c r="M349"/>
  <c r="M363"/>
  <c r="M371"/>
  <c r="D2" i="9" l="1"/>
  <c r="D23" s="1"/>
  <c r="E2"/>
  <c r="D4"/>
  <c r="D5" s="1"/>
  <c r="F5" s="1"/>
  <c r="Y20" i="28" s="1"/>
  <c r="E4" i="9"/>
  <c r="X27" i="40"/>
  <c r="X28" s="1"/>
  <c r="D1" i="21"/>
  <c r="D5" i="22" s="1"/>
  <c r="C24" i="20"/>
  <c r="C32" s="1"/>
  <c r="D10" i="16"/>
  <c r="D10" i="24"/>
  <c r="D32" i="10"/>
  <c r="D14" i="24"/>
  <c r="P29" i="19"/>
  <c r="N20" s="1"/>
  <c r="M20" s="1"/>
  <c r="D3" s="1"/>
  <c r="N40"/>
  <c r="O40" s="1"/>
  <c r="D10" i="11"/>
  <c r="D32" i="8"/>
  <c r="D14" i="11"/>
  <c r="D25" i="8"/>
  <c r="D27" s="1"/>
  <c r="D10" i="7"/>
  <c r="D31" i="8"/>
  <c r="D14" i="16"/>
  <c r="D14" i="7"/>
  <c r="D31" i="10"/>
  <c r="D25"/>
  <c r="D27" s="1"/>
  <c r="D13" i="26" s="1"/>
  <c r="J150" i="12"/>
  <c r="K150" s="1"/>
  <c r="P116" i="3"/>
  <c r="P117" s="1"/>
  <c r="D4" s="1"/>
  <c r="D5" s="1"/>
  <c r="J150" i="13"/>
  <c r="K150" s="1"/>
  <c r="J150" i="14"/>
  <c r="K150" s="1"/>
  <c r="J150" i="2"/>
  <c r="K150" s="1"/>
  <c r="N123" i="14"/>
  <c r="O123" s="1"/>
  <c r="O122"/>
  <c r="N123" i="2"/>
  <c r="O123" s="1"/>
  <c r="O122"/>
  <c r="N123" i="13"/>
  <c r="O123" s="1"/>
  <c r="O122"/>
  <c r="D24" i="9" l="1"/>
  <c r="D25" s="1"/>
  <c r="D27" s="1"/>
  <c r="D11" i="26" s="1"/>
  <c r="D28" i="9"/>
  <c r="D12" i="11" s="1"/>
  <c r="D38" s="1"/>
  <c r="D26" i="9"/>
  <c r="E5"/>
  <c r="I9" i="7" s="1"/>
  <c r="X37" i="40"/>
  <c r="BE9" i="28" s="1"/>
  <c r="C30" i="20"/>
  <c r="D8" i="21" s="1"/>
  <c r="D12" i="22" s="1"/>
  <c r="D32" i="20"/>
  <c r="E10" i="21" s="1"/>
  <c r="I30" s="1"/>
  <c r="D10"/>
  <c r="D14" i="22" s="1"/>
  <c r="E14" s="1"/>
  <c r="D2" i="21"/>
  <c r="C31" i="20"/>
  <c r="C25"/>
  <c r="D3" i="21" s="1"/>
  <c r="D7" i="22" s="1"/>
  <c r="D4" i="19"/>
  <c r="D5" s="1"/>
  <c r="C42" i="22" s="1"/>
  <c r="C40"/>
  <c r="D9" i="24"/>
  <c r="D9" i="26"/>
  <c r="D33" i="10"/>
  <c r="E27"/>
  <c r="D13" i="24"/>
  <c r="D33" i="8"/>
  <c r="D9" i="16"/>
  <c r="E27" i="8"/>
  <c r="D9" i="11"/>
  <c r="D9" i="7"/>
  <c r="D13" i="11"/>
  <c r="D13" i="16"/>
  <c r="D13" i="7"/>
  <c r="J151" i="12"/>
  <c r="K151" s="1"/>
  <c r="L140" s="1"/>
  <c r="J129" s="1"/>
  <c r="I129" s="1"/>
  <c r="G131" s="1"/>
  <c r="H131" s="1"/>
  <c r="H37" s="1"/>
  <c r="J37" s="1"/>
  <c r="L37" s="1"/>
  <c r="M37" s="1"/>
  <c r="J151" i="13"/>
  <c r="K151" s="1"/>
  <c r="L140" s="1"/>
  <c r="J129" s="1"/>
  <c r="I129" s="1"/>
  <c r="G131" s="1"/>
  <c r="H131" s="1"/>
  <c r="J151" i="14"/>
  <c r="K151" s="1"/>
  <c r="L140" s="1"/>
  <c r="J129" s="1"/>
  <c r="I129" s="1"/>
  <c r="G131" s="1"/>
  <c r="H131" s="1"/>
  <c r="J151" i="2"/>
  <c r="K151" s="1"/>
  <c r="L140" s="1"/>
  <c r="J129" s="1"/>
  <c r="I129" s="1"/>
  <c r="G131" s="1"/>
  <c r="H131" s="1"/>
  <c r="D15" i="30" s="1"/>
  <c r="D37" i="11" l="1"/>
  <c r="D39" s="1"/>
  <c r="D31" i="9"/>
  <c r="D11" i="7"/>
  <c r="E9" s="1"/>
  <c r="D11" i="24"/>
  <c r="E13" s="1"/>
  <c r="D11" i="16"/>
  <c r="E9" s="1"/>
  <c r="E27" i="9"/>
  <c r="D11" i="11"/>
  <c r="E13" s="1"/>
  <c r="E9" i="26"/>
  <c r="D12" i="7"/>
  <c r="D16" s="1"/>
  <c r="D16" i="11"/>
  <c r="D12" i="26"/>
  <c r="D38" s="1"/>
  <c r="D12" i="24"/>
  <c r="D16" s="1"/>
  <c r="D32" i="9"/>
  <c r="D12" i="16"/>
  <c r="D38" s="1"/>
  <c r="H38" i="13"/>
  <c r="J38" s="1"/>
  <c r="L38" s="1"/>
  <c r="M38" s="1"/>
  <c r="H37"/>
  <c r="J37" s="1"/>
  <c r="L37" s="1"/>
  <c r="M37" s="1"/>
  <c r="H32"/>
  <c r="J32" s="1"/>
  <c r="L32" s="1"/>
  <c r="M32" s="1"/>
  <c r="H30"/>
  <c r="J30" s="1"/>
  <c r="L30" s="1"/>
  <c r="M30" s="1"/>
  <c r="H41"/>
  <c r="J41" s="1"/>
  <c r="L41" s="1"/>
  <c r="M41" s="1"/>
  <c r="H36"/>
  <c r="J36" s="1"/>
  <c r="L36" s="1"/>
  <c r="M36" s="1"/>
  <c r="H35"/>
  <c r="J35" s="1"/>
  <c r="L35" s="1"/>
  <c r="M35" s="1"/>
  <c r="H29"/>
  <c r="J29" s="1"/>
  <c r="L29" s="1"/>
  <c r="M29" s="1"/>
  <c r="H40"/>
  <c r="J40" s="1"/>
  <c r="L40" s="1"/>
  <c r="M40" s="1"/>
  <c r="H39"/>
  <c r="J39" s="1"/>
  <c r="L39" s="1"/>
  <c r="M39" s="1"/>
  <c r="H34"/>
  <c r="J34" s="1"/>
  <c r="L34" s="1"/>
  <c r="M34" s="1"/>
  <c r="H33"/>
  <c r="J33" s="1"/>
  <c r="L33" s="1"/>
  <c r="M33" s="1"/>
  <c r="H31"/>
  <c r="J31" s="1"/>
  <c r="L31" s="1"/>
  <c r="M31" s="1"/>
  <c r="G132"/>
  <c r="L134" s="1"/>
  <c r="H41" i="14"/>
  <c r="J41" s="1"/>
  <c r="L41" s="1"/>
  <c r="M41" s="1"/>
  <c r="G132"/>
  <c r="L134" s="1"/>
  <c r="H39"/>
  <c r="J39" s="1"/>
  <c r="L39" s="1"/>
  <c r="M39" s="1"/>
  <c r="H40"/>
  <c r="J40" s="1"/>
  <c r="L40" s="1"/>
  <c r="M40" s="1"/>
  <c r="H37"/>
  <c r="J37" s="1"/>
  <c r="L37" s="1"/>
  <c r="M37" s="1"/>
  <c r="H38"/>
  <c r="J38" s="1"/>
  <c r="L38" s="1"/>
  <c r="M38" s="1"/>
  <c r="H35"/>
  <c r="J35" s="1"/>
  <c r="L35" s="1"/>
  <c r="M35" s="1"/>
  <c r="H36"/>
  <c r="J36" s="1"/>
  <c r="L36" s="1"/>
  <c r="M36" s="1"/>
  <c r="H33"/>
  <c r="J33" s="1"/>
  <c r="L33" s="1"/>
  <c r="M33" s="1"/>
  <c r="H34"/>
  <c r="J34" s="1"/>
  <c r="L34" s="1"/>
  <c r="M34" s="1"/>
  <c r="H31"/>
  <c r="J31" s="1"/>
  <c r="L31" s="1"/>
  <c r="M31" s="1"/>
  <c r="H32"/>
  <c r="J32" s="1"/>
  <c r="L32" s="1"/>
  <c r="M32" s="1"/>
  <c r="H29"/>
  <c r="J29" s="1"/>
  <c r="L29" s="1"/>
  <c r="M29" s="1"/>
  <c r="H30"/>
  <c r="J30" s="1"/>
  <c r="L30" s="1"/>
  <c r="M30" s="1"/>
  <c r="H41" i="12"/>
  <c r="J41" s="1"/>
  <c r="L41" s="1"/>
  <c r="M41" s="1"/>
  <c r="H32"/>
  <c r="J32" s="1"/>
  <c r="L32" s="1"/>
  <c r="M32" s="1"/>
  <c r="H40"/>
  <c r="J40" s="1"/>
  <c r="L40" s="1"/>
  <c r="M40" s="1"/>
  <c r="G132"/>
  <c r="H28" s="1"/>
  <c r="J28" s="1"/>
  <c r="L28" s="1"/>
  <c r="M28" s="1"/>
  <c r="H33"/>
  <c r="J33" s="1"/>
  <c r="L33" s="1"/>
  <c r="M33" s="1"/>
  <c r="H31" i="2"/>
  <c r="J31" s="1"/>
  <c r="L31" s="1"/>
  <c r="M31" s="1"/>
  <c r="H33"/>
  <c r="J33" s="1"/>
  <c r="L33" s="1"/>
  <c r="M33" s="1"/>
  <c r="H38"/>
  <c r="J38" s="1"/>
  <c r="L38" s="1"/>
  <c r="M38" s="1"/>
  <c r="H29"/>
  <c r="J29" s="1"/>
  <c r="L29" s="1"/>
  <c r="M29" s="1"/>
  <c r="H39" i="12"/>
  <c r="J39" s="1"/>
  <c r="L39" s="1"/>
  <c r="M39" s="1"/>
  <c r="H32" i="2"/>
  <c r="J32" s="1"/>
  <c r="L32" s="1"/>
  <c r="M32" s="1"/>
  <c r="D15" i="17"/>
  <c r="G132" i="2"/>
  <c r="D7" i="30" s="1"/>
  <c r="D18" s="1"/>
  <c r="C33" s="1"/>
  <c r="H35" i="12"/>
  <c r="J35" s="1"/>
  <c r="L35" s="1"/>
  <c r="M35" s="1"/>
  <c r="H34"/>
  <c r="J34" s="1"/>
  <c r="L34" s="1"/>
  <c r="M34" s="1"/>
  <c r="H29"/>
  <c r="J29" s="1"/>
  <c r="L29" s="1"/>
  <c r="M29" s="1"/>
  <c r="H34" i="2"/>
  <c r="J34" s="1"/>
  <c r="L34" s="1"/>
  <c r="M34" s="1"/>
  <c r="H39"/>
  <c r="J39" s="1"/>
  <c r="L39" s="1"/>
  <c r="M39" s="1"/>
  <c r="H40"/>
  <c r="J40" s="1"/>
  <c r="L40" s="1"/>
  <c r="M40" s="1"/>
  <c r="H41"/>
  <c r="J41" s="1"/>
  <c r="L41" s="1"/>
  <c r="M41" s="1"/>
  <c r="H30"/>
  <c r="J30" s="1"/>
  <c r="L30" s="1"/>
  <c r="M30" s="1"/>
  <c r="H35"/>
  <c r="J35" s="1"/>
  <c r="L35" s="1"/>
  <c r="M35" s="1"/>
  <c r="H36"/>
  <c r="J36" s="1"/>
  <c r="L36" s="1"/>
  <c r="M36" s="1"/>
  <c r="H37"/>
  <c r="J37" s="1"/>
  <c r="L37" s="1"/>
  <c r="M37" s="1"/>
  <c r="H31" i="12"/>
  <c r="J31" s="1"/>
  <c r="L31" s="1"/>
  <c r="M31" s="1"/>
  <c r="H38"/>
  <c r="J38" s="1"/>
  <c r="L38" s="1"/>
  <c r="M38" s="1"/>
  <c r="H30"/>
  <c r="J30" s="1"/>
  <c r="L30" s="1"/>
  <c r="M30" s="1"/>
  <c r="D15" i="18"/>
  <c r="H36" i="12"/>
  <c r="J36" s="1"/>
  <c r="L36" s="1"/>
  <c r="M36" s="1"/>
  <c r="E12" i="22"/>
  <c r="U26"/>
  <c r="V26" s="1"/>
  <c r="U29"/>
  <c r="V29" s="1"/>
  <c r="G11"/>
  <c r="H19"/>
  <c r="G19"/>
  <c r="U25"/>
  <c r="V25" s="1"/>
  <c r="G32"/>
  <c r="G28"/>
  <c r="G16"/>
  <c r="G33"/>
  <c r="G25"/>
  <c r="H33"/>
  <c r="G30"/>
  <c r="G22"/>
  <c r="G14"/>
  <c r="G23"/>
  <c r="G15"/>
  <c r="G10"/>
  <c r="D6"/>
  <c r="I20" s="1"/>
  <c r="U35" i="21"/>
  <c r="U14" i="22"/>
  <c r="V14" s="1"/>
  <c r="H23"/>
  <c r="U33"/>
  <c r="V33" s="1"/>
  <c r="H16"/>
  <c r="U13"/>
  <c r="V13" s="1"/>
  <c r="U15"/>
  <c r="V15" s="1"/>
  <c r="H25"/>
  <c r="U31"/>
  <c r="V31" s="1"/>
  <c r="H14"/>
  <c r="H22"/>
  <c r="D30" i="20"/>
  <c r="E8" i="21" s="1"/>
  <c r="U23" s="1"/>
  <c r="H10" i="22"/>
  <c r="H32"/>
  <c r="U24"/>
  <c r="V24" s="1"/>
  <c r="H15"/>
  <c r="H28"/>
  <c r="H11"/>
  <c r="H30"/>
  <c r="D12" i="19"/>
  <c r="C49" i="22" s="1"/>
  <c r="J30" i="21"/>
  <c r="C41" i="22"/>
  <c r="D9" i="21"/>
  <c r="D13" i="22" s="1"/>
  <c r="T10" s="1"/>
  <c r="D31" i="20"/>
  <c r="E9" i="21" s="1"/>
  <c r="U41" s="1"/>
  <c r="D10" i="19"/>
  <c r="D11"/>
  <c r="F11" s="1"/>
  <c r="E11" i="26"/>
  <c r="E13"/>
  <c r="E11" i="24" l="1"/>
  <c r="C38" s="1"/>
  <c r="D38"/>
  <c r="E9"/>
  <c r="G133" i="14"/>
  <c r="E9" i="11"/>
  <c r="L129" i="14"/>
  <c r="K69" s="1"/>
  <c r="E36" i="9"/>
  <c r="D16" i="16"/>
  <c r="D18" i="7"/>
  <c r="E18" s="1"/>
  <c r="G18" s="1"/>
  <c r="G19" s="1"/>
  <c r="E13"/>
  <c r="E11"/>
  <c r="E11" i="16"/>
  <c r="C37" s="1"/>
  <c r="D37" i="26"/>
  <c r="D39" s="1"/>
  <c r="E13" i="16"/>
  <c r="E11" i="11"/>
  <c r="D37" i="7"/>
  <c r="D38"/>
  <c r="D16" i="26"/>
  <c r="D37" i="24"/>
  <c r="D37" i="16"/>
  <c r="D39" s="1"/>
  <c r="I17" i="22"/>
  <c r="H17" s="1"/>
  <c r="H20"/>
  <c r="I12"/>
  <c r="H12" s="1"/>
  <c r="L132" i="14"/>
  <c r="K66" s="1"/>
  <c r="H28"/>
  <c r="J28" s="1"/>
  <c r="L28" s="1"/>
  <c r="M28" s="1"/>
  <c r="M42" s="1"/>
  <c r="L130"/>
  <c r="J62" s="1"/>
  <c r="L131"/>
  <c r="J55" s="1"/>
  <c r="F30" i="22"/>
  <c r="F19"/>
  <c r="F16"/>
  <c r="F14"/>
  <c r="F25"/>
  <c r="F32"/>
  <c r="F11"/>
  <c r="F23"/>
  <c r="F28"/>
  <c r="F15"/>
  <c r="F10"/>
  <c r="F22"/>
  <c r="F33"/>
  <c r="L131" i="13"/>
  <c r="I84" s="1"/>
  <c r="L129"/>
  <c r="K69" s="1"/>
  <c r="L130"/>
  <c r="J54" s="1"/>
  <c r="G133"/>
  <c r="H28"/>
  <c r="J28" s="1"/>
  <c r="L28" s="1"/>
  <c r="M28" s="1"/>
  <c r="M42" s="1"/>
  <c r="L132"/>
  <c r="J66" s="1"/>
  <c r="L134" i="12"/>
  <c r="D14" i="30" s="1"/>
  <c r="L129" i="12"/>
  <c r="D9" i="18" s="1"/>
  <c r="E9" s="1"/>
  <c r="L132" i="12"/>
  <c r="D12" i="30" s="1"/>
  <c r="E12" s="1"/>
  <c r="C36" s="1"/>
  <c r="L130" i="12"/>
  <c r="D10" i="18" s="1"/>
  <c r="C23" s="1"/>
  <c r="G133" i="12"/>
  <c r="D8" i="18" s="1"/>
  <c r="L131" i="12"/>
  <c r="D11" i="18" s="1"/>
  <c r="E11" s="1"/>
  <c r="K11" s="1"/>
  <c r="W6" i="28" s="1"/>
  <c r="D7" i="18"/>
  <c r="F12" s="1"/>
  <c r="E33" i="30"/>
  <c r="D7" i="17"/>
  <c r="D18" s="1"/>
  <c r="E33" s="1"/>
  <c r="L132" i="2"/>
  <c r="D12" i="17" s="1"/>
  <c r="E36" s="1"/>
  <c r="L134" i="2"/>
  <c r="D14" i="17" s="1"/>
  <c r="G133" i="2"/>
  <c r="D8" i="30" s="1"/>
  <c r="L131" i="2"/>
  <c r="D11" i="17" s="1"/>
  <c r="H28" i="2"/>
  <c r="J28" s="1"/>
  <c r="L28" s="1"/>
  <c r="M28" s="1"/>
  <c r="M42" s="1"/>
  <c r="L130"/>
  <c r="D10" i="30" s="1"/>
  <c r="E23" s="1"/>
  <c r="M42" i="12"/>
  <c r="L129" i="2"/>
  <c r="T9" i="22"/>
  <c r="E13"/>
  <c r="I24" i="21"/>
  <c r="U27" i="22"/>
  <c r="V27" s="1"/>
  <c r="G24"/>
  <c r="G31"/>
  <c r="G29"/>
  <c r="G27"/>
  <c r="G26"/>
  <c r="J36" i="21"/>
  <c r="I43"/>
  <c r="I40"/>
  <c r="I36"/>
  <c r="I32"/>
  <c r="I28"/>
  <c r="I20"/>
  <c r="I44"/>
  <c r="I37"/>
  <c r="I25"/>
  <c r="I17"/>
  <c r="I42"/>
  <c r="I34"/>
  <c r="I26"/>
  <c r="I18"/>
  <c r="I46"/>
  <c r="J43"/>
  <c r="I39"/>
  <c r="I35"/>
  <c r="I31"/>
  <c r="I27"/>
  <c r="I23"/>
  <c r="I19"/>
  <c r="I41"/>
  <c r="I33"/>
  <c r="I29"/>
  <c r="I45"/>
  <c r="I38"/>
  <c r="I21"/>
  <c r="I22"/>
  <c r="U25"/>
  <c r="J46"/>
  <c r="J19"/>
  <c r="J31"/>
  <c r="J27"/>
  <c r="J20"/>
  <c r="J41"/>
  <c r="U36"/>
  <c r="J35"/>
  <c r="U44"/>
  <c r="H57" i="19"/>
  <c r="U43" i="21"/>
  <c r="J23"/>
  <c r="J18"/>
  <c r="J26"/>
  <c r="J39"/>
  <c r="J17"/>
  <c r="J37"/>
  <c r="J45"/>
  <c r="U20"/>
  <c r="U29"/>
  <c r="J29"/>
  <c r="U26"/>
  <c r="J33"/>
  <c r="U40"/>
  <c r="G56" i="19"/>
  <c r="F12"/>
  <c r="G57"/>
  <c r="G67"/>
  <c r="G65"/>
  <c r="G63"/>
  <c r="G61"/>
  <c r="G59"/>
  <c r="G53"/>
  <c r="F10"/>
  <c r="G68"/>
  <c r="G66"/>
  <c r="G64"/>
  <c r="G62"/>
  <c r="G60"/>
  <c r="G58"/>
  <c r="G54"/>
  <c r="D49" i="22"/>
  <c r="G48" s="1"/>
  <c r="H48"/>
  <c r="G55" i="19"/>
  <c r="C47" i="22"/>
  <c r="D47" s="1"/>
  <c r="H53" i="19"/>
  <c r="H65"/>
  <c r="T59"/>
  <c r="H54"/>
  <c r="H64"/>
  <c r="T56"/>
  <c r="T64"/>
  <c r="H59"/>
  <c r="H67"/>
  <c r="T62"/>
  <c r="H58"/>
  <c r="H66"/>
  <c r="T58"/>
  <c r="T66"/>
  <c r="H61"/>
  <c r="T53"/>
  <c r="T63"/>
  <c r="H60"/>
  <c r="H68"/>
  <c r="T61"/>
  <c r="T68"/>
  <c r="H63"/>
  <c r="T55"/>
  <c r="T67"/>
  <c r="H62"/>
  <c r="T54"/>
  <c r="T60"/>
  <c r="U19" i="22"/>
  <c r="V19" s="1"/>
  <c r="U32"/>
  <c r="V32" s="1"/>
  <c r="U17"/>
  <c r="V17" s="1"/>
  <c r="U18"/>
  <c r="V18" s="1"/>
  <c r="H24"/>
  <c r="U9"/>
  <c r="H29"/>
  <c r="U12"/>
  <c r="V12" s="1"/>
  <c r="U23"/>
  <c r="V23" s="1"/>
  <c r="U20"/>
  <c r="V20" s="1"/>
  <c r="U28"/>
  <c r="V28" s="1"/>
  <c r="U10"/>
  <c r="V10" s="1"/>
  <c r="H27"/>
  <c r="U21"/>
  <c r="V21" s="1"/>
  <c r="U22"/>
  <c r="V22" s="1"/>
  <c r="U30"/>
  <c r="V30" s="1"/>
  <c r="U16"/>
  <c r="V16" s="1"/>
  <c r="H26"/>
  <c r="U11"/>
  <c r="V11" s="1"/>
  <c r="H31"/>
  <c r="H56" i="19"/>
  <c r="C48" i="22"/>
  <c r="H49" s="1"/>
  <c r="T57" i="19"/>
  <c r="T65"/>
  <c r="U39" i="21"/>
  <c r="U33"/>
  <c r="U27"/>
  <c r="U21"/>
  <c r="U17"/>
  <c r="U34"/>
  <c r="U30"/>
  <c r="U18"/>
  <c r="J44"/>
  <c r="J40"/>
  <c r="J32"/>
  <c r="J21"/>
  <c r="U38"/>
  <c r="U45"/>
  <c r="U37"/>
  <c r="U31"/>
  <c r="U22"/>
  <c r="U19"/>
  <c r="J38"/>
  <c r="J25"/>
  <c r="U46"/>
  <c r="U42"/>
  <c r="U32"/>
  <c r="U28"/>
  <c r="U24"/>
  <c r="J42"/>
  <c r="J34"/>
  <c r="J28"/>
  <c r="J24"/>
  <c r="J22"/>
  <c r="H55" i="19"/>
  <c r="C38" i="26"/>
  <c r="C37"/>
  <c r="I101" i="14" l="1"/>
  <c r="C37" i="24"/>
  <c r="C39" s="1"/>
  <c r="D39"/>
  <c r="C38" i="16"/>
  <c r="C39" s="1"/>
  <c r="J69" i="14"/>
  <c r="C37" i="11"/>
  <c r="I86" i="14"/>
  <c r="J53"/>
  <c r="J76"/>
  <c r="K53"/>
  <c r="K76"/>
  <c r="K58"/>
  <c r="I89"/>
  <c r="J58"/>
  <c r="I81"/>
  <c r="D20" i="7"/>
  <c r="E20" s="1"/>
  <c r="H18" s="1"/>
  <c r="D22"/>
  <c r="D42" s="1"/>
  <c r="D44" s="1"/>
  <c r="C38"/>
  <c r="D19"/>
  <c r="E19" s="1"/>
  <c r="F18" s="1"/>
  <c r="G20"/>
  <c r="G21" s="1"/>
  <c r="G22" s="1"/>
  <c r="D39"/>
  <c r="C38" i="11"/>
  <c r="C37" i="7"/>
  <c r="G12" i="22"/>
  <c r="F12" s="1"/>
  <c r="K55" i="14"/>
  <c r="G20" i="22"/>
  <c r="F20" s="1"/>
  <c r="I91" i="14"/>
  <c r="K71"/>
  <c r="I99"/>
  <c r="J57"/>
  <c r="I90"/>
  <c r="K62"/>
  <c r="K67"/>
  <c r="G17" i="22"/>
  <c r="F17" s="1"/>
  <c r="J75" i="14"/>
  <c r="K57"/>
  <c r="I85"/>
  <c r="K63"/>
  <c r="I84"/>
  <c r="J63"/>
  <c r="J64"/>
  <c r="J72"/>
  <c r="K73"/>
  <c r="I92"/>
  <c r="J67"/>
  <c r="J61"/>
  <c r="M133"/>
  <c r="I97"/>
  <c r="J65"/>
  <c r="I82"/>
  <c r="I94"/>
  <c r="K59"/>
  <c r="I88"/>
  <c r="J73"/>
  <c r="K54"/>
  <c r="J54"/>
  <c r="K61"/>
  <c r="I93"/>
  <c r="K75"/>
  <c r="K52"/>
  <c r="L133"/>
  <c r="K74"/>
  <c r="I104"/>
  <c r="I83"/>
  <c r="J56"/>
  <c r="I102"/>
  <c r="I80"/>
  <c r="K56"/>
  <c r="K65"/>
  <c r="J52"/>
  <c r="H36" i="22"/>
  <c r="I95" i="14"/>
  <c r="J66"/>
  <c r="K68"/>
  <c r="I96"/>
  <c r="I87"/>
  <c r="J59"/>
  <c r="J71"/>
  <c r="I103"/>
  <c r="J60"/>
  <c r="K72"/>
  <c r="I98"/>
  <c r="J68"/>
  <c r="J70"/>
  <c r="K70"/>
  <c r="J74"/>
  <c r="K64"/>
  <c r="I100"/>
  <c r="K60"/>
  <c r="F26" i="22"/>
  <c r="F24"/>
  <c r="F27"/>
  <c r="F31"/>
  <c r="F29"/>
  <c r="I95" i="13"/>
  <c r="K52"/>
  <c r="K76"/>
  <c r="K66"/>
  <c r="J62"/>
  <c r="J52"/>
  <c r="J67"/>
  <c r="I101"/>
  <c r="J60"/>
  <c r="K58"/>
  <c r="K59"/>
  <c r="L133"/>
  <c r="K64"/>
  <c r="J72"/>
  <c r="I91"/>
  <c r="K71"/>
  <c r="I102"/>
  <c r="J53"/>
  <c r="J71"/>
  <c r="K68"/>
  <c r="J55"/>
  <c r="I96"/>
  <c r="I87"/>
  <c r="J59"/>
  <c r="I94"/>
  <c r="J73"/>
  <c r="K55"/>
  <c r="J76"/>
  <c r="K74"/>
  <c r="K65"/>
  <c r="I86"/>
  <c r="J74"/>
  <c r="I100"/>
  <c r="J65"/>
  <c r="I92"/>
  <c r="J64"/>
  <c r="K62"/>
  <c r="J70"/>
  <c r="I104"/>
  <c r="K73"/>
  <c r="M133"/>
  <c r="K57"/>
  <c r="I81"/>
  <c r="I93"/>
  <c r="K70"/>
  <c r="K54"/>
  <c r="I82"/>
  <c r="K67"/>
  <c r="J75"/>
  <c r="J61"/>
  <c r="J63"/>
  <c r="J56"/>
  <c r="I99"/>
  <c r="K61"/>
  <c r="K63"/>
  <c r="I88"/>
  <c r="I97"/>
  <c r="I98"/>
  <c r="K60"/>
  <c r="K75"/>
  <c r="J57"/>
  <c r="I90"/>
  <c r="K53"/>
  <c r="I80"/>
  <c r="I103"/>
  <c r="K72"/>
  <c r="J68"/>
  <c r="I83"/>
  <c r="I89"/>
  <c r="K56"/>
  <c r="J69"/>
  <c r="I85"/>
  <c r="J58"/>
  <c r="D14" i="18"/>
  <c r="E28" s="1"/>
  <c r="H11"/>
  <c r="J62" i="12"/>
  <c r="E21" i="18"/>
  <c r="E31"/>
  <c r="E10"/>
  <c r="E42"/>
  <c r="K62" i="12"/>
  <c r="E63" i="18"/>
  <c r="C31"/>
  <c r="J52" i="12"/>
  <c r="D82" i="18"/>
  <c r="E23"/>
  <c r="B23" s="1"/>
  <c r="K54" i="12"/>
  <c r="F17" i="18"/>
  <c r="I81" i="12"/>
  <c r="J65"/>
  <c r="I89"/>
  <c r="I86"/>
  <c r="K56"/>
  <c r="E54" i="18"/>
  <c r="E62"/>
  <c r="K56" i="2"/>
  <c r="C21" i="18"/>
  <c r="B21" s="1"/>
  <c r="K54" i="2"/>
  <c r="J54" i="12"/>
  <c r="I80"/>
  <c r="K52"/>
  <c r="E43" i="18"/>
  <c r="C21" i="30"/>
  <c r="E21"/>
  <c r="I83" i="12"/>
  <c r="J66"/>
  <c r="I87"/>
  <c r="E31" i="30"/>
  <c r="E54"/>
  <c r="E14" i="18"/>
  <c r="E43" i="30"/>
  <c r="J74" i="12"/>
  <c r="I91"/>
  <c r="F11" i="18"/>
  <c r="G11" s="1"/>
  <c r="E63" i="30"/>
  <c r="K60" i="12"/>
  <c r="I98"/>
  <c r="K64"/>
  <c r="K75"/>
  <c r="K67"/>
  <c r="J76"/>
  <c r="I102"/>
  <c r="J52" i="2"/>
  <c r="K55" i="12"/>
  <c r="J59"/>
  <c r="J56"/>
  <c r="I103"/>
  <c r="J64"/>
  <c r="E36" i="30"/>
  <c r="C31"/>
  <c r="D18" i="18"/>
  <c r="E33" s="1"/>
  <c r="I90" i="12"/>
  <c r="I82"/>
  <c r="K53"/>
  <c r="M133"/>
  <c r="K62" i="2"/>
  <c r="J67" i="12"/>
  <c r="D10" i="17"/>
  <c r="E21" s="1"/>
  <c r="J63" i="12"/>
  <c r="I96"/>
  <c r="I84"/>
  <c r="K71"/>
  <c r="I93"/>
  <c r="K67" i="2"/>
  <c r="E64" i="18"/>
  <c r="K57" i="12"/>
  <c r="J60"/>
  <c r="J72"/>
  <c r="J71"/>
  <c r="I100"/>
  <c r="J57"/>
  <c r="I104"/>
  <c r="J53"/>
  <c r="J68"/>
  <c r="K73"/>
  <c r="L133"/>
  <c r="J69"/>
  <c r="J61"/>
  <c r="K76"/>
  <c r="I85"/>
  <c r="K61"/>
  <c r="J55"/>
  <c r="K74"/>
  <c r="K59"/>
  <c r="J75"/>
  <c r="AR5" i="28"/>
  <c r="J11" i="18"/>
  <c r="C23" i="30"/>
  <c r="F57" i="19"/>
  <c r="D19" i="18"/>
  <c r="D12" s="1"/>
  <c r="D17" s="1"/>
  <c r="E46" s="1"/>
  <c r="I97" i="12"/>
  <c r="K72"/>
  <c r="I99"/>
  <c r="K65"/>
  <c r="J70"/>
  <c r="K63"/>
  <c r="E10" i="30"/>
  <c r="E62"/>
  <c r="K58" i="12"/>
  <c r="I95"/>
  <c r="J54" i="2"/>
  <c r="J73" i="12"/>
  <c r="K70"/>
  <c r="I101"/>
  <c r="I92"/>
  <c r="J62" i="2"/>
  <c r="J58" i="12"/>
  <c r="K69"/>
  <c r="I88"/>
  <c r="K66"/>
  <c r="I94"/>
  <c r="K68"/>
  <c r="E42" i="30"/>
  <c r="I80" i="2"/>
  <c r="I83"/>
  <c r="J66"/>
  <c r="K66"/>
  <c r="D17" i="17"/>
  <c r="E17" s="1"/>
  <c r="I90" i="2"/>
  <c r="K74"/>
  <c r="I94"/>
  <c r="J58"/>
  <c r="J59"/>
  <c r="E11" i="17"/>
  <c r="I11" s="1"/>
  <c r="J63" i="2"/>
  <c r="K63"/>
  <c r="I84"/>
  <c r="J55"/>
  <c r="J74"/>
  <c r="K58"/>
  <c r="K59"/>
  <c r="J67"/>
  <c r="I85"/>
  <c r="K53"/>
  <c r="I91"/>
  <c r="J64"/>
  <c r="D11" i="30"/>
  <c r="E11" s="1"/>
  <c r="H11" s="1"/>
  <c r="I88" i="2"/>
  <c r="J73"/>
  <c r="I96"/>
  <c r="K73"/>
  <c r="I100"/>
  <c r="E12" i="17"/>
  <c r="I86" i="2"/>
  <c r="K61"/>
  <c r="I81"/>
  <c r="I82"/>
  <c r="J61"/>
  <c r="J56"/>
  <c r="J72"/>
  <c r="I87"/>
  <c r="J75"/>
  <c r="I98"/>
  <c r="M133"/>
  <c r="J68"/>
  <c r="I102"/>
  <c r="I104"/>
  <c r="K68"/>
  <c r="I95"/>
  <c r="J57"/>
  <c r="L133"/>
  <c r="J65"/>
  <c r="I97"/>
  <c r="J70"/>
  <c r="J71"/>
  <c r="K64"/>
  <c r="K65"/>
  <c r="I93"/>
  <c r="I92"/>
  <c r="J53"/>
  <c r="K57"/>
  <c r="J60"/>
  <c r="I99"/>
  <c r="K55"/>
  <c r="I103"/>
  <c r="K72"/>
  <c r="K70"/>
  <c r="K71"/>
  <c r="K75"/>
  <c r="J76"/>
  <c r="I89"/>
  <c r="K69"/>
  <c r="J69"/>
  <c r="D9" i="17"/>
  <c r="E28" s="1"/>
  <c r="K76" i="2"/>
  <c r="I101"/>
  <c r="D9" i="30"/>
  <c r="V9" i="22"/>
  <c r="I48" i="21"/>
  <c r="H50" i="22"/>
  <c r="F56" i="19"/>
  <c r="D48" i="22"/>
  <c r="T50" s="1"/>
  <c r="H71" i="19"/>
  <c r="F55"/>
  <c r="F58"/>
  <c r="F62"/>
  <c r="F66"/>
  <c r="F59"/>
  <c r="F63"/>
  <c r="F67"/>
  <c r="T54" i="22"/>
  <c r="T48"/>
  <c r="G46"/>
  <c r="T49"/>
  <c r="T46"/>
  <c r="G51"/>
  <c r="G47"/>
  <c r="T71" i="19"/>
  <c r="F54"/>
  <c r="F60"/>
  <c r="F64"/>
  <c r="F68"/>
  <c r="F53"/>
  <c r="F61"/>
  <c r="F65"/>
  <c r="V52" i="22"/>
  <c r="V51"/>
  <c r="H52"/>
  <c r="V49"/>
  <c r="H47"/>
  <c r="V50"/>
  <c r="H46"/>
  <c r="V46"/>
  <c r="V48"/>
  <c r="V54"/>
  <c r="H53"/>
  <c r="V53"/>
  <c r="H54"/>
  <c r="V47"/>
  <c r="H51"/>
  <c r="U36"/>
  <c r="J48" i="21"/>
  <c r="U48"/>
  <c r="C39" i="26"/>
  <c r="C39" i="11" l="1"/>
  <c r="D23" i="7"/>
  <c r="C42" s="1"/>
  <c r="C44" s="1"/>
  <c r="C46" s="1"/>
  <c r="D32"/>
  <c r="D43" s="1"/>
  <c r="D24"/>
  <c r="D34" s="1"/>
  <c r="E43" s="1"/>
  <c r="G23"/>
  <c r="H17" i="9" s="1"/>
  <c r="X20" i="28" s="1"/>
  <c r="C39" i="7"/>
  <c r="G36" i="22"/>
  <c r="N133" i="14"/>
  <c r="I105"/>
  <c r="O38" i="22"/>
  <c r="O39" s="1"/>
  <c r="O40" s="1"/>
  <c r="K77" i="14"/>
  <c r="J77"/>
  <c r="N133" i="13"/>
  <c r="I105"/>
  <c r="J77"/>
  <c r="K77"/>
  <c r="E53" i="18"/>
  <c r="E25"/>
  <c r="C30"/>
  <c r="D82" i="17"/>
  <c r="E56" i="18"/>
  <c r="E41"/>
  <c r="E26"/>
  <c r="C22"/>
  <c r="E45"/>
  <c r="E35"/>
  <c r="E61"/>
  <c r="E65" s="1"/>
  <c r="D71" s="1"/>
  <c r="E44"/>
  <c r="E30"/>
  <c r="E40"/>
  <c r="E52"/>
  <c r="C35"/>
  <c r="C26"/>
  <c r="E55"/>
  <c r="E22"/>
  <c r="C25"/>
  <c r="C28"/>
  <c r="B28" s="1"/>
  <c r="B31"/>
  <c r="E32"/>
  <c r="E29"/>
  <c r="E63" i="17"/>
  <c r="E12" i="18"/>
  <c r="C36" s="1"/>
  <c r="I11"/>
  <c r="E17"/>
  <c r="C27" s="1"/>
  <c r="D68"/>
  <c r="E10" i="17"/>
  <c r="E62"/>
  <c r="E31"/>
  <c r="E27" i="18"/>
  <c r="E24"/>
  <c r="E43" i="17"/>
  <c r="E42"/>
  <c r="E54"/>
  <c r="N133" i="12"/>
  <c r="D13" i="30" s="1"/>
  <c r="C33" i="18"/>
  <c r="B33" s="1"/>
  <c r="J77" i="12"/>
  <c r="K77"/>
  <c r="G136" s="1"/>
  <c r="G4" i="2" s="1"/>
  <c r="I6" i="28" s="1"/>
  <c r="I7" s="1"/>
  <c r="I8" s="1"/>
  <c r="I105" i="12"/>
  <c r="E34" i="18"/>
  <c r="C24"/>
  <c r="E36"/>
  <c r="E29" i="17"/>
  <c r="E24"/>
  <c r="D68"/>
  <c r="E46"/>
  <c r="E27"/>
  <c r="E56"/>
  <c r="E52"/>
  <c r="E34"/>
  <c r="E45"/>
  <c r="E32"/>
  <c r="E61"/>
  <c r="E22"/>
  <c r="G11"/>
  <c r="E55"/>
  <c r="E53"/>
  <c r="D17" i="30"/>
  <c r="C24" s="1"/>
  <c r="E64" i="17"/>
  <c r="K11" i="30"/>
  <c r="AV5" i="28" s="1"/>
  <c r="V6" s="1"/>
  <c r="N133" i="2"/>
  <c r="D13" i="17" s="1"/>
  <c r="F11"/>
  <c r="H11" s="1"/>
  <c r="E40"/>
  <c r="E30"/>
  <c r="E44"/>
  <c r="E41"/>
  <c r="J11" i="30"/>
  <c r="F11"/>
  <c r="I11" s="1"/>
  <c r="I105" i="2"/>
  <c r="K77"/>
  <c r="E25" i="17"/>
  <c r="E26"/>
  <c r="E35"/>
  <c r="J77" i="2"/>
  <c r="G136" s="1"/>
  <c r="D8" i="17" s="1"/>
  <c r="E23"/>
  <c r="E9"/>
  <c r="C25" i="30"/>
  <c r="C35"/>
  <c r="C28"/>
  <c r="E26"/>
  <c r="E41"/>
  <c r="E25"/>
  <c r="E44"/>
  <c r="E22"/>
  <c r="E52"/>
  <c r="E35"/>
  <c r="E9"/>
  <c r="C22"/>
  <c r="C30"/>
  <c r="C26"/>
  <c r="E61"/>
  <c r="E30"/>
  <c r="E45"/>
  <c r="E40"/>
  <c r="E55"/>
  <c r="E28"/>
  <c r="E56"/>
  <c r="E53"/>
  <c r="E64"/>
  <c r="O36" i="22"/>
  <c r="D10" s="1"/>
  <c r="E10" s="1"/>
  <c r="T47"/>
  <c r="W47" s="1"/>
  <c r="G54"/>
  <c r="G53"/>
  <c r="T51"/>
  <c r="W51" s="1"/>
  <c r="G52"/>
  <c r="G49"/>
  <c r="T53"/>
  <c r="W53" s="1"/>
  <c r="W46"/>
  <c r="W49"/>
  <c r="W48"/>
  <c r="W54"/>
  <c r="T52"/>
  <c r="W52" s="1"/>
  <c r="G50"/>
  <c r="V56"/>
  <c r="W50"/>
  <c r="N75" i="19"/>
  <c r="D7" s="1"/>
  <c r="AE6" i="28" s="1"/>
  <c r="J49" i="21"/>
  <c r="C27" i="20" s="1"/>
  <c r="D5" i="21" s="1"/>
  <c r="D9" i="22" s="1"/>
  <c r="H56"/>
  <c r="F19" i="7"/>
  <c r="H19"/>
  <c r="D45" i="3"/>
  <c r="O179" s="1"/>
  <c r="O180" s="1"/>
  <c r="D3" s="1"/>
  <c r="D43"/>
  <c r="O116" s="1"/>
  <c r="O117" s="1"/>
  <c r="D2" s="1"/>
  <c r="C45" i="7" l="1"/>
  <c r="D33"/>
  <c r="C43" s="1"/>
  <c r="E42"/>
  <c r="E44" s="1"/>
  <c r="E46" s="1"/>
  <c r="D45"/>
  <c r="D47" s="1"/>
  <c r="D48" s="1"/>
  <c r="G136" i="14"/>
  <c r="G5" i="2" s="1"/>
  <c r="S6" i="28" s="1"/>
  <c r="S7" s="1"/>
  <c r="S8" s="1"/>
  <c r="S11" s="1"/>
  <c r="S12" s="1"/>
  <c r="S13" s="1"/>
  <c r="S15" s="1"/>
  <c r="S16" s="1"/>
  <c r="S17" s="1"/>
  <c r="S18" s="1"/>
  <c r="S30" s="1"/>
  <c r="S33" s="1"/>
  <c r="S39" s="1"/>
  <c r="E18" i="22"/>
  <c r="AK51" i="28" s="1"/>
  <c r="D18" i="22"/>
  <c r="D19" s="1"/>
  <c r="G136" i="13"/>
  <c r="G3" i="2" s="1"/>
  <c r="N6" i="28" s="1"/>
  <c r="N43" s="1"/>
  <c r="N44" s="1"/>
  <c r="N45" s="1"/>
  <c r="N46" s="1"/>
  <c r="N47" s="1"/>
  <c r="N48" s="1"/>
  <c r="N49" s="1"/>
  <c r="B35" i="18"/>
  <c r="B22"/>
  <c r="E57"/>
  <c r="B26"/>
  <c r="B30"/>
  <c r="B25"/>
  <c r="E47"/>
  <c r="D69" s="1"/>
  <c r="D13"/>
  <c r="B27"/>
  <c r="E17" i="30"/>
  <c r="C27" s="1"/>
  <c r="E77"/>
  <c r="C34" i="18"/>
  <c r="B34" s="1"/>
  <c r="C32"/>
  <c r="B32" s="1"/>
  <c r="B24"/>
  <c r="D72"/>
  <c r="C29"/>
  <c r="B29" s="1"/>
  <c r="D80"/>
  <c r="E37"/>
  <c r="E38" s="1"/>
  <c r="AQ6" i="28" s="1"/>
  <c r="AQ7" s="1"/>
  <c r="B36" i="18"/>
  <c r="D81"/>
  <c r="D83"/>
  <c r="E46" i="30"/>
  <c r="E47" s="1"/>
  <c r="E65" i="17"/>
  <c r="D81" s="1"/>
  <c r="E57"/>
  <c r="E32" i="30"/>
  <c r="E29"/>
  <c r="E47" i="17"/>
  <c r="E34" i="30"/>
  <c r="E27"/>
  <c r="E24"/>
  <c r="E37" i="17"/>
  <c r="E38" s="1"/>
  <c r="G11" i="30"/>
  <c r="G2" i="2"/>
  <c r="D6" i="28" s="1"/>
  <c r="D43" s="1"/>
  <c r="D44" s="1"/>
  <c r="D45" s="1"/>
  <c r="D46" s="1"/>
  <c r="D47" s="1"/>
  <c r="D48" s="1"/>
  <c r="D49" s="1"/>
  <c r="E65" i="30"/>
  <c r="E69" s="1"/>
  <c r="E57"/>
  <c r="D11" i="22"/>
  <c r="C28" i="20" s="1"/>
  <c r="C44" i="22"/>
  <c r="I43" i="28"/>
  <c r="I44" s="1"/>
  <c r="I45" s="1"/>
  <c r="I46" s="1"/>
  <c r="I47" s="1"/>
  <c r="I48" s="1"/>
  <c r="I49" s="1"/>
  <c r="AK6"/>
  <c r="AK7" s="1"/>
  <c r="AK8" s="1"/>
  <c r="AK11" s="1"/>
  <c r="AK12" s="1"/>
  <c r="AK13" s="1"/>
  <c r="AK15" s="1"/>
  <c r="T56" i="22"/>
  <c r="W56" s="1"/>
  <c r="G56"/>
  <c r="F56" s="1"/>
  <c r="AE43" i="28"/>
  <c r="AE44" s="1"/>
  <c r="AE45" s="1"/>
  <c r="AE46" s="1"/>
  <c r="AE47" s="1"/>
  <c r="AE48" s="1"/>
  <c r="AE49" s="1"/>
  <c r="AE7"/>
  <c r="AE8" s="1"/>
  <c r="AE9" s="1"/>
  <c r="O57" i="22"/>
  <c r="C45" s="1"/>
  <c r="I9" i="28"/>
  <c r="I11"/>
  <c r="I12" s="1"/>
  <c r="I13" s="1"/>
  <c r="I15" s="1"/>
  <c r="E45" i="7"/>
  <c r="E47" s="1"/>
  <c r="E48" s="1"/>
  <c r="H20"/>
  <c r="H21" s="1"/>
  <c r="H22" s="1"/>
  <c r="F20"/>
  <c r="F21" s="1"/>
  <c r="F22" s="1"/>
  <c r="D28" i="3"/>
  <c r="D32" s="1"/>
  <c r="D23"/>
  <c r="D24"/>
  <c r="D26"/>
  <c r="C47" i="7" l="1"/>
  <c r="C48" s="1"/>
  <c r="N7" i="28"/>
  <c r="N8" s="1"/>
  <c r="N11" s="1"/>
  <c r="N12" s="1"/>
  <c r="N13" s="1"/>
  <c r="N15" s="1"/>
  <c r="N16" s="1"/>
  <c r="N17" s="1"/>
  <c r="N18" s="1"/>
  <c r="N30" s="1"/>
  <c r="N33" s="1"/>
  <c r="N39" s="1"/>
  <c r="C32" i="30"/>
  <c r="S9" i="28"/>
  <c r="S21" s="1"/>
  <c r="S22" s="1"/>
  <c r="S37" s="1"/>
  <c r="S38"/>
  <c r="S43"/>
  <c r="S44" s="1"/>
  <c r="S45" s="1"/>
  <c r="S46" s="1"/>
  <c r="S47" s="1"/>
  <c r="S48" s="1"/>
  <c r="S49" s="1"/>
  <c r="C34" i="30"/>
  <c r="C29"/>
  <c r="C37" i="18"/>
  <c r="B37" s="1"/>
  <c r="D6" i="33"/>
  <c r="D43" s="1"/>
  <c r="D44" s="1"/>
  <c r="D45" s="1"/>
  <c r="D46" s="1"/>
  <c r="D47" s="1"/>
  <c r="D48" s="1"/>
  <c r="D49" s="1"/>
  <c r="F116" i="18"/>
  <c r="F153" s="1"/>
  <c r="F154" s="1"/>
  <c r="F155" s="1"/>
  <c r="F156" s="1"/>
  <c r="F157" s="1"/>
  <c r="F158" s="1"/>
  <c r="F159" s="1"/>
  <c r="D72" i="17"/>
  <c r="D80"/>
  <c r="D71"/>
  <c r="D69"/>
  <c r="D77" s="1"/>
  <c r="E37" i="30"/>
  <c r="E38" s="1"/>
  <c r="AU6" i="28" s="1"/>
  <c r="AU43" s="1"/>
  <c r="AU44" s="1"/>
  <c r="AU45" s="1"/>
  <c r="AU46" s="1"/>
  <c r="AU47" s="1"/>
  <c r="AU48" s="1"/>
  <c r="AU49" s="1"/>
  <c r="V16" s="1"/>
  <c r="E78" i="30"/>
  <c r="E72" s="1"/>
  <c r="E73" s="1"/>
  <c r="AQ43" i="28"/>
  <c r="AQ44" s="1"/>
  <c r="AQ45" s="1"/>
  <c r="AQ46" s="1"/>
  <c r="AQ47" s="1"/>
  <c r="AQ48" s="1"/>
  <c r="AQ49" s="1"/>
  <c r="W16" s="1"/>
  <c r="D7"/>
  <c r="D8" s="1"/>
  <c r="D11" s="1"/>
  <c r="D12" s="1"/>
  <c r="D13" s="1"/>
  <c r="D15" s="1"/>
  <c r="D16" s="1"/>
  <c r="D17" s="1"/>
  <c r="D18" s="1"/>
  <c r="D30" s="1"/>
  <c r="D38" s="1"/>
  <c r="AQ8"/>
  <c r="D85" i="18"/>
  <c r="D84"/>
  <c r="D77"/>
  <c r="D90"/>
  <c r="AK43" i="28"/>
  <c r="AK44" s="1"/>
  <c r="AK45" s="1"/>
  <c r="AK46" s="1"/>
  <c r="AK47" s="1"/>
  <c r="AK48" s="1"/>
  <c r="AK49" s="1"/>
  <c r="D91" i="18"/>
  <c r="E90"/>
  <c r="D78"/>
  <c r="D45" i="22"/>
  <c r="F45" s="1"/>
  <c r="AE51" i="28" s="1"/>
  <c r="F43" i="22"/>
  <c r="AE11" i="28"/>
  <c r="AE12" s="1"/>
  <c r="AE13" s="1"/>
  <c r="AE15" s="1"/>
  <c r="AE16" s="1"/>
  <c r="AE17" s="1"/>
  <c r="AE18" s="1"/>
  <c r="AE30" s="1"/>
  <c r="I16"/>
  <c r="I17" s="1"/>
  <c r="I18" s="1"/>
  <c r="I30" s="1"/>
  <c r="AK16"/>
  <c r="AK17" s="1"/>
  <c r="AK18" s="1"/>
  <c r="AK30" s="1"/>
  <c r="AK9"/>
  <c r="E49" i="7"/>
  <c r="E50" s="1"/>
  <c r="E51" s="1"/>
  <c r="E52" s="1"/>
  <c r="F23"/>
  <c r="H16" i="9" s="1"/>
  <c r="X19" i="28" s="1"/>
  <c r="H23" i="7"/>
  <c r="H18" i="9" s="1"/>
  <c r="X21" i="28" s="1"/>
  <c r="D50" i="7"/>
  <c r="D51" s="1"/>
  <c r="D52" s="1"/>
  <c r="D31" i="3"/>
  <c r="D33" s="1"/>
  <c r="D25"/>
  <c r="D27" s="1"/>
  <c r="E27" s="1"/>
  <c r="C49" i="7" l="1"/>
  <c r="C50" s="1"/>
  <c r="C51" s="1"/>
  <c r="C52" s="1"/>
  <c r="D19" i="11" s="1"/>
  <c r="D23" s="1"/>
  <c r="D33" s="1"/>
  <c r="C43" s="1"/>
  <c r="N9" i="28"/>
  <c r="N21" s="1"/>
  <c r="N22" s="1"/>
  <c r="N37" s="1"/>
  <c r="N38"/>
  <c r="D86" i="18"/>
  <c r="W7" i="28" s="1"/>
  <c r="S23"/>
  <c r="S24" s="1"/>
  <c r="S25" s="1"/>
  <c r="S26" s="1"/>
  <c r="S27" s="1"/>
  <c r="C37" i="30"/>
  <c r="D88" i="17"/>
  <c r="D7" i="33"/>
  <c r="D8" s="1"/>
  <c r="D11" s="1"/>
  <c r="D12" s="1"/>
  <c r="D13" s="1"/>
  <c r="D15" s="1"/>
  <c r="D16" s="1"/>
  <c r="D17" s="1"/>
  <c r="D18" s="1"/>
  <c r="D30" s="1"/>
  <c r="F117" i="18"/>
  <c r="F118" s="1"/>
  <c r="F121" s="1"/>
  <c r="F122" s="1"/>
  <c r="F123" s="1"/>
  <c r="F125" s="1"/>
  <c r="D78" i="17"/>
  <c r="D87"/>
  <c r="E87"/>
  <c r="AU7" i="28"/>
  <c r="AU8" s="1"/>
  <c r="AU11" s="1"/>
  <c r="AU12" s="1"/>
  <c r="AU13" s="1"/>
  <c r="AU15" s="1"/>
  <c r="E71" i="30"/>
  <c r="E89"/>
  <c r="E79"/>
  <c r="E85" s="1"/>
  <c r="V9" i="28" s="1"/>
  <c r="E82" i="30"/>
  <c r="V10" i="28" s="1"/>
  <c r="E80" i="30"/>
  <c r="E87" s="1"/>
  <c r="V11" i="28" s="1"/>
  <c r="D98" i="18"/>
  <c r="Y8" i="28" s="1"/>
  <c r="D97" i="18"/>
  <c r="D9" i="28"/>
  <c r="D21" s="1"/>
  <c r="D33"/>
  <c r="D39" s="1"/>
  <c r="V7"/>
  <c r="D100" i="18"/>
  <c r="D95"/>
  <c r="D96"/>
  <c r="D99"/>
  <c r="AQ11" i="28"/>
  <c r="AQ12" s="1"/>
  <c r="AQ13" s="1"/>
  <c r="AQ15" s="1"/>
  <c r="AQ9"/>
  <c r="C46" i="22"/>
  <c r="D8" i="19" s="1"/>
  <c r="I21" i="28"/>
  <c r="I38"/>
  <c r="I33"/>
  <c r="I39" s="1"/>
  <c r="AK21"/>
  <c r="AK22" s="1"/>
  <c r="AK37" s="1"/>
  <c r="AK33"/>
  <c r="AK39" s="1"/>
  <c r="AK38"/>
  <c r="AE21"/>
  <c r="AE33"/>
  <c r="AE39" s="1"/>
  <c r="AE38"/>
  <c r="D56" i="7"/>
  <c r="D57" s="1"/>
  <c r="D58" s="1"/>
  <c r="D59" s="1"/>
  <c r="D18" i="11"/>
  <c r="D22" s="1"/>
  <c r="D32" s="1"/>
  <c r="D43" s="1"/>
  <c r="E56" i="7"/>
  <c r="E57" s="1"/>
  <c r="E58" s="1"/>
  <c r="E59" s="1"/>
  <c r="E60" s="1"/>
  <c r="D20" i="11"/>
  <c r="D24" s="1"/>
  <c r="D34" s="1"/>
  <c r="C42" l="1"/>
  <c r="C44" s="1"/>
  <c r="C45" s="1"/>
  <c r="C47" s="1"/>
  <c r="C56" i="7"/>
  <c r="C57" s="1"/>
  <c r="C58" s="1"/>
  <c r="C59" s="1"/>
  <c r="C60" s="1"/>
  <c r="C61" s="1"/>
  <c r="AS5" i="28"/>
  <c r="AS6" s="1"/>
  <c r="W8" s="1"/>
  <c r="I22"/>
  <c r="I37" s="1"/>
  <c r="D22"/>
  <c r="D37" s="1"/>
  <c r="N23"/>
  <c r="N24" s="1"/>
  <c r="D9" i="33"/>
  <c r="F119" i="18"/>
  <c r="E83" i="30"/>
  <c r="V8" i="28" s="1"/>
  <c r="J116" i="18"/>
  <c r="J117" s="1"/>
  <c r="J118" s="1"/>
  <c r="J119" s="1"/>
  <c r="I116"/>
  <c r="Y7" i="28"/>
  <c r="Z14" s="1"/>
  <c r="K116" i="18"/>
  <c r="K117" s="1"/>
  <c r="Y9" i="28"/>
  <c r="L116" i="18"/>
  <c r="L153" s="1"/>
  <c r="L154" s="1"/>
  <c r="L155" s="1"/>
  <c r="L156" s="1"/>
  <c r="L157" s="1"/>
  <c r="L158" s="1"/>
  <c r="L159" s="1"/>
  <c r="Y10" i="28"/>
  <c r="H116" i="18"/>
  <c r="H117" s="1"/>
  <c r="Y6" i="28"/>
  <c r="G116" i="18"/>
  <c r="G153" s="1"/>
  <c r="G154" s="1"/>
  <c r="G155" s="1"/>
  <c r="G156" s="1"/>
  <c r="G157" s="1"/>
  <c r="G158" s="1"/>
  <c r="G159" s="1"/>
  <c r="Y5" i="28"/>
  <c r="AU9"/>
  <c r="AU16"/>
  <c r="AU17" s="1"/>
  <c r="F126" i="18"/>
  <c r="F127" s="1"/>
  <c r="F128" s="1"/>
  <c r="F140" s="1"/>
  <c r="AQ16" i="28"/>
  <c r="AQ17" s="1"/>
  <c r="AQ18" s="1"/>
  <c r="AQ30" s="1"/>
  <c r="D38" i="33"/>
  <c r="D33"/>
  <c r="D39" s="1"/>
  <c r="D21"/>
  <c r="S36" i="28"/>
  <c r="AK23"/>
  <c r="AK24" s="1"/>
  <c r="AE22"/>
  <c r="AE37" s="1"/>
  <c r="D42" i="11"/>
  <c r="D44" s="1"/>
  <c r="E61" i="7"/>
  <c r="E42" i="11"/>
  <c r="E44" s="1"/>
  <c r="E45" s="1"/>
  <c r="E43"/>
  <c r="D60" i="7"/>
  <c r="D61" s="1"/>
  <c r="C46" i="11" l="1"/>
  <c r="D23" i="28"/>
  <c r="D24" s="1"/>
  <c r="I23"/>
  <c r="I24" s="1"/>
  <c r="J153" i="18"/>
  <c r="J154" s="1"/>
  <c r="J155" s="1"/>
  <c r="J156" s="1"/>
  <c r="J157" s="1"/>
  <c r="J158" s="1"/>
  <c r="J159" s="1"/>
  <c r="I153"/>
  <c r="I154" s="1"/>
  <c r="I155" s="1"/>
  <c r="I156" s="1"/>
  <c r="I157" s="1"/>
  <c r="I158" s="1"/>
  <c r="I159" s="1"/>
  <c r="I117"/>
  <c r="I118" s="1"/>
  <c r="Z12" i="28"/>
  <c r="Z13"/>
  <c r="G117" i="18"/>
  <c r="G118" s="1"/>
  <c r="G119" s="1"/>
  <c r="K153"/>
  <c r="K154" s="1"/>
  <c r="K155" s="1"/>
  <c r="K156" s="1"/>
  <c r="K157" s="1"/>
  <c r="K158" s="1"/>
  <c r="K159" s="1"/>
  <c r="H153"/>
  <c r="H154" s="1"/>
  <c r="H155" s="1"/>
  <c r="H156" s="1"/>
  <c r="H157" s="1"/>
  <c r="H158" s="1"/>
  <c r="H159" s="1"/>
  <c r="L117"/>
  <c r="L118" s="1"/>
  <c r="AU18" i="28"/>
  <c r="AU30" s="1"/>
  <c r="F131" i="18"/>
  <c r="F132" s="1"/>
  <c r="F147" s="1"/>
  <c r="AA6" i="28" s="1"/>
  <c r="K118" i="18"/>
  <c r="K119" s="1"/>
  <c r="J121"/>
  <c r="J122" s="1"/>
  <c r="J123" s="1"/>
  <c r="J125" s="1"/>
  <c r="H118"/>
  <c r="H119" s="1"/>
  <c r="F143"/>
  <c r="F149" s="1"/>
  <c r="AA8" i="28" s="1"/>
  <c r="F148" i="18"/>
  <c r="AA7" i="28" s="1"/>
  <c r="AQ21"/>
  <c r="AQ22" s="1"/>
  <c r="AQ37" s="1"/>
  <c r="W13" s="1"/>
  <c r="AQ38"/>
  <c r="W14" s="1"/>
  <c r="AQ33"/>
  <c r="AQ39" s="1"/>
  <c r="W15" s="1"/>
  <c r="D22" i="33"/>
  <c r="D37" s="1"/>
  <c r="N25" i="28"/>
  <c r="N26" s="1"/>
  <c r="N27" s="1"/>
  <c r="AE23"/>
  <c r="AK25"/>
  <c r="D46" i="11"/>
  <c r="D45"/>
  <c r="D47" s="1"/>
  <c r="C49"/>
  <c r="C48"/>
  <c r="E47"/>
  <c r="E48" s="1"/>
  <c r="E46"/>
  <c r="I119" i="18" l="1"/>
  <c r="I121"/>
  <c r="I122" s="1"/>
  <c r="I123" s="1"/>
  <c r="I125" s="1"/>
  <c r="AU21" i="28"/>
  <c r="AU33"/>
  <c r="AU39" s="1"/>
  <c r="V15" s="1"/>
  <c r="AU38"/>
  <c r="V14" s="1"/>
  <c r="F133" i="18"/>
  <c r="F134" s="1"/>
  <c r="F135" s="1"/>
  <c r="F136" s="1"/>
  <c r="F137" s="1"/>
  <c r="F146" s="1"/>
  <c r="AA5" i="28" s="1"/>
  <c r="L121" i="18"/>
  <c r="L122" s="1"/>
  <c r="L123" s="1"/>
  <c r="L125" s="1"/>
  <c r="G121"/>
  <c r="G122" s="1"/>
  <c r="G123" s="1"/>
  <c r="G125" s="1"/>
  <c r="L119"/>
  <c r="H121"/>
  <c r="H122" s="1"/>
  <c r="H123" s="1"/>
  <c r="H125" s="1"/>
  <c r="K121"/>
  <c r="K122" s="1"/>
  <c r="K123" s="1"/>
  <c r="K125" s="1"/>
  <c r="J126"/>
  <c r="J127" s="1"/>
  <c r="AQ23" i="28"/>
  <c r="D23" i="33"/>
  <c r="I25" i="28"/>
  <c r="I26" s="1"/>
  <c r="I27" s="1"/>
  <c r="N36"/>
  <c r="AK26"/>
  <c r="AE24"/>
  <c r="D25"/>
  <c r="D48" i="11"/>
  <c r="D50" s="1"/>
  <c r="D51" s="1"/>
  <c r="D52" s="1"/>
  <c r="C50"/>
  <c r="C51" s="1"/>
  <c r="E49"/>
  <c r="I126" i="18" l="1"/>
  <c r="I127" s="1"/>
  <c r="I128" s="1"/>
  <c r="I140" s="1"/>
  <c r="AU22" i="28"/>
  <c r="AU37" s="1"/>
  <c r="V13" s="1"/>
  <c r="J128" i="18"/>
  <c r="J140" s="1"/>
  <c r="J143" s="1"/>
  <c r="J149" s="1"/>
  <c r="L126"/>
  <c r="L127" s="1"/>
  <c r="L128" s="1"/>
  <c r="L140" s="1"/>
  <c r="H126"/>
  <c r="H127" s="1"/>
  <c r="K126"/>
  <c r="K127" s="1"/>
  <c r="K128" s="1"/>
  <c r="K140" s="1"/>
  <c r="G126"/>
  <c r="G127" s="1"/>
  <c r="G128" s="1"/>
  <c r="G140" s="1"/>
  <c r="AQ24" i="28"/>
  <c r="AQ25" s="1"/>
  <c r="D24" i="33"/>
  <c r="I36" i="28"/>
  <c r="AK27"/>
  <c r="AK36" s="1"/>
  <c r="AE25"/>
  <c r="D26"/>
  <c r="D56" i="11"/>
  <c r="D57" s="1"/>
  <c r="D58" s="1"/>
  <c r="D59" s="1"/>
  <c r="D60" s="1"/>
  <c r="D61" s="1"/>
  <c r="D18" i="16"/>
  <c r="D22" s="1"/>
  <c r="D42" s="1"/>
  <c r="D44" s="1"/>
  <c r="C52" i="11"/>
  <c r="D19" i="16" s="1"/>
  <c r="D23" s="1"/>
  <c r="E50" i="11"/>
  <c r="E51" s="1"/>
  <c r="I148" i="18" l="1"/>
  <c r="I143"/>
  <c r="I149" s="1"/>
  <c r="I131"/>
  <c r="AU23" i="28"/>
  <c r="J148" i="18"/>
  <c r="K131"/>
  <c r="K132" s="1"/>
  <c r="K147" s="1"/>
  <c r="J131"/>
  <c r="G148"/>
  <c r="G143"/>
  <c r="G149" s="1"/>
  <c r="L148"/>
  <c r="L143"/>
  <c r="L149" s="1"/>
  <c r="K143"/>
  <c r="K149" s="1"/>
  <c r="K148"/>
  <c r="G131"/>
  <c r="H128"/>
  <c r="H140" s="1"/>
  <c r="L131"/>
  <c r="AQ26" i="28"/>
  <c r="AQ27" s="1"/>
  <c r="AQ36" s="1"/>
  <c r="W12" s="1"/>
  <c r="D25" i="33"/>
  <c r="D26" s="1"/>
  <c r="D27" s="1"/>
  <c r="AE26" i="28"/>
  <c r="D27"/>
  <c r="D36" s="1"/>
  <c r="D46" i="16"/>
  <c r="D45"/>
  <c r="C56" i="11"/>
  <c r="C57" s="1"/>
  <c r="C58" s="1"/>
  <c r="C59" s="1"/>
  <c r="C60" s="1"/>
  <c r="C61" s="1"/>
  <c r="D32" i="16"/>
  <c r="D43" s="1"/>
  <c r="E52" i="11"/>
  <c r="D33" i="16"/>
  <c r="C43" s="1"/>
  <c r="C42"/>
  <c r="C44" s="1"/>
  <c r="C45" s="1"/>
  <c r="I132" i="18" l="1"/>
  <c r="I147" s="1"/>
  <c r="AU24" i="28"/>
  <c r="AU25" s="1"/>
  <c r="J132" i="18"/>
  <c r="J147" s="1"/>
  <c r="H143"/>
  <c r="H149" s="1"/>
  <c r="H148"/>
  <c r="L132"/>
  <c r="L147" s="1"/>
  <c r="G132"/>
  <c r="G147" s="1"/>
  <c r="H131"/>
  <c r="K133"/>
  <c r="K134" s="1"/>
  <c r="D36" i="33"/>
  <c r="AE27" i="28"/>
  <c r="AE36" s="1"/>
  <c r="D47" i="16"/>
  <c r="D48" s="1"/>
  <c r="E56" i="11"/>
  <c r="E57" s="1"/>
  <c r="D20" i="16"/>
  <c r="D24" s="1"/>
  <c r="D34" s="1"/>
  <c r="E43" s="1"/>
  <c r="C46"/>
  <c r="C47"/>
  <c r="C48" s="1"/>
  <c r="I133" i="18" l="1"/>
  <c r="I134" s="1"/>
  <c r="I135" s="1"/>
  <c r="I136" s="1"/>
  <c r="I137" s="1"/>
  <c r="I146" s="1"/>
  <c r="E97" s="1"/>
  <c r="Z7" i="28" s="1"/>
  <c r="AU26"/>
  <c r="AU27" s="1"/>
  <c r="AU36" s="1"/>
  <c r="V12" s="1"/>
  <c r="L133" i="18"/>
  <c r="L134" s="1"/>
  <c r="L135" s="1"/>
  <c r="L136" s="1"/>
  <c r="L137" s="1"/>
  <c r="J133"/>
  <c r="J134" s="1"/>
  <c r="J135" s="1"/>
  <c r="J136" s="1"/>
  <c r="J137" s="1"/>
  <c r="G133"/>
  <c r="G134" s="1"/>
  <c r="G135" s="1"/>
  <c r="G136" s="1"/>
  <c r="G137" s="1"/>
  <c r="H132"/>
  <c r="H147" s="1"/>
  <c r="K135"/>
  <c r="E58" i="11"/>
  <c r="E59" s="1"/>
  <c r="E60" s="1"/>
  <c r="E42" i="16"/>
  <c r="E44" s="1"/>
  <c r="E46" s="1"/>
  <c r="D50"/>
  <c r="D51" s="1"/>
  <c r="D52" s="1"/>
  <c r="D56" s="1"/>
  <c r="D57" s="1"/>
  <c r="D58" s="1"/>
  <c r="D59" s="1"/>
  <c r="D60" s="1"/>
  <c r="D61" s="1"/>
  <c r="C49"/>
  <c r="C50" s="1"/>
  <c r="C51" s="1"/>
  <c r="J146" i="18" l="1"/>
  <c r="E98" s="1"/>
  <c r="Z8" i="28" s="1"/>
  <c r="K136" i="18"/>
  <c r="K137" s="1"/>
  <c r="H133"/>
  <c r="H134" s="1"/>
  <c r="H135" s="1"/>
  <c r="L146"/>
  <c r="E100" s="1"/>
  <c r="Z10" i="28" s="1"/>
  <c r="G146" i="18"/>
  <c r="E95" s="1"/>
  <c r="Z5" i="28" s="1"/>
  <c r="E61" i="11"/>
  <c r="E45" i="16"/>
  <c r="E47" s="1"/>
  <c r="D18" i="24"/>
  <c r="D22" s="1"/>
  <c r="D42" s="1"/>
  <c r="D44" s="1"/>
  <c r="D45" s="1"/>
  <c r="C52" i="16"/>
  <c r="C56" s="1"/>
  <c r="C57" s="1"/>
  <c r="C58" s="1"/>
  <c r="C59" s="1"/>
  <c r="C60" s="1"/>
  <c r="C61" s="1"/>
  <c r="D19" i="24"/>
  <c r="D23" s="1"/>
  <c r="K146" i="18" l="1"/>
  <c r="E99" s="1"/>
  <c r="Z9" i="28" s="1"/>
  <c r="H136" i="18"/>
  <c r="H137" s="1"/>
  <c r="H146" s="1"/>
  <c r="E96" s="1"/>
  <c r="Z6" i="28" s="1"/>
  <c r="D32" i="24"/>
  <c r="D43" s="1"/>
  <c r="D47" s="1"/>
  <c r="E48" i="16"/>
  <c r="E49"/>
  <c r="E50" s="1"/>
  <c r="E51" s="1"/>
  <c r="E52" s="1"/>
  <c r="E56" s="1"/>
  <c r="E57" s="1"/>
  <c r="E58" s="1"/>
  <c r="E59" s="1"/>
  <c r="E60" s="1"/>
  <c r="E61" s="1"/>
  <c r="C42" i="24"/>
  <c r="C44" s="1"/>
  <c r="C45" s="1"/>
  <c r="D33"/>
  <c r="C43" s="1"/>
  <c r="D46"/>
  <c r="D20" l="1"/>
  <c r="D24" s="1"/>
  <c r="E42" s="1"/>
  <c r="E44" s="1"/>
  <c r="E45" s="1"/>
  <c r="C47"/>
  <c r="C48" s="1"/>
  <c r="C46"/>
  <c r="D50"/>
  <c r="D51" s="1"/>
  <c r="D52" s="1"/>
  <c r="D48"/>
  <c r="D56" l="1"/>
  <c r="D57" s="1"/>
  <c r="D58" s="1"/>
  <c r="D59" s="1"/>
  <c r="D60" s="1"/>
  <c r="D61" s="1"/>
  <c r="D18" i="26"/>
  <c r="D22" s="1"/>
  <c r="D34" i="24"/>
  <c r="E43" s="1"/>
  <c r="E47" s="1"/>
  <c r="E48" s="1"/>
  <c r="C49"/>
  <c r="C50" s="1"/>
  <c r="C51" s="1"/>
  <c r="C52" s="1"/>
  <c r="E46"/>
  <c r="G17" i="9" l="1"/>
  <c r="W20" i="28" s="1"/>
  <c r="C56" i="24"/>
  <c r="C57" s="1"/>
  <c r="C58" s="1"/>
  <c r="C59" s="1"/>
  <c r="C60" s="1"/>
  <c r="C61" s="1"/>
  <c r="D19" i="26"/>
  <c r="D23" s="1"/>
  <c r="D42"/>
  <c r="D44" s="1"/>
  <c r="D32"/>
  <c r="D43" s="1"/>
  <c r="E49" i="24"/>
  <c r="E50" s="1"/>
  <c r="E51" s="1"/>
  <c r="E52" s="1"/>
  <c r="G16" i="9" l="1"/>
  <c r="W19" i="28" s="1"/>
  <c r="E56" i="24"/>
  <c r="E57" s="1"/>
  <c r="E58" s="1"/>
  <c r="E59" s="1"/>
  <c r="E60" s="1"/>
  <c r="E61" s="1"/>
  <c r="D20" i="26"/>
  <c r="D24" s="1"/>
  <c r="D46"/>
  <c r="D45"/>
  <c r="D47" s="1"/>
  <c r="C42"/>
  <c r="C44" s="1"/>
  <c r="D33"/>
  <c r="C43" s="1"/>
  <c r="G18" i="9" l="1"/>
  <c r="W21" i="28" s="1"/>
  <c r="C46" i="26"/>
  <c r="C45"/>
  <c r="C47" s="1"/>
  <c r="C48" s="1"/>
  <c r="D48"/>
  <c r="D50"/>
  <c r="D51" s="1"/>
  <c r="D52" s="1"/>
  <c r="D56" s="1"/>
  <c r="D57" s="1"/>
  <c r="E42"/>
  <c r="E44" s="1"/>
  <c r="D34"/>
  <c r="E43" s="1"/>
  <c r="C49" l="1"/>
  <c r="C50" s="1"/>
  <c r="C51" s="1"/>
  <c r="C52" s="1"/>
  <c r="C56" s="1"/>
  <c r="C57" s="1"/>
  <c r="C58" s="1"/>
  <c r="C59" s="1"/>
  <c r="C60" s="1"/>
  <c r="C61" s="1"/>
  <c r="E46"/>
  <c r="E45"/>
  <c r="E47" s="1"/>
  <c r="E48" s="1"/>
  <c r="D58"/>
  <c r="E49" l="1"/>
  <c r="E50" s="1"/>
  <c r="E51" s="1"/>
  <c r="E52" s="1"/>
  <c r="E56" s="1"/>
  <c r="E57" s="1"/>
  <c r="E58" s="1"/>
  <c r="E59" s="1"/>
  <c r="E60" s="1"/>
  <c r="E61" s="1"/>
  <c r="D59"/>
  <c r="D60" l="1"/>
  <c r="D61" s="1"/>
  <c r="F28" i="39"/>
  <c r="F22" l="1"/>
  <c r="F23" l="1"/>
  <c r="F29" l="1"/>
  <c r="F30" s="1"/>
  <c r="H11" i="35" l="1"/>
  <c r="H12" s="1"/>
  <c r="H13" s="1"/>
  <c r="H14" s="1"/>
  <c r="H9" s="1"/>
  <c r="P6"/>
  <c r="R6" s="1"/>
  <c r="F31" i="39"/>
  <c r="J32"/>
  <c r="R7" i="35" l="1"/>
  <c r="R8" s="1"/>
  <c r="V7" s="1"/>
  <c r="P11"/>
  <c r="P12" s="1"/>
  <c r="P13" s="1"/>
  <c r="P14" s="1"/>
  <c r="P9" s="1"/>
  <c r="T7" i="28"/>
  <c r="H7" i="35"/>
  <c r="J34" i="39"/>
  <c r="U8" i="28" l="1"/>
  <c r="H8" i="35"/>
  <c r="U7"/>
  <c r="U8" s="1"/>
  <c r="U9" s="1"/>
  <c r="U10" s="1"/>
  <c r="U11" s="1"/>
  <c r="U12" s="1"/>
  <c r="U13" s="1"/>
  <c r="U14" s="1"/>
  <c r="U15" s="1"/>
  <c r="U16" s="1"/>
  <c r="U17" s="1"/>
  <c r="F32" i="39"/>
  <c r="S6" i="35" s="1"/>
  <c r="P7" l="1"/>
  <c r="P8" s="1"/>
  <c r="H15"/>
  <c r="U9" i="28"/>
  <c r="P15" i="35" l="1"/>
  <c r="P18" s="1"/>
  <c r="T9" i="28" s="1"/>
  <c r="T8"/>
  <c r="F15" i="41"/>
  <c r="F25" l="1"/>
  <c r="H30"/>
  <c r="F22"/>
  <c r="H29"/>
  <c r="H31"/>
  <c r="F23"/>
  <c r="H52" s="1"/>
  <c r="F19"/>
  <c r="F21"/>
  <c r="H38" s="1"/>
  <c r="F20"/>
  <c r="H33" l="1"/>
  <c r="H39"/>
  <c r="H44"/>
  <c r="H50"/>
  <c r="H34"/>
  <c r="H47"/>
  <c r="H35"/>
  <c r="H43"/>
  <c r="H49"/>
  <c r="H51"/>
  <c r="H40"/>
  <c r="H32"/>
  <c r="F24"/>
  <c r="H53" s="1"/>
  <c r="H46"/>
  <c r="H48"/>
  <c r="H36"/>
  <c r="H41"/>
  <c r="H45"/>
  <c r="H42"/>
  <c r="H37"/>
  <c r="H56" l="1"/>
  <c r="N59" s="1"/>
  <c r="N60" s="1"/>
  <c r="N96" l="1"/>
  <c r="N97" s="1"/>
  <c r="N98" s="1"/>
  <c r="N99" s="1"/>
  <c r="N100" s="1"/>
  <c r="N101" s="1"/>
  <c r="N102" s="1"/>
  <c r="N61"/>
  <c r="N64" l="1"/>
  <c r="N65" s="1"/>
  <c r="N66" s="1"/>
  <c r="N68" s="1"/>
  <c r="N62"/>
  <c r="N69" l="1"/>
  <c r="N70" s="1"/>
  <c r="N71" l="1"/>
  <c r="N83" s="1"/>
  <c r="N74" l="1"/>
  <c r="N91"/>
  <c r="BI8" i="28" s="1"/>
  <c r="N86" i="41"/>
  <c r="N92" s="1"/>
  <c r="BI9" i="28" s="1"/>
  <c r="N75" i="41" l="1"/>
  <c r="N90" s="1"/>
  <c r="BI7" i="28" s="1"/>
  <c r="N76" i="41" l="1"/>
  <c r="N77" l="1"/>
  <c r="N78" l="1"/>
  <c r="N79" l="1"/>
  <c r="N80" l="1"/>
  <c r="N89" s="1"/>
  <c r="BI6" i="28" s="1"/>
</calcChain>
</file>

<file path=xl/sharedStrings.xml><?xml version="1.0" encoding="utf-8"?>
<sst xmlns="http://schemas.openxmlformats.org/spreadsheetml/2006/main" count="2097" uniqueCount="424">
  <si>
    <t>EQT</t>
  </si>
  <si>
    <t>DAYS</t>
  </si>
  <si>
    <r>
      <t>E = 1 – 0.002516T – 0.0000074T</t>
    </r>
    <r>
      <rPr>
        <vertAlign val="superscript"/>
        <sz val="12"/>
        <color theme="1"/>
        <rFont val="Calibri"/>
        <family val="2"/>
        <scheme val="minor"/>
      </rPr>
      <t>2</t>
    </r>
    <r>
      <rPr>
        <sz val="12"/>
        <color theme="1"/>
        <rFont val="Calibri"/>
        <family val="2"/>
        <scheme val="minor"/>
      </rPr>
      <t xml:space="preserve"> </t>
    </r>
  </si>
  <si>
    <r>
      <t>M = 2.5534 + 29,10535669 k - 0.0000218 T</t>
    </r>
    <r>
      <rPr>
        <vertAlign val="superscript"/>
        <sz val="12"/>
        <color theme="1"/>
        <rFont val="Calibri"/>
        <family val="2"/>
        <scheme val="minor"/>
      </rPr>
      <t>2</t>
    </r>
    <r>
      <rPr>
        <sz val="12"/>
        <color theme="1"/>
        <rFont val="Calibri"/>
        <family val="2"/>
        <scheme val="minor"/>
      </rPr>
      <t xml:space="preserve"> - 0,00000011T</t>
    </r>
    <r>
      <rPr>
        <vertAlign val="superscript"/>
        <sz val="12"/>
        <color theme="1"/>
        <rFont val="Calibri"/>
        <family val="2"/>
        <scheme val="minor"/>
      </rPr>
      <t>3</t>
    </r>
  </si>
  <si>
    <t>Moon’s mean anomaly:</t>
  </si>
  <si>
    <r>
      <t>M' = 201,5643 + 385,81693528 k + 0,0107438 T</t>
    </r>
    <r>
      <rPr>
        <vertAlign val="superscript"/>
        <sz val="12"/>
        <color theme="1"/>
        <rFont val="Calibri"/>
        <family val="2"/>
        <scheme val="minor"/>
      </rPr>
      <t xml:space="preserve">2 </t>
    </r>
    <r>
      <rPr>
        <sz val="12"/>
        <color theme="1"/>
        <rFont val="Calibri"/>
        <family val="2"/>
        <scheme val="minor"/>
      </rPr>
      <t>+ 0,00001239 T</t>
    </r>
    <r>
      <rPr>
        <vertAlign val="superscript"/>
        <sz val="12"/>
        <color theme="1"/>
        <rFont val="Calibri"/>
        <family val="2"/>
        <scheme val="minor"/>
      </rPr>
      <t>3</t>
    </r>
    <r>
      <rPr>
        <sz val="12"/>
        <color theme="1"/>
        <rFont val="Calibri"/>
        <family val="2"/>
        <scheme val="minor"/>
      </rPr>
      <t xml:space="preserve"> - 0,000000058 T</t>
    </r>
    <r>
      <rPr>
        <vertAlign val="superscript"/>
        <sz val="12"/>
        <color theme="1"/>
        <rFont val="Calibri"/>
        <family val="2"/>
        <scheme val="minor"/>
      </rPr>
      <t>4</t>
    </r>
  </si>
  <si>
    <t>Moon's argument of latitude:</t>
  </si>
  <si>
    <r>
      <t>F = 160,7108 + 390,67050274 k - 0,0016341 T</t>
    </r>
    <r>
      <rPr>
        <vertAlign val="superscript"/>
        <sz val="12"/>
        <color theme="1"/>
        <rFont val="Calibri"/>
        <family val="2"/>
        <scheme val="minor"/>
      </rPr>
      <t>2</t>
    </r>
    <r>
      <rPr>
        <sz val="12"/>
        <color theme="1"/>
        <rFont val="Calibri"/>
        <family val="2"/>
        <scheme val="minor"/>
      </rPr>
      <t xml:space="preserve"> - 0,00000227 T</t>
    </r>
    <r>
      <rPr>
        <vertAlign val="superscript"/>
        <sz val="12"/>
        <color theme="1"/>
        <rFont val="Calibri"/>
        <family val="2"/>
        <scheme val="minor"/>
      </rPr>
      <t>3</t>
    </r>
    <r>
      <rPr>
        <sz val="12"/>
        <color theme="1"/>
        <rFont val="Calibri"/>
        <family val="2"/>
        <scheme val="minor"/>
      </rPr>
      <t xml:space="preserve"> + 0,000000011 T</t>
    </r>
    <r>
      <rPr>
        <vertAlign val="superscript"/>
        <sz val="12"/>
        <color theme="1"/>
        <rFont val="Calibri"/>
        <family val="2"/>
        <scheme val="minor"/>
      </rPr>
      <t>4</t>
    </r>
  </si>
  <si>
    <t>Longitude of the ascending node of the lunar orbit:</t>
  </si>
  <si>
    <r>
      <t>Ω = 124,7746 - 1,56375580 k + 0,0020691 T</t>
    </r>
    <r>
      <rPr>
        <vertAlign val="superscript"/>
        <sz val="12"/>
        <color theme="1"/>
        <rFont val="Calibri"/>
        <family val="2"/>
        <scheme val="minor"/>
      </rPr>
      <t>2</t>
    </r>
    <r>
      <rPr>
        <sz val="12"/>
        <color theme="1"/>
        <rFont val="Calibri"/>
        <family val="2"/>
        <scheme val="minor"/>
      </rPr>
      <t xml:space="preserve"> + 0,00000215 T</t>
    </r>
    <r>
      <rPr>
        <vertAlign val="superscript"/>
        <sz val="12"/>
        <color theme="1"/>
        <rFont val="Calibri"/>
        <family val="2"/>
        <scheme val="minor"/>
      </rPr>
      <t>3</t>
    </r>
  </si>
  <si>
    <t>Planetary arguments:</t>
  </si>
  <si>
    <r>
      <t>A</t>
    </r>
    <r>
      <rPr>
        <vertAlign val="subscript"/>
        <sz val="12"/>
        <color theme="1"/>
        <rFont val="Calibri"/>
        <family val="2"/>
        <scheme val="minor"/>
      </rPr>
      <t>1</t>
    </r>
    <r>
      <rPr>
        <sz val="12"/>
        <color theme="1"/>
        <rFont val="Calibri"/>
        <family val="2"/>
        <scheme val="minor"/>
      </rPr>
      <t xml:space="preserve"> = 299,77 + 0,107408 k – 0,009173 T</t>
    </r>
    <r>
      <rPr>
        <vertAlign val="superscript"/>
        <sz val="12"/>
        <color theme="1"/>
        <rFont val="Calibri"/>
        <family val="2"/>
        <scheme val="minor"/>
      </rPr>
      <t>2</t>
    </r>
  </si>
  <si>
    <r>
      <t>A</t>
    </r>
    <r>
      <rPr>
        <vertAlign val="subscript"/>
        <sz val="12"/>
        <color theme="1"/>
        <rFont val="Calibri"/>
        <family val="2"/>
        <scheme val="minor"/>
      </rPr>
      <t>2</t>
    </r>
    <r>
      <rPr>
        <sz val="12"/>
        <color theme="1"/>
        <rFont val="Calibri"/>
        <family val="2"/>
        <scheme val="minor"/>
      </rPr>
      <t xml:space="preserve"> = 251,88 + 0,016321 k</t>
    </r>
  </si>
  <si>
    <r>
      <t>A</t>
    </r>
    <r>
      <rPr>
        <vertAlign val="subscript"/>
        <sz val="12"/>
        <color theme="1"/>
        <rFont val="Calibri"/>
        <family val="2"/>
        <scheme val="minor"/>
      </rPr>
      <t>3</t>
    </r>
    <r>
      <rPr>
        <sz val="12"/>
        <color theme="1"/>
        <rFont val="Calibri"/>
        <family val="2"/>
        <scheme val="minor"/>
      </rPr>
      <t xml:space="preserve"> = 251,83 + 26,651886 k</t>
    </r>
  </si>
  <si>
    <r>
      <t>A</t>
    </r>
    <r>
      <rPr>
        <vertAlign val="subscript"/>
        <sz val="12"/>
        <color theme="1"/>
        <rFont val="Calibri"/>
        <family val="2"/>
        <scheme val="minor"/>
      </rPr>
      <t>4</t>
    </r>
    <r>
      <rPr>
        <sz val="12"/>
        <color theme="1"/>
        <rFont val="Calibri"/>
        <family val="2"/>
        <scheme val="minor"/>
      </rPr>
      <t xml:space="preserve"> = 349,42 + 36,412478 k</t>
    </r>
  </si>
  <si>
    <r>
      <t>A</t>
    </r>
    <r>
      <rPr>
        <vertAlign val="subscript"/>
        <sz val="12"/>
        <color theme="1"/>
        <rFont val="Calibri"/>
        <family val="2"/>
        <scheme val="minor"/>
      </rPr>
      <t>5</t>
    </r>
    <r>
      <rPr>
        <sz val="12"/>
        <color theme="1"/>
        <rFont val="Calibri"/>
        <family val="2"/>
        <scheme val="minor"/>
      </rPr>
      <t xml:space="preserve"> =   84,66 + 18,206239 k</t>
    </r>
  </si>
  <si>
    <r>
      <t>A</t>
    </r>
    <r>
      <rPr>
        <vertAlign val="subscript"/>
        <sz val="12"/>
        <color theme="1"/>
        <rFont val="Calibri"/>
        <family val="2"/>
        <scheme val="minor"/>
      </rPr>
      <t>6</t>
    </r>
    <r>
      <rPr>
        <sz val="12"/>
        <color theme="1"/>
        <rFont val="Calibri"/>
        <family val="2"/>
        <scheme val="minor"/>
      </rPr>
      <t xml:space="preserve"> = 141,74 + 53,303771 k</t>
    </r>
  </si>
  <si>
    <r>
      <t>A</t>
    </r>
    <r>
      <rPr>
        <vertAlign val="subscript"/>
        <sz val="12"/>
        <color theme="1"/>
        <rFont val="Calibri"/>
        <family val="2"/>
        <scheme val="minor"/>
      </rPr>
      <t>7</t>
    </r>
    <r>
      <rPr>
        <sz val="12"/>
        <color theme="1"/>
        <rFont val="Calibri"/>
        <family val="2"/>
        <scheme val="minor"/>
      </rPr>
      <t xml:space="preserve"> = 207,14 + 2,453732 k</t>
    </r>
  </si>
  <si>
    <r>
      <t>A</t>
    </r>
    <r>
      <rPr>
        <vertAlign val="subscript"/>
        <sz val="12"/>
        <color theme="1"/>
        <rFont val="Calibri"/>
        <family val="2"/>
        <scheme val="minor"/>
      </rPr>
      <t>8</t>
    </r>
    <r>
      <rPr>
        <sz val="12"/>
        <color theme="1"/>
        <rFont val="Calibri"/>
        <family val="2"/>
        <scheme val="minor"/>
      </rPr>
      <t xml:space="preserve"> = 154,84 + 7,306860 k</t>
    </r>
  </si>
  <si>
    <r>
      <t>A</t>
    </r>
    <r>
      <rPr>
        <vertAlign val="subscript"/>
        <sz val="12"/>
        <color theme="1"/>
        <rFont val="Calibri"/>
        <family val="2"/>
        <scheme val="minor"/>
      </rPr>
      <t>9</t>
    </r>
    <r>
      <rPr>
        <sz val="12"/>
        <color theme="1"/>
        <rFont val="Calibri"/>
        <family val="2"/>
        <scheme val="minor"/>
      </rPr>
      <t xml:space="preserve"> =   34,52 + 27,261239 k</t>
    </r>
  </si>
  <si>
    <r>
      <t>A</t>
    </r>
    <r>
      <rPr>
        <vertAlign val="subscript"/>
        <sz val="12"/>
        <color theme="1"/>
        <rFont val="Calibri"/>
        <family val="2"/>
        <scheme val="minor"/>
      </rPr>
      <t>10</t>
    </r>
    <r>
      <rPr>
        <sz val="12"/>
        <color theme="1"/>
        <rFont val="Calibri"/>
        <family val="2"/>
        <scheme val="minor"/>
      </rPr>
      <t xml:space="preserve"> = 207,19 + 0,121824 k</t>
    </r>
  </si>
  <si>
    <r>
      <t>A</t>
    </r>
    <r>
      <rPr>
        <vertAlign val="subscript"/>
        <sz val="12"/>
        <color theme="1"/>
        <rFont val="Calibri"/>
        <family val="2"/>
        <scheme val="minor"/>
      </rPr>
      <t>11</t>
    </r>
    <r>
      <rPr>
        <sz val="12"/>
        <color theme="1"/>
        <rFont val="Calibri"/>
        <family val="2"/>
        <scheme val="minor"/>
      </rPr>
      <t xml:space="preserve"> = 291,34 + 1,844379 k</t>
    </r>
  </si>
  <si>
    <r>
      <t>A</t>
    </r>
    <r>
      <rPr>
        <vertAlign val="subscript"/>
        <sz val="12"/>
        <color theme="1"/>
        <rFont val="Calibri"/>
        <family val="2"/>
        <scheme val="minor"/>
      </rPr>
      <t>12</t>
    </r>
    <r>
      <rPr>
        <sz val="12"/>
        <color theme="1"/>
        <rFont val="Calibri"/>
        <family val="2"/>
        <scheme val="minor"/>
      </rPr>
      <t xml:space="preserve"> = 161,72 + 24,198154 k</t>
    </r>
  </si>
  <si>
    <r>
      <t>A</t>
    </r>
    <r>
      <rPr>
        <vertAlign val="subscript"/>
        <sz val="12"/>
        <color theme="1"/>
        <rFont val="Calibri"/>
        <family val="2"/>
        <scheme val="minor"/>
      </rPr>
      <t>13</t>
    </r>
    <r>
      <rPr>
        <sz val="12"/>
        <color theme="1"/>
        <rFont val="Calibri"/>
        <family val="2"/>
        <scheme val="minor"/>
      </rPr>
      <t xml:space="preserve"> = 239,56 + 25,513099 k</t>
    </r>
  </si>
  <si>
    <r>
      <t>A</t>
    </r>
    <r>
      <rPr>
        <vertAlign val="subscript"/>
        <sz val="12"/>
        <color theme="1"/>
        <rFont val="Calibri"/>
        <family val="2"/>
        <scheme val="minor"/>
      </rPr>
      <t>14</t>
    </r>
    <r>
      <rPr>
        <sz val="12"/>
        <color theme="1"/>
        <rFont val="Calibri"/>
        <family val="2"/>
        <scheme val="minor"/>
      </rPr>
      <t xml:space="preserve"> = 331,55 + 3,592518 k</t>
    </r>
  </si>
  <si>
    <t>To obtain the time of the true (apparent) phase, add the following corrections in (days) to the JDE obtained above.</t>
  </si>
  <si>
    <t>New Moon</t>
  </si>
  <si>
    <t>Full Moon</t>
  </si>
  <si>
    <t>x sin</t>
  </si>
  <si>
    <t>M’</t>
  </si>
  <si>
    <t>+0.17241 x E</t>
  </si>
  <si>
    <t>+0.17302 x E</t>
  </si>
  <si>
    <t>M</t>
  </si>
  <si>
    <t>2 M’</t>
  </si>
  <si>
    <t>2F</t>
  </si>
  <si>
    <t>+0.00739 x E</t>
  </si>
  <si>
    <t>+0.00734 x E</t>
  </si>
  <si>
    <t>M’ - M</t>
  </si>
  <si>
    <t>-0.00514 x E</t>
  </si>
  <si>
    <t>-0.00515 x E</t>
  </si>
  <si>
    <t>M’ +M</t>
  </si>
  <si>
    <r>
      <t>+0.00208 x E</t>
    </r>
    <r>
      <rPr>
        <vertAlign val="superscript"/>
        <sz val="12"/>
        <color theme="1"/>
        <rFont val="Calibri"/>
        <family val="2"/>
        <scheme val="minor"/>
      </rPr>
      <t>2</t>
    </r>
  </si>
  <si>
    <r>
      <t>+0.00209 x E</t>
    </r>
    <r>
      <rPr>
        <vertAlign val="superscript"/>
        <sz val="12"/>
        <color theme="1"/>
        <rFont val="Calibri"/>
        <family val="2"/>
        <scheme val="minor"/>
      </rPr>
      <t>2</t>
    </r>
  </si>
  <si>
    <t>2M</t>
  </si>
  <si>
    <t>M’ – 2F</t>
  </si>
  <si>
    <t>M’ + 2F</t>
  </si>
  <si>
    <t>+0.00056 x E</t>
  </si>
  <si>
    <t>2M’ +M</t>
  </si>
  <si>
    <t>3M’</t>
  </si>
  <si>
    <t>+0.00042 x E</t>
  </si>
  <si>
    <t>M + 2F</t>
  </si>
  <si>
    <t>+0.00038 x E</t>
  </si>
  <si>
    <t>M – 2F</t>
  </si>
  <si>
    <t>-0.00024 x E</t>
  </si>
  <si>
    <t>2M’ – M</t>
  </si>
  <si>
    <t>Ω</t>
  </si>
  <si>
    <t>M’ + 2M</t>
  </si>
  <si>
    <t>2M’ – 2F</t>
  </si>
  <si>
    <t>3M</t>
  </si>
  <si>
    <t>M’ + M – 2F</t>
  </si>
  <si>
    <t>2M’ + 2 F</t>
  </si>
  <si>
    <t>M’ + M + 2F</t>
  </si>
  <si>
    <t>M’ – m + 2F</t>
  </si>
  <si>
    <t>M’ – M – 2F</t>
  </si>
  <si>
    <t>3M’ + M</t>
  </si>
  <si>
    <t>4M’</t>
  </si>
  <si>
    <t>M'</t>
  </si>
  <si>
    <t>+0.17172 x E</t>
  </si>
  <si>
    <t>-0.01183 x E</t>
  </si>
  <si>
    <t>M' + M</t>
  </si>
  <si>
    <t>2 M'</t>
  </si>
  <si>
    <t>+0.00454 x E</t>
  </si>
  <si>
    <t xml:space="preserve">M' - M </t>
  </si>
  <si>
    <r>
      <t>+0.00204 x E</t>
    </r>
    <r>
      <rPr>
        <vertAlign val="superscript"/>
        <sz val="12"/>
        <color theme="1"/>
        <rFont val="Calibri"/>
        <family val="2"/>
        <scheme val="minor"/>
      </rPr>
      <t>2</t>
    </r>
  </si>
  <si>
    <t xml:space="preserve">M' - 2F </t>
  </si>
  <si>
    <t>M' + 2F</t>
  </si>
  <si>
    <t>-0.00034 x E</t>
  </si>
  <si>
    <t>2M' – M</t>
  </si>
  <si>
    <t>+0.00032 x E</t>
  </si>
  <si>
    <t xml:space="preserve">M - 2F </t>
  </si>
  <si>
    <r>
      <t>-0.00028 x E</t>
    </r>
    <r>
      <rPr>
        <vertAlign val="superscript"/>
        <sz val="12"/>
        <color theme="1"/>
        <rFont val="Calibri"/>
        <family val="2"/>
        <scheme val="minor"/>
      </rPr>
      <t>2</t>
    </r>
  </si>
  <si>
    <t>M' + 2M</t>
  </si>
  <si>
    <t>+0.00027 x E</t>
  </si>
  <si>
    <t>2M' + M</t>
  </si>
  <si>
    <t>M' - M - 2F</t>
  </si>
  <si>
    <t>2M' + 2F</t>
  </si>
  <si>
    <t>M' + M + 2F</t>
  </si>
  <si>
    <t>M' - 2M</t>
  </si>
  <si>
    <t>M' + M - 2F</t>
  </si>
  <si>
    <t>2M' - 2F</t>
  </si>
  <si>
    <t>M'- M +2F</t>
  </si>
  <si>
    <t>3M' + M</t>
  </si>
  <si>
    <t>Calculate, for the Quarter phases only,</t>
  </si>
  <si>
    <t>Additional corrections:</t>
  </si>
  <si>
    <t>for First Quarter :  + w</t>
  </si>
  <si>
    <t>for Last Quarter :  - w</t>
  </si>
  <si>
    <t>Additional corrections for all phases :</t>
  </si>
  <si>
    <t xml:space="preserve">+0,000325 </t>
  </si>
  <si>
    <r>
      <t>A</t>
    </r>
    <r>
      <rPr>
        <vertAlign val="subscript"/>
        <sz val="12"/>
        <color theme="1"/>
        <rFont val="Calibri"/>
        <family val="2"/>
        <scheme val="minor"/>
      </rPr>
      <t>1</t>
    </r>
  </si>
  <si>
    <t>+0,000056</t>
  </si>
  <si>
    <r>
      <t>A</t>
    </r>
    <r>
      <rPr>
        <vertAlign val="subscript"/>
        <sz val="12"/>
        <color theme="1"/>
        <rFont val="Calibri"/>
        <family val="2"/>
        <scheme val="minor"/>
      </rPr>
      <t>8</t>
    </r>
  </si>
  <si>
    <t>+0,000165</t>
  </si>
  <si>
    <r>
      <t>A</t>
    </r>
    <r>
      <rPr>
        <vertAlign val="subscript"/>
        <sz val="12"/>
        <color theme="1"/>
        <rFont val="Calibri"/>
        <family val="2"/>
        <scheme val="minor"/>
      </rPr>
      <t>2</t>
    </r>
  </si>
  <si>
    <t>+0,000047</t>
  </si>
  <si>
    <r>
      <t>A</t>
    </r>
    <r>
      <rPr>
        <vertAlign val="subscript"/>
        <sz val="12"/>
        <color theme="1"/>
        <rFont val="Calibri"/>
        <family val="2"/>
        <scheme val="minor"/>
      </rPr>
      <t>9</t>
    </r>
  </si>
  <si>
    <t>+0,000164</t>
  </si>
  <si>
    <r>
      <t>A</t>
    </r>
    <r>
      <rPr>
        <vertAlign val="subscript"/>
        <sz val="12"/>
        <color theme="1"/>
        <rFont val="Calibri"/>
        <family val="2"/>
        <scheme val="minor"/>
      </rPr>
      <t>3</t>
    </r>
  </si>
  <si>
    <t>+0,000042</t>
  </si>
  <si>
    <r>
      <t>A</t>
    </r>
    <r>
      <rPr>
        <vertAlign val="subscript"/>
        <sz val="12"/>
        <color theme="1"/>
        <rFont val="Calibri"/>
        <family val="2"/>
        <scheme val="minor"/>
      </rPr>
      <t>10</t>
    </r>
  </si>
  <si>
    <t>+0,000126</t>
  </si>
  <si>
    <r>
      <t>A</t>
    </r>
    <r>
      <rPr>
        <vertAlign val="subscript"/>
        <sz val="12"/>
        <color theme="1"/>
        <rFont val="Calibri"/>
        <family val="2"/>
        <scheme val="minor"/>
      </rPr>
      <t>4</t>
    </r>
  </si>
  <si>
    <t>+0,000040</t>
  </si>
  <si>
    <r>
      <t>A</t>
    </r>
    <r>
      <rPr>
        <vertAlign val="subscript"/>
        <sz val="12"/>
        <color theme="1"/>
        <rFont val="Calibri"/>
        <family val="2"/>
        <scheme val="minor"/>
      </rPr>
      <t>11</t>
    </r>
  </si>
  <si>
    <t>+0,000110</t>
  </si>
  <si>
    <r>
      <t>A</t>
    </r>
    <r>
      <rPr>
        <vertAlign val="subscript"/>
        <sz val="12"/>
        <color theme="1"/>
        <rFont val="Calibri"/>
        <family val="2"/>
        <scheme val="minor"/>
      </rPr>
      <t>5</t>
    </r>
  </si>
  <si>
    <t>+0,000037</t>
  </si>
  <si>
    <r>
      <t>A</t>
    </r>
    <r>
      <rPr>
        <vertAlign val="subscript"/>
        <sz val="12"/>
        <color theme="1"/>
        <rFont val="Calibri"/>
        <family val="2"/>
        <scheme val="minor"/>
      </rPr>
      <t>12</t>
    </r>
  </si>
  <si>
    <t>+0,000062</t>
  </si>
  <si>
    <r>
      <t>A</t>
    </r>
    <r>
      <rPr>
        <vertAlign val="subscript"/>
        <sz val="12"/>
        <color theme="1"/>
        <rFont val="Calibri"/>
        <family val="2"/>
        <scheme val="minor"/>
      </rPr>
      <t>6</t>
    </r>
  </si>
  <si>
    <t>+0,000035</t>
  </si>
  <si>
    <r>
      <t>A</t>
    </r>
    <r>
      <rPr>
        <vertAlign val="subscript"/>
        <sz val="12"/>
        <color theme="1"/>
        <rFont val="Calibri"/>
        <family val="2"/>
        <scheme val="minor"/>
      </rPr>
      <t>13</t>
    </r>
  </si>
  <si>
    <t>+0,000060</t>
  </si>
  <si>
    <r>
      <t>A</t>
    </r>
    <r>
      <rPr>
        <vertAlign val="subscript"/>
        <sz val="12"/>
        <color theme="1"/>
        <rFont val="Calibri"/>
        <family val="2"/>
        <scheme val="minor"/>
      </rPr>
      <t>7</t>
    </r>
  </si>
  <si>
    <t>+0,000023</t>
  </si>
  <si>
    <r>
      <t>A</t>
    </r>
    <r>
      <rPr>
        <vertAlign val="subscript"/>
        <sz val="12"/>
        <color theme="1"/>
        <rFont val="Calibri"/>
        <family val="2"/>
        <scheme val="minor"/>
      </rPr>
      <t>14</t>
    </r>
  </si>
  <si>
    <t>k=</t>
  </si>
  <si>
    <t>T = k / 1236.85</t>
  </si>
  <si>
    <t xml:space="preserve">and hence is negative before the epoch 2000.0 </t>
  </si>
  <si>
    <t>JD=</t>
  </si>
  <si>
    <t>W=</t>
  </si>
  <si>
    <t xml:space="preserve">M"-M </t>
  </si>
  <si>
    <t>M"+M</t>
  </si>
  <si>
    <t xml:space="preserve"> </t>
  </si>
  <si>
    <t xml:space="preserve">JDE =   2451550,09765 + 0,000 1337 T2- 0.000000150 T3+  0,00000000073 T4 </t>
  </si>
  <si>
    <t>mod angle</t>
  </si>
  <si>
    <t>sin angle</t>
  </si>
  <si>
    <t>M=</t>
  </si>
  <si>
    <t>M"=</t>
  </si>
  <si>
    <t>F=</t>
  </si>
  <si>
    <t>OMEGA=</t>
  </si>
  <si>
    <t>First and Last Quarters Corrections</t>
  </si>
  <si>
    <t xml:space="preserve">K = (year - 2000) x 12.3685   </t>
  </si>
  <si>
    <t>W =  0.00306 - 0.00038 E cos M + 0.00026 cos M'- 0.00002 cos (M' - M) + 0.00002 cos (M' + M) + 0.00002 cos 2F</t>
  </si>
  <si>
    <t>E=</t>
  </si>
  <si>
    <t>JD modified</t>
  </si>
  <si>
    <t>corrections for all phases :</t>
  </si>
  <si>
    <t xml:space="preserve">constant </t>
  </si>
  <si>
    <t>Calculate the time of the NEW MOON JULY of A.D. 2012</t>
  </si>
  <si>
    <t>month=</t>
  </si>
  <si>
    <t>year=</t>
  </si>
  <si>
    <t>mod year</t>
  </si>
  <si>
    <t>Moon mean longitude L'=</t>
  </si>
  <si>
    <t>T=</t>
  </si>
  <si>
    <t>JDE=</t>
  </si>
  <si>
    <t>D=</t>
  </si>
  <si>
    <t>M'=</t>
  </si>
  <si>
    <t>A1=</t>
  </si>
  <si>
    <t>A2=</t>
  </si>
  <si>
    <t>A3=</t>
  </si>
  <si>
    <t>D</t>
  </si>
  <si>
    <t>F</t>
  </si>
  <si>
    <t>additives to l</t>
  </si>
  <si>
    <t>AL=</t>
  </si>
  <si>
    <t>ADDITIVES TO b</t>
  </si>
  <si>
    <t>Ab=</t>
  </si>
  <si>
    <t>Mod M'</t>
  </si>
  <si>
    <t>Mod M</t>
  </si>
  <si>
    <t>Coeff l</t>
  </si>
  <si>
    <t>Coeff r</t>
  </si>
  <si>
    <t>SUM L=</t>
  </si>
  <si>
    <t>SUM r</t>
  </si>
  <si>
    <t>Coeff b</t>
  </si>
  <si>
    <t>Sum B=</t>
  </si>
  <si>
    <t>Landa=</t>
  </si>
  <si>
    <t>beta=</t>
  </si>
  <si>
    <t>Delta=</t>
  </si>
  <si>
    <t>Paralex</t>
  </si>
  <si>
    <t>onverting Gregorian calendar date to Julian Day Number</t>
  </si>
  <si>
    <t>The algorithm is valid for all Gregorian calendar dates starting on March 1, 4801 BC (astronomical year -4800) at noon UT.[14]</t>
  </si>
  <si>
    <t>You must compute first:</t>
  </si>
  <si>
    <t>month</t>
  </si>
  <si>
    <t>then compute:</t>
  </si>
  <si>
    <t>year</t>
  </si>
  <si>
    <t>a=</t>
  </si>
  <si>
    <t>y=</t>
  </si>
  <si>
    <t>m=</t>
  </si>
  <si>
    <t>day</t>
  </si>
  <si>
    <t>Hour=</t>
  </si>
  <si>
    <t>Minute=</t>
  </si>
  <si>
    <t>seconds=</t>
  </si>
  <si>
    <t>153m+2/5</t>
  </si>
  <si>
    <t>365y</t>
  </si>
  <si>
    <t>y/4</t>
  </si>
  <si>
    <t>y/100</t>
  </si>
  <si>
    <t>y/400</t>
  </si>
  <si>
    <t>Const.</t>
  </si>
  <si>
    <t>Hour</t>
  </si>
  <si>
    <t>Minute</t>
  </si>
  <si>
    <t>second</t>
  </si>
  <si>
    <t>JDN=</t>
  </si>
  <si>
    <t>lunar month duration</t>
  </si>
  <si>
    <t>29.53059 days</t>
  </si>
  <si>
    <t>ntroduction:</t>
  </si>
  <si>
    <t>The Julian date (JD) is a continuous count of days from 1 January 4713 BC (= -4712 January 1), Greenwich mean noon (= 12h UT). For example, AD 1978 January 1, 0h UT is JD 2443509.5 and AD 1978 July 21, 15h UT, is JD 2443711.125.</t>
  </si>
  <si>
    <t>Formula for Conversion:</t>
  </si>
  <si>
    <t>Conversion of Gregorian calendar date to Julian date for years AD 1801–2099 can be carried out with the following formula:</t>
  </si>
  <si>
    <t>JD =</t>
  </si>
  <si>
    <t>367K - &lt;(7(K+&lt;(M+9)/12&gt;))/4&gt; + &lt;(275M)/9&gt; + I + 1721013.5 + UT/24 </t>
  </si>
  <si>
    <t>- 0.5sign(100K+M-190002.5) + 0.5</t>
  </si>
  <si>
    <t>where K is the year (1801 &lt;= K &lt;= 2099), M is the month (1 &lt;= M &lt;= 12), I is the day of the month (1 &lt;= I &lt;= 31), and UT is the universal time in hours ("&lt;=" means "less than or equal to"). The last two terms in the formula add up to zero for all dates after 1900 February 28, so these two terms can be omitted for subsequent dates. This formula makes use of the sign and truncation functions described below:</t>
  </si>
  <si>
    <r>
      <t>The </t>
    </r>
    <r>
      <rPr>
        <b/>
        <sz val="8"/>
        <color rgb="FF000000"/>
        <rFont val="Arial"/>
        <family val="2"/>
      </rPr>
      <t>sign</t>
    </r>
    <r>
      <rPr>
        <sz val="8"/>
        <color rgb="FF000000"/>
        <rFont val="Arial"/>
        <family val="2"/>
      </rPr>
      <t> function serves to extract the algebraic sign from a number.</t>
    </r>
  </si>
  <si>
    <t>Examples: sign(247) = 1; sign(-6.28) = -1.</t>
  </si>
  <si>
    <r>
      <t>The </t>
    </r>
    <r>
      <rPr>
        <b/>
        <sz val="8"/>
        <color rgb="FF000000"/>
        <rFont val="Arial"/>
        <family val="2"/>
      </rPr>
      <t>truncation</t>
    </r>
    <r>
      <rPr>
        <sz val="8"/>
        <color rgb="FF000000"/>
        <rFont val="Arial"/>
        <family val="2"/>
      </rPr>
      <t> function &lt; &gt; extracts the integral part of a number.</t>
    </r>
  </si>
  <si>
    <t>Examples: &lt;17.835&gt; = 17; &lt;-3.14&gt; = -3.</t>
  </si>
  <si>
    <t>The formula given above was taken from the 1990 edition of the U.S. Naval Observatory's Almanac for Computers (discontinued).</t>
  </si>
  <si>
    <r>
      <t>Example:</t>
    </r>
    <r>
      <rPr>
        <sz val="8"/>
        <color rgb="FF000000"/>
        <rFont val="Arial"/>
        <family val="2"/>
      </rPr>
      <t> Compute the JD corresponding to 1877 August 11, 7h30m UT.</t>
    </r>
  </si>
  <si>
    <t>Substituting K = 1877, M = 8, I = 11 and UT = 7.5,</t>
  </si>
  <si>
    <t>JD = 688859 - 3286 + 244 + 11 + 1721013.5 + 0.3125 + 0.5 + 0.5</t>
  </si>
  <si>
    <t>See our Julian date converter.</t>
  </si>
  <si>
    <t>j = j - 1721119 ;</t>
  </si>
  <si>
    <t xml:space="preserve">        y = (4 * j - 1) / 146097 ; j = 4 * j - 1 - 146097 * y ; d = j / 4 ;</t>
  </si>
  <si>
    <t xml:space="preserve">        j = (4 * d + 3) / 1461 ; d = 4 * d + 3 - 1461 * j ; d = (d + 4) / 4 ;</t>
  </si>
  <si>
    <t xml:space="preserve">        m = (5 * d - 3) / 153 ; d = 5 * d - 3 - 153 * m ; d = (d + 5) / 5 ;</t>
  </si>
  <si>
    <t xml:space="preserve">        y = 100 * y + j ;</t>
  </si>
  <si>
    <t xml:space="preserve">        if m &lt; 10 then</t>
  </si>
  <si>
    <t xml:space="preserve">            m = m + 3</t>
  </si>
  <si>
    <t xml:space="preserve">        else</t>
  </si>
  <si>
    <t xml:space="preserve">            m = m - 9 ; y = y + 1</t>
  </si>
  <si>
    <t xml:space="preserve">        end if</t>
  </si>
  <si>
    <t xml:space="preserve">        </t>
  </si>
  <si>
    <t>Variables (all variables and results are integers):</t>
  </si>
  <si>
    <t xml:space="preserve">        y = year (eg. 1999);  m = month;  d = day;  j = Julian Day Number       </t>
  </si>
  <si>
    <t>E^2</t>
  </si>
  <si>
    <t>Ebal=</t>
  </si>
  <si>
    <t>Mod M/M'</t>
  </si>
  <si>
    <t>omega</t>
  </si>
  <si>
    <t>L=</t>
  </si>
  <si>
    <t>L'=</t>
  </si>
  <si>
    <t>PSI=</t>
  </si>
  <si>
    <t>EPSILON'=</t>
  </si>
  <si>
    <t>EPSILON o=</t>
  </si>
  <si>
    <r>
      <t> = 23.4392911 - 0.01300416667 T - 0.00000016389 T</t>
    </r>
    <r>
      <rPr>
        <b/>
        <vertAlign val="superscript"/>
        <sz val="10"/>
        <color rgb="FF0000FF"/>
        <rFont val="Courier New"/>
        <family val="3"/>
      </rPr>
      <t>2</t>
    </r>
    <r>
      <rPr>
        <b/>
        <sz val="10"/>
        <color rgb="FF0000FF"/>
        <rFont val="Courier New"/>
        <family val="3"/>
      </rPr>
      <t> + 0.00000050361 T</t>
    </r>
    <r>
      <rPr>
        <b/>
        <vertAlign val="superscript"/>
        <sz val="10"/>
        <color rgb="FF0000FF"/>
        <rFont val="Courier New"/>
        <family val="3"/>
      </rPr>
      <t>3</t>
    </r>
    <r>
      <rPr>
        <b/>
        <sz val="10"/>
        <color rgb="FF0000FF"/>
        <rFont val="Courier New"/>
        <family val="3"/>
      </rPr>
      <t> + 0.00255625 cos </t>
    </r>
  </si>
  <si>
    <t>alpha=</t>
  </si>
  <si>
    <t>x=</t>
  </si>
  <si>
    <t>decl=</t>
  </si>
  <si>
    <t>HA</t>
  </si>
  <si>
    <t>y = -sin (0°34' + SD) - sin </t>
  </si>
  <si>
    <t>SIN</t>
  </si>
  <si>
    <t>x = cos      sin</t>
  </si>
  <si>
    <t>Y=</t>
  </si>
  <si>
    <t>X=</t>
  </si>
  <si>
    <t>GST=</t>
  </si>
  <si>
    <t>y</t>
  </si>
  <si>
    <t>m</t>
  </si>
  <si>
    <t>d</t>
  </si>
  <si>
    <t>Long.</t>
  </si>
  <si>
    <t>Lat.</t>
  </si>
  <si>
    <t>H</t>
  </si>
  <si>
    <t>S</t>
  </si>
  <si>
    <t>A=</t>
  </si>
  <si>
    <t>B=</t>
  </si>
  <si>
    <t>at Uto</t>
  </si>
  <si>
    <t>at any instant</t>
  </si>
  <si>
    <t>Theta o=</t>
  </si>
  <si>
    <t>DELTA 3 =</t>
  </si>
  <si>
    <t>ALPHA 3=</t>
  </si>
  <si>
    <t>DELTA2=</t>
  </si>
  <si>
    <t>ALPHA2=</t>
  </si>
  <si>
    <t>DELTA1=</t>
  </si>
  <si>
    <t>ALPHA1=</t>
  </si>
  <si>
    <t>Ho=</t>
  </si>
  <si>
    <t>mo=</t>
  </si>
  <si>
    <t>m1=</t>
  </si>
  <si>
    <t>m2=</t>
  </si>
  <si>
    <t>theta=</t>
  </si>
  <si>
    <t>theta</t>
  </si>
  <si>
    <t>n</t>
  </si>
  <si>
    <t>alpha</t>
  </si>
  <si>
    <t>delta</t>
  </si>
  <si>
    <t>h</t>
  </si>
  <si>
    <t>delta m</t>
  </si>
  <si>
    <t>rising</t>
  </si>
  <si>
    <t>transit</t>
  </si>
  <si>
    <t>setting</t>
  </si>
  <si>
    <t>transite</t>
  </si>
  <si>
    <t>c=</t>
  </si>
  <si>
    <t>b=</t>
  </si>
  <si>
    <t>m corrected</t>
  </si>
  <si>
    <t>Theta local=</t>
  </si>
  <si>
    <t>zone time</t>
  </si>
  <si>
    <t>First Quarter</t>
  </si>
  <si>
    <t>CORRECTION</t>
  </si>
  <si>
    <t>Moon First quarter</t>
  </si>
  <si>
    <t>Moon Full</t>
  </si>
  <si>
    <t>Moon Last quarter</t>
  </si>
  <si>
    <t>Year</t>
  </si>
  <si>
    <t>Month</t>
  </si>
  <si>
    <t>Moon Rise =</t>
  </si>
  <si>
    <t>Moon Set =</t>
  </si>
  <si>
    <t>Moon Merridian =</t>
  </si>
  <si>
    <t>JDE</t>
  </si>
  <si>
    <t>F1=</t>
  </si>
  <si>
    <t>P=</t>
  </si>
  <si>
    <t>Omega=</t>
  </si>
  <si>
    <t>U=</t>
  </si>
  <si>
    <t>Ro=</t>
  </si>
  <si>
    <t>Segma=</t>
  </si>
  <si>
    <t>penumb=</t>
  </si>
  <si>
    <t>umbra=</t>
  </si>
  <si>
    <t>p=</t>
  </si>
  <si>
    <t>n=</t>
  </si>
  <si>
    <t>partial ph=</t>
  </si>
  <si>
    <t>total ph=</t>
  </si>
  <si>
    <t>H=</t>
  </si>
  <si>
    <t>PRIGEE</t>
  </si>
  <si>
    <t xml:space="preserve">Moon mean longitude </t>
  </si>
  <si>
    <t>Apogee</t>
  </si>
  <si>
    <t>PARALLEX</t>
  </si>
  <si>
    <t>delta=</t>
  </si>
  <si>
    <t>ho=</t>
  </si>
  <si>
    <t>Dis</t>
  </si>
  <si>
    <t>JD+0.5</t>
  </si>
  <si>
    <t>Z=</t>
  </si>
  <si>
    <t>ALPHA=</t>
  </si>
  <si>
    <t>C=</t>
  </si>
  <si>
    <t>DAY IF THE MONTH=</t>
  </si>
  <si>
    <t>THE MONTHY =</t>
  </si>
  <si>
    <t>THE YEAR=</t>
  </si>
  <si>
    <t>Hour =</t>
  </si>
  <si>
    <t>Day=</t>
  </si>
  <si>
    <t>Year=</t>
  </si>
  <si>
    <t>JD+1.5</t>
  </si>
  <si>
    <t>INT(365.25*(G5+4716))+INT(30.6001*(H5+1))+I5+G12-1524.5</t>
  </si>
  <si>
    <t>Apogei</t>
  </si>
  <si>
    <t>Prigee</t>
  </si>
  <si>
    <t>F.Q.Moon</t>
  </si>
  <si>
    <t>L.Q.Moon</t>
  </si>
  <si>
    <t>Dist=</t>
  </si>
  <si>
    <t>Delta T=</t>
  </si>
  <si>
    <t>Delat T=</t>
  </si>
  <si>
    <t>Q=</t>
  </si>
  <si>
    <t>preigee</t>
  </si>
  <si>
    <t>eb 15 13:51 362227 km</t>
  </si>
  <si>
    <t>Magnitude=</t>
  </si>
  <si>
    <t>Correcetd JDE</t>
  </si>
  <si>
    <t>Penb.</t>
  </si>
  <si>
    <t>Umb.</t>
  </si>
  <si>
    <t>Lunar Eclips</t>
  </si>
  <si>
    <t>JD-corrcetdted</t>
  </si>
  <si>
    <t>Umbra</t>
  </si>
  <si>
    <t>Penumbra</t>
  </si>
  <si>
    <t>Total ph=</t>
  </si>
  <si>
    <t>Partial ph=</t>
  </si>
  <si>
    <t>Fisrt Contact Penumb</t>
  </si>
  <si>
    <t>First Contact Umbr</t>
  </si>
  <si>
    <t>Beg Toatl Eclips</t>
  </si>
  <si>
    <t>End Total Phase</t>
  </si>
  <si>
    <t>Last Contact Umbra</t>
  </si>
  <si>
    <t>Last Contact Penumb</t>
  </si>
  <si>
    <t>Solar Eclips</t>
  </si>
  <si>
    <t>Checj annularity</t>
  </si>
  <si>
    <t>Check Solar Eclips</t>
  </si>
  <si>
    <t>Check Moon Eclips</t>
  </si>
  <si>
    <t>Total Penumbral</t>
  </si>
  <si>
    <t>Total Umbral</t>
  </si>
  <si>
    <t>Tota-Total</t>
  </si>
  <si>
    <r>
      <t xml:space="preserve">There are several different ways of expressing the </t>
    </r>
    <r>
      <rPr>
        <b/>
        <sz val="11"/>
        <color theme="1"/>
        <rFont val="Calibri"/>
        <family val="2"/>
        <scheme val="minor"/>
      </rPr>
      <t>lunar month</t>
    </r>
    <r>
      <rPr>
        <sz val="11"/>
        <color theme="1"/>
        <rFont val="Calibri"/>
        <family val="2"/>
        <scheme val="minor"/>
      </rPr>
      <t>.</t>
    </r>
  </si>
  <si>
    <r>
      <t xml:space="preserve">1. The </t>
    </r>
    <r>
      <rPr>
        <b/>
        <sz val="11"/>
        <color theme="1"/>
        <rFont val="Calibri"/>
        <family val="2"/>
        <scheme val="minor"/>
      </rPr>
      <t>draconic month</t>
    </r>
    <r>
      <rPr>
        <sz val="11"/>
        <color theme="1"/>
        <rFont val="Calibri"/>
        <family val="2"/>
        <scheme val="minor"/>
      </rPr>
      <t xml:space="preserve"> or nodal month is the period in which the Moon returns to the same node of its orbit; the nodes are the two points where the Moon's orbit crosses the plane of the Earth's orbit. Its duration is about 27.21222 days on average.</t>
    </r>
  </si>
  <si>
    <r>
      <t xml:space="preserve">2. The </t>
    </r>
    <r>
      <rPr>
        <b/>
        <sz val="11"/>
        <color theme="1"/>
        <rFont val="Calibri"/>
        <family val="2"/>
        <scheme val="minor"/>
      </rPr>
      <t>tropical month</t>
    </r>
    <r>
      <rPr>
        <sz val="11"/>
        <color theme="1"/>
        <rFont val="Calibri"/>
        <family val="2"/>
        <scheme val="minor"/>
      </rPr>
      <t xml:space="preserve"> is the time for the Moon to return to the same ecliptic longitude, </t>
    </r>
    <r>
      <rPr>
        <i/>
        <sz val="11"/>
        <color theme="1"/>
        <rFont val="Calibri"/>
        <family val="2"/>
        <scheme val="minor"/>
      </rPr>
      <t>i.e.</t>
    </r>
    <r>
      <rPr>
        <sz val="11"/>
        <color theme="1"/>
        <rFont val="Calibri"/>
        <family val="2"/>
        <scheme val="minor"/>
      </rPr>
      <t>, measured from the equinox; it is slightly shorter than the sidereal month, 27.32158, because of precession of the equinoxes.</t>
    </r>
  </si>
  <si>
    <r>
      <t xml:space="preserve">3. The Moon's orbital period in a non-rotating frame of reference (which on average is equal to its rotation period) is about 27.32166 days (27 days, 7 hours, 43 minutes, 11.6 seconds). This is known as a </t>
    </r>
    <r>
      <rPr>
        <b/>
        <sz val="11"/>
        <color theme="1"/>
        <rFont val="Calibri"/>
        <family val="2"/>
        <scheme val="minor"/>
      </rPr>
      <t>sidereal month</t>
    </r>
    <r>
      <rPr>
        <sz val="11"/>
        <color theme="1"/>
        <rFont val="Calibri"/>
        <family val="2"/>
        <scheme val="minor"/>
      </rPr>
      <t xml:space="preserve"> and is measured by observing how long it takes the Moon to pass a fixed star on the celestial sphere.</t>
    </r>
  </si>
  <si>
    <r>
      <t xml:space="preserve">4. An </t>
    </r>
    <r>
      <rPr>
        <b/>
        <sz val="11"/>
        <color theme="1"/>
        <rFont val="Calibri"/>
        <family val="2"/>
        <scheme val="minor"/>
      </rPr>
      <t>anomalistic month</t>
    </r>
    <r>
      <rPr>
        <sz val="11"/>
        <color theme="1"/>
        <rFont val="Calibri"/>
        <family val="2"/>
        <scheme val="minor"/>
      </rPr>
      <t xml:space="preserve"> is the Moon's orbital period measured from perigee to perigee - the point in the Moon's orbit when it is closest to Earth. An anomalistic month is about 27.55455 days on average.</t>
    </r>
  </si>
  <si>
    <r>
      <t xml:space="preserve">5. A </t>
    </r>
    <r>
      <rPr>
        <b/>
        <sz val="11"/>
        <color theme="1"/>
        <rFont val="Calibri"/>
        <family val="2"/>
        <scheme val="minor"/>
      </rPr>
      <t>synodic month</t>
    </r>
    <r>
      <rPr>
        <sz val="11"/>
        <color theme="1"/>
        <rFont val="Calibri"/>
        <family val="2"/>
        <scheme val="minor"/>
      </rPr>
      <t xml:space="preserve"> is 29.53059 days (29 days, 12 hours, 44 minutes, 2.8 seconds) and is measured from New Moon to New Moon. A New Moon is defined as occurring when the Moon has the same ecliptic longitude as the Sun, as seen from the center of the Earth: </t>
    </r>
    <r>
      <rPr>
        <i/>
        <sz val="11"/>
        <color theme="1"/>
        <rFont val="Calibri"/>
        <family val="2"/>
        <scheme val="minor"/>
      </rPr>
      <t>i.e.</t>
    </r>
    <r>
      <rPr>
        <sz val="11"/>
        <color theme="1"/>
        <rFont val="Calibri"/>
        <family val="2"/>
        <scheme val="minor"/>
      </rPr>
      <t>, when the Sun, Moon and Earth are almost on one line. A synodic month is longer than a sidereal month because the Earth-Moon system is orbiting the Sun in the same direction as the Moon is orbiting the Earth. Therefore, the Sun appears to move with respect to the stars, and it takes about 2.2 days longer for the Moon to return to the apparent position of the Sun. The synodic month is the most common way of expressing the lunar cycle.</t>
    </r>
  </si>
  <si>
    <t>day=</t>
  </si>
  <si>
    <t>K=</t>
  </si>
  <si>
    <t>DN</t>
  </si>
  <si>
    <t>Hijri-f=</t>
  </si>
  <si>
    <t>day nom.=</t>
  </si>
  <si>
    <t>year paased=</t>
  </si>
  <si>
    <t>Georg y=</t>
  </si>
  <si>
    <t>Hijri year=</t>
  </si>
  <si>
    <t>ratio=</t>
  </si>
  <si>
    <t>Year Hijri</t>
  </si>
  <si>
    <t>Hijri</t>
  </si>
  <si>
    <t>Month type</t>
  </si>
  <si>
    <t>Length in days</t>
  </si>
  <si>
    <t>anomalistic</t>
  </si>
  <si>
    <t>27.554549878 − 0.000000010390 × Y</t>
  </si>
  <si>
    <t>sidereal</t>
  </si>
  <si>
    <t>27.321661547 + 0.000000001857 × Y</t>
  </si>
  <si>
    <t>tropical</t>
  </si>
  <si>
    <t>27.321582241 + 0.000000001506 × Y</t>
  </si>
  <si>
    <t>draconic</t>
  </si>
  <si>
    <t>27.212220817 + 0.000000003833 × Y</t>
  </si>
  <si>
    <t>synodic</t>
  </si>
  <si>
    <t>29.530588853 + 0.000000002162 × Y</t>
  </si>
  <si>
    <t>Miladi Year</t>
  </si>
  <si>
    <t>Hijri Year</t>
  </si>
  <si>
    <t>HIJRI</t>
  </si>
  <si>
    <t>ןهناك مشكلة بين تاريخ</t>
  </si>
  <si>
    <t>14/10/1582</t>
  </si>
  <si>
    <t xml:space="preserve">15/10/1582 </t>
  </si>
  <si>
    <t>في تقويم ام القرى</t>
  </si>
  <si>
    <t>ميلادي</t>
  </si>
  <si>
    <t>هجري</t>
  </si>
  <si>
    <t>هناك مشكلة بين تاريخ</t>
  </si>
  <si>
    <t>17/9/990</t>
  </si>
  <si>
    <t>16/9/990</t>
  </si>
  <si>
    <t>DY</t>
  </si>
  <si>
    <t>jde (north)</t>
  </si>
  <si>
    <t>d(north)</t>
  </si>
  <si>
    <t>Max Decl.</t>
  </si>
  <si>
    <t>Seconds=</t>
  </si>
  <si>
    <t>Degrees=</t>
  </si>
  <si>
    <t>Minutes=</t>
  </si>
  <si>
    <t>Month=</t>
  </si>
  <si>
    <t>Total l=</t>
  </si>
  <si>
    <t>Total b=</t>
  </si>
  <si>
    <t>Dn=</t>
  </si>
  <si>
    <t>SI=</t>
  </si>
  <si>
    <t>V=</t>
  </si>
  <si>
    <t>Node Passages</t>
  </si>
  <si>
    <t>Acesnding</t>
  </si>
  <si>
    <t>Decending</t>
  </si>
  <si>
    <t>Distance to moon</t>
  </si>
</sst>
</file>

<file path=xl/styles.xml><?xml version="1.0" encoding="utf-8"?>
<styleSheet xmlns="http://schemas.openxmlformats.org/spreadsheetml/2006/main">
  <numFmts count="9">
    <numFmt numFmtId="164" formatCode="0.000000"/>
    <numFmt numFmtId="165" formatCode="0.0000000"/>
    <numFmt numFmtId="166" formatCode="0.000"/>
    <numFmt numFmtId="167" formatCode="0.0000"/>
    <numFmt numFmtId="168" formatCode="0.000000000"/>
    <numFmt numFmtId="169" formatCode="0.00000"/>
    <numFmt numFmtId="170" formatCode="h:mm:ss;@"/>
    <numFmt numFmtId="171" formatCode="0.000000000000"/>
    <numFmt numFmtId="172" formatCode="0.0"/>
  </numFmts>
  <fonts count="57">
    <font>
      <sz val="11"/>
      <color theme="1"/>
      <name val="Calibri"/>
      <family val="2"/>
      <scheme val="minor"/>
    </font>
    <font>
      <sz val="12"/>
      <color theme="1"/>
      <name val="Calibri"/>
      <family val="2"/>
      <scheme val="minor"/>
    </font>
    <font>
      <vertAlign val="superscript"/>
      <sz val="12"/>
      <color theme="1"/>
      <name val="Calibri"/>
      <family val="2"/>
      <scheme val="minor"/>
    </font>
    <font>
      <vertAlign val="subscript"/>
      <sz val="12"/>
      <color theme="1"/>
      <name val="Calibri"/>
      <family val="2"/>
      <scheme val="minor"/>
    </font>
    <font>
      <b/>
      <sz val="16"/>
      <color rgb="FFFF0000"/>
      <name val="Calibri"/>
      <family val="2"/>
      <scheme val="minor"/>
    </font>
    <font>
      <b/>
      <sz val="18"/>
      <color rgb="FFFF0000"/>
      <name val="Calibri"/>
      <family val="2"/>
      <scheme val="minor"/>
    </font>
    <font>
      <b/>
      <sz val="20"/>
      <color rgb="FFFF0000"/>
      <name val="Calibri"/>
      <family val="2"/>
      <scheme val="minor"/>
    </font>
    <font>
      <sz val="11"/>
      <color rgb="FFFF0000"/>
      <name val="Calibri"/>
      <family val="2"/>
      <scheme val="minor"/>
    </font>
    <font>
      <b/>
      <sz val="14"/>
      <color rgb="FFFF0000"/>
      <name val="Calibri"/>
      <family val="2"/>
      <scheme val="minor"/>
    </font>
    <font>
      <sz val="10"/>
      <color theme="1"/>
      <name val="Calibri"/>
      <family val="2"/>
      <scheme val="minor"/>
    </font>
    <font>
      <b/>
      <sz val="12"/>
      <color rgb="FFFF0000"/>
      <name val="Calibri"/>
      <family val="2"/>
      <scheme val="minor"/>
    </font>
    <font>
      <sz val="11"/>
      <color rgb="FFFFFF00"/>
      <name val="Calibri"/>
      <family val="2"/>
      <scheme val="minor"/>
    </font>
    <font>
      <b/>
      <sz val="14"/>
      <color rgb="FFFFFF00"/>
      <name val="Calibri"/>
      <family val="2"/>
      <scheme val="minor"/>
    </font>
    <font>
      <b/>
      <sz val="16"/>
      <color rgb="FFFFFF00"/>
      <name val="Calibri"/>
      <family val="2"/>
      <scheme val="minor"/>
    </font>
    <font>
      <b/>
      <sz val="10"/>
      <color rgb="FF000000"/>
      <name val="Arial"/>
      <family val="2"/>
    </font>
    <font>
      <u/>
      <sz val="11"/>
      <color theme="10"/>
      <name val="Calibri"/>
      <family val="2"/>
    </font>
    <font>
      <sz val="8"/>
      <color rgb="FF000000"/>
      <name val="Arial"/>
      <family val="2"/>
    </font>
    <font>
      <sz val="10"/>
      <color rgb="FF000000"/>
      <name val="Arial Unicode MS"/>
      <family val="2"/>
    </font>
    <font>
      <sz val="8"/>
      <color rgb="FF9900FF"/>
      <name val="Arial"/>
      <family val="2"/>
    </font>
    <font>
      <b/>
      <sz val="8"/>
      <color rgb="FF000000"/>
      <name val="Arial"/>
      <family val="2"/>
    </font>
    <font>
      <b/>
      <sz val="10"/>
      <color rgb="FF0000FF"/>
      <name val="Courier New"/>
      <family val="3"/>
    </font>
    <font>
      <b/>
      <vertAlign val="superscript"/>
      <sz val="10"/>
      <color rgb="FF0000FF"/>
      <name val="Courier New"/>
      <family val="3"/>
    </font>
    <font>
      <sz val="10"/>
      <color theme="1"/>
      <name val="Arial Unicode MS"/>
      <family val="2"/>
    </font>
    <font>
      <b/>
      <sz val="22"/>
      <color rgb="FFFFFF00"/>
      <name val="Calibri"/>
      <family val="2"/>
      <scheme val="minor"/>
    </font>
    <font>
      <b/>
      <sz val="16"/>
      <color rgb="FF002060"/>
      <name val="Calibri"/>
      <family val="2"/>
      <scheme val="minor"/>
    </font>
    <font>
      <b/>
      <sz val="20"/>
      <color rgb="FFFFFF00"/>
      <name val="Calibri"/>
      <family val="2"/>
      <scheme val="minor"/>
    </font>
    <font>
      <b/>
      <sz val="24"/>
      <color rgb="FFFF0000"/>
      <name val="Calibri"/>
      <family val="2"/>
      <scheme val="minor"/>
    </font>
    <font>
      <b/>
      <sz val="24"/>
      <color rgb="FFFFFF00"/>
      <name val="Calibri"/>
      <family val="2"/>
      <scheme val="minor"/>
    </font>
    <font>
      <sz val="24"/>
      <color theme="1"/>
      <name val="Calibri"/>
      <family val="2"/>
      <scheme val="minor"/>
    </font>
    <font>
      <b/>
      <sz val="11"/>
      <color theme="1"/>
      <name val="Calibri"/>
      <family val="2"/>
      <scheme val="minor"/>
    </font>
    <font>
      <b/>
      <sz val="22"/>
      <color rgb="FFFF0000"/>
      <name val="Calibri"/>
      <family val="2"/>
      <scheme val="minor"/>
    </font>
    <font>
      <b/>
      <sz val="22"/>
      <color rgb="FF00B050"/>
      <name val="Calibri"/>
      <family val="2"/>
      <scheme val="minor"/>
    </font>
    <font>
      <b/>
      <sz val="14"/>
      <color rgb="FF00B050"/>
      <name val="Calibri"/>
      <family val="2"/>
      <scheme val="minor"/>
    </font>
    <font>
      <sz val="12"/>
      <color rgb="FFFF0000"/>
      <name val="Calibri"/>
      <family val="2"/>
      <scheme val="minor"/>
    </font>
    <font>
      <sz val="16"/>
      <color rgb="FFFF0000"/>
      <name val="Calibri"/>
      <family val="2"/>
      <scheme val="minor"/>
    </font>
    <font>
      <sz val="16"/>
      <color theme="1"/>
      <name val="Calibri"/>
      <family val="2"/>
      <scheme val="minor"/>
    </font>
    <font>
      <b/>
      <sz val="24"/>
      <color rgb="FF002060"/>
      <name val="Calibri"/>
      <family val="2"/>
      <scheme val="minor"/>
    </font>
    <font>
      <b/>
      <sz val="16"/>
      <color rgb="FF7030A0"/>
      <name val="Calibri"/>
      <family val="2"/>
      <scheme val="minor"/>
    </font>
    <font>
      <sz val="18"/>
      <color rgb="FFFF0000"/>
      <name val="Calibri"/>
      <family val="2"/>
      <scheme val="minor"/>
    </font>
    <font>
      <b/>
      <sz val="11"/>
      <color rgb="FF7030A0"/>
      <name val="Calibri"/>
      <family val="2"/>
      <scheme val="minor"/>
    </font>
    <font>
      <b/>
      <sz val="11"/>
      <color rgb="FFFF0000"/>
      <name val="Calibri"/>
      <family val="2"/>
      <scheme val="minor"/>
    </font>
    <font>
      <b/>
      <sz val="18"/>
      <color rgb="FFFFFF00"/>
      <name val="Calibri"/>
      <family val="2"/>
      <scheme val="minor"/>
    </font>
    <font>
      <sz val="14"/>
      <color rgb="FFFFFF00"/>
      <name val="Calibri"/>
      <family val="2"/>
      <scheme val="minor"/>
    </font>
    <font>
      <b/>
      <sz val="14"/>
      <color rgb="FF7030A0"/>
      <name val="Calibri"/>
      <family val="2"/>
      <scheme val="minor"/>
    </font>
    <font>
      <sz val="16"/>
      <color rgb="FFFFFF00"/>
      <name val="Calibri"/>
      <family val="2"/>
      <scheme val="minor"/>
    </font>
    <font>
      <b/>
      <sz val="12"/>
      <color rgb="FFFFFF00"/>
      <name val="Calibri"/>
      <family val="2"/>
      <scheme val="minor"/>
    </font>
    <font>
      <b/>
      <sz val="11"/>
      <color rgb="FFFFFF00"/>
      <name val="Calibri"/>
      <family val="2"/>
      <scheme val="minor"/>
    </font>
    <font>
      <b/>
      <sz val="10"/>
      <color rgb="FFFFFF00"/>
      <name val="Calibri"/>
      <family val="2"/>
      <scheme val="minor"/>
    </font>
    <font>
      <sz val="18"/>
      <color rgb="FFFFFF00"/>
      <name val="Calibri"/>
      <family val="2"/>
      <scheme val="minor"/>
    </font>
    <font>
      <b/>
      <sz val="12"/>
      <color theme="1"/>
      <name val="Calibri"/>
      <family val="2"/>
      <scheme val="minor"/>
    </font>
    <font>
      <i/>
      <sz val="11"/>
      <color theme="1"/>
      <name val="Calibri"/>
      <family val="2"/>
      <scheme val="minor"/>
    </font>
    <font>
      <b/>
      <sz val="20"/>
      <color rgb="FF002060"/>
      <name val="Calibri"/>
      <family val="2"/>
      <scheme val="minor"/>
    </font>
    <font>
      <b/>
      <sz val="22"/>
      <color rgb="FF00B0F0"/>
      <name val="Calibri"/>
      <family val="2"/>
      <scheme val="minor"/>
    </font>
    <font>
      <b/>
      <sz val="16"/>
      <color rgb="FF00B050"/>
      <name val="Calibri"/>
      <family val="2"/>
      <scheme val="minor"/>
    </font>
    <font>
      <b/>
      <sz val="20"/>
      <color rgb="FF7030A0"/>
      <name val="Calibri"/>
      <family val="2"/>
      <scheme val="minor"/>
    </font>
    <font>
      <b/>
      <sz val="36"/>
      <color rgb="FFFF0000"/>
      <name val="Calibri"/>
      <family val="2"/>
      <scheme val="minor"/>
    </font>
    <font>
      <b/>
      <sz val="16"/>
      <color rgb="FF92D050"/>
      <name val="Calibri"/>
      <family val="2"/>
      <scheme val="minor"/>
    </font>
  </fonts>
  <fills count="2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00B0F0"/>
        <bgColor indexed="64"/>
      </patternFill>
    </fill>
    <fill>
      <patternFill patternType="solid">
        <fgColor theme="6" tint="0.59999389629810485"/>
        <bgColor indexed="64"/>
      </patternFill>
    </fill>
    <fill>
      <patternFill patternType="solid">
        <fgColor rgb="FF92D050"/>
        <bgColor indexed="64"/>
      </patternFill>
    </fill>
    <fill>
      <patternFill patternType="solid">
        <fgColor theme="9" tint="-0.249977111117893"/>
        <bgColor indexed="64"/>
      </patternFill>
    </fill>
    <fill>
      <patternFill patternType="solid">
        <fgColor theme="6" tint="-0.499984740745262"/>
        <bgColor indexed="64"/>
      </patternFill>
    </fill>
    <fill>
      <patternFill patternType="solid">
        <fgColor theme="6" tint="0.79998168889431442"/>
        <bgColor indexed="64"/>
      </patternFill>
    </fill>
    <fill>
      <patternFill patternType="solid">
        <fgColor theme="1"/>
        <bgColor indexed="64"/>
      </patternFill>
    </fill>
    <fill>
      <patternFill patternType="solid">
        <fgColor theme="3" tint="0.59999389629810485"/>
        <bgColor indexed="64"/>
      </patternFill>
    </fill>
    <fill>
      <patternFill patternType="solid">
        <fgColor rgb="FF7030A0"/>
        <bgColor indexed="64"/>
      </patternFill>
    </fill>
    <fill>
      <patternFill patternType="solid">
        <fgColor theme="5" tint="-0.499984740745262"/>
        <bgColor indexed="64"/>
      </patternFill>
    </fill>
    <fill>
      <patternFill patternType="solid">
        <fgColor rgb="FF00B050"/>
        <bgColor indexed="64"/>
      </patternFill>
    </fill>
    <fill>
      <patternFill patternType="solid">
        <fgColor theme="8" tint="-0.249977111117893"/>
        <bgColor indexed="64"/>
      </patternFill>
    </fill>
    <fill>
      <patternFill patternType="solid">
        <fgColor rgb="FFFF0000"/>
        <bgColor indexed="64"/>
      </patternFill>
    </fill>
    <fill>
      <patternFill patternType="solid">
        <fgColor theme="8" tint="-0.499984740745262"/>
        <bgColor indexed="64"/>
      </patternFill>
    </fill>
    <fill>
      <patternFill patternType="solid">
        <fgColor theme="3" tint="0.39997558519241921"/>
        <bgColor indexed="64"/>
      </patternFill>
    </fill>
    <fill>
      <patternFill patternType="solid">
        <fgColor theme="3" tint="-0.499984740745262"/>
        <bgColor indexed="64"/>
      </patternFill>
    </fill>
    <fill>
      <patternFill patternType="solid">
        <fgColor rgb="FF00206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1" tint="0.14999847407452621"/>
        <bgColor indexed="64"/>
      </patternFill>
    </fill>
    <fill>
      <patternFill patternType="solid">
        <fgColor theme="6" tint="-0.249977111117893"/>
        <bgColor indexed="64"/>
      </patternFill>
    </fill>
    <fill>
      <patternFill patternType="solid">
        <fgColor theme="3" tint="-0.249977111117893"/>
        <bgColor indexed="64"/>
      </patternFill>
    </fill>
    <fill>
      <patternFill patternType="solid">
        <fgColor theme="1" tint="4.9989318521683403E-2"/>
        <bgColor indexed="64"/>
      </patternFill>
    </fill>
    <fill>
      <patternFill patternType="solid">
        <fgColor theme="9"/>
        <bgColor indexed="64"/>
      </patternFill>
    </fill>
  </fills>
  <borders count="25">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top style="medium">
        <color rgb="FFCCCCCC"/>
      </top>
      <bottom/>
      <diagonal/>
    </border>
    <border>
      <left/>
      <right style="medium">
        <color rgb="FFCCCCCC"/>
      </right>
      <top style="medium">
        <color rgb="FFCCCCCC"/>
      </top>
      <bottom/>
      <diagonal/>
    </border>
    <border>
      <left/>
      <right/>
      <top/>
      <bottom style="medium">
        <color rgb="FFCCCCCC"/>
      </bottom>
      <diagonal/>
    </border>
    <border>
      <left/>
      <right style="medium">
        <color rgb="FFCCCCCC"/>
      </right>
      <top/>
      <bottom style="medium">
        <color rgb="FFCCCCCC"/>
      </bottom>
      <diagonal/>
    </border>
  </borders>
  <cellStyleXfs count="2">
    <xf numFmtId="0" fontId="0" fillId="0" borderId="0"/>
    <xf numFmtId="0" fontId="15" fillId="0" borderId="0" applyNumberFormat="0" applyFill="0" applyBorder="0" applyAlignment="0" applyProtection="0">
      <alignment vertical="top"/>
      <protection locked="0"/>
    </xf>
  </cellStyleXfs>
  <cellXfs count="261">
    <xf numFmtId="0" fontId="0" fillId="0" borderId="0" xfId="0"/>
    <xf numFmtId="0" fontId="1" fillId="0" borderId="0" xfId="0" applyFont="1"/>
    <xf numFmtId="0" fontId="1" fillId="0" borderId="0" xfId="0" applyFont="1" applyAlignment="1">
      <alignment horizontal="left" indent="15"/>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0" xfId="0" applyFont="1" applyAlignment="1"/>
    <xf numFmtId="3" fontId="1" fillId="0" borderId="0" xfId="0" applyNumberFormat="1" applyFont="1"/>
    <xf numFmtId="0" fontId="1" fillId="0" borderId="3" xfId="0" applyFont="1" applyBorder="1" applyAlignment="1">
      <alignment horizontal="left" vertical="top" wrapText="1"/>
    </xf>
    <xf numFmtId="0" fontId="6" fillId="2" borderId="0" xfId="0" applyFont="1" applyFill="1"/>
    <xf numFmtId="0" fontId="0" fillId="0" borderId="5" xfId="0" applyBorder="1"/>
    <xf numFmtId="0" fontId="0" fillId="0" borderId="5" xfId="0" applyFont="1" applyBorder="1" applyAlignment="1">
      <alignment vertical="top" wrapText="1"/>
    </xf>
    <xf numFmtId="0" fontId="1" fillId="0" borderId="5" xfId="0" applyFont="1" applyBorder="1" applyAlignment="1">
      <alignment vertical="top" wrapText="1"/>
    </xf>
    <xf numFmtId="0" fontId="0" fillId="0" borderId="8" xfId="0" applyBorder="1"/>
    <xf numFmtId="0" fontId="0" fillId="0" borderId="9" xfId="0" applyBorder="1"/>
    <xf numFmtId="0" fontId="0" fillId="0" borderId="10" xfId="0" applyBorder="1"/>
    <xf numFmtId="0" fontId="0" fillId="0" borderId="12" xfId="0" applyBorder="1"/>
    <xf numFmtId="164" fontId="4" fillId="2" borderId="13" xfId="0" applyNumberFormat="1" applyFont="1" applyFill="1" applyBorder="1"/>
    <xf numFmtId="0" fontId="1" fillId="3" borderId="0" xfId="0" applyFont="1" applyFill="1"/>
    <xf numFmtId="0" fontId="1" fillId="0" borderId="6" xfId="0" applyFont="1" applyBorder="1" applyAlignment="1">
      <alignment horizontal="left" vertical="top" wrapText="1"/>
    </xf>
    <xf numFmtId="0" fontId="1" fillId="0" borderId="7" xfId="0" applyFont="1" applyBorder="1" applyAlignment="1">
      <alignment vertical="top" wrapText="1"/>
    </xf>
    <xf numFmtId="0" fontId="1" fillId="0" borderId="9" xfId="0" applyFont="1" applyBorder="1" applyAlignment="1">
      <alignment horizontal="left" vertical="top" wrapText="1"/>
    </xf>
    <xf numFmtId="0" fontId="1" fillId="0" borderId="11" xfId="0" applyFont="1" applyBorder="1" applyAlignment="1">
      <alignment horizontal="left" vertical="top" wrapText="1"/>
    </xf>
    <xf numFmtId="0" fontId="1" fillId="0" borderId="12" xfId="0" applyFont="1" applyBorder="1" applyAlignment="1">
      <alignment vertical="top" wrapText="1"/>
    </xf>
    <xf numFmtId="0" fontId="0" fillId="0" borderId="13" xfId="0" applyBorder="1"/>
    <xf numFmtId="0" fontId="4" fillId="4" borderId="0" xfId="0" applyFont="1" applyFill="1"/>
    <xf numFmtId="165" fontId="5" fillId="2" borderId="0" xfId="0" applyNumberFormat="1" applyFont="1" applyFill="1"/>
    <xf numFmtId="0" fontId="7" fillId="4" borderId="0" xfId="0" applyFont="1" applyFill="1"/>
    <xf numFmtId="0" fontId="0" fillId="3" borderId="0" xfId="0" applyFill="1"/>
    <xf numFmtId="0" fontId="10" fillId="6" borderId="0" xfId="0" applyFont="1" applyFill="1"/>
    <xf numFmtId="0" fontId="8" fillId="2" borderId="0" xfId="0" applyFont="1" applyFill="1"/>
    <xf numFmtId="0" fontId="11" fillId="0" borderId="0" xfId="0" applyFont="1"/>
    <xf numFmtId="0" fontId="12" fillId="7" borderId="0" xfId="0" applyFont="1" applyFill="1"/>
    <xf numFmtId="0" fontId="12" fillId="0" borderId="0" xfId="0" applyFont="1" applyFill="1"/>
    <xf numFmtId="0" fontId="1" fillId="0" borderId="5" xfId="0" applyFont="1" applyBorder="1" applyAlignment="1">
      <alignment horizontal="left" vertical="top" wrapText="1"/>
    </xf>
    <xf numFmtId="0" fontId="1" fillId="0" borderId="6" xfId="0" applyFont="1" applyBorder="1" applyAlignment="1">
      <alignment horizontal="center" vertical="top" wrapText="1"/>
    </xf>
    <xf numFmtId="0" fontId="1" fillId="0" borderId="7" xfId="0" applyFont="1" applyBorder="1" applyAlignment="1">
      <alignment horizontal="center" vertical="top" wrapText="1"/>
    </xf>
    <xf numFmtId="0" fontId="1" fillId="0" borderId="11" xfId="0" applyFont="1" applyBorder="1"/>
    <xf numFmtId="0" fontId="13" fillId="8" borderId="0" xfId="0" applyFont="1" applyFill="1"/>
    <xf numFmtId="0" fontId="4" fillId="9" borderId="0" xfId="0" applyFont="1" applyFill="1"/>
    <xf numFmtId="164" fontId="4" fillId="5" borderId="0" xfId="0" applyNumberFormat="1" applyFont="1" applyFill="1"/>
    <xf numFmtId="0" fontId="8" fillId="2" borderId="12" xfId="0" applyFont="1" applyFill="1" applyBorder="1"/>
    <xf numFmtId="0" fontId="1" fillId="0" borderId="5" xfId="0" applyFont="1" applyFill="1" applyBorder="1" applyAlignment="1"/>
    <xf numFmtId="0" fontId="1" fillId="3" borderId="5" xfId="0" applyFont="1" applyFill="1" applyBorder="1" applyAlignment="1"/>
    <xf numFmtId="0" fontId="1" fillId="3" borderId="5" xfId="0" applyFont="1" applyFill="1" applyBorder="1"/>
    <xf numFmtId="0" fontId="1" fillId="3" borderId="5" xfId="0" applyFont="1" applyFill="1" applyBorder="1" applyAlignment="1">
      <alignment horizontal="left" indent="1"/>
    </xf>
    <xf numFmtId="0" fontId="0" fillId="3" borderId="5" xfId="0" applyFill="1" applyBorder="1"/>
    <xf numFmtId="0" fontId="1" fillId="0" borderId="5" xfId="0" applyFont="1" applyBorder="1"/>
    <xf numFmtId="0" fontId="9" fillId="0" borderId="5" xfId="0" applyFont="1" applyBorder="1"/>
    <xf numFmtId="0" fontId="8" fillId="3" borderId="6" xfId="0" applyFont="1" applyFill="1" applyBorder="1" applyAlignment="1"/>
    <xf numFmtId="0" fontId="8" fillId="3" borderId="7" xfId="0" applyFont="1" applyFill="1" applyBorder="1" applyAlignment="1"/>
    <xf numFmtId="0" fontId="0" fillId="0" borderId="9" xfId="0" applyFont="1" applyBorder="1"/>
    <xf numFmtId="0" fontId="9" fillId="0" borderId="11" xfId="0" applyFont="1" applyBorder="1" applyAlignment="1">
      <alignment wrapText="1"/>
    </xf>
    <xf numFmtId="0" fontId="1" fillId="3" borderId="12" xfId="0" applyFont="1" applyFill="1" applyBorder="1" applyAlignment="1">
      <alignment horizontal="left" vertical="center"/>
    </xf>
    <xf numFmtId="0" fontId="0" fillId="3" borderId="12" xfId="0" applyFill="1" applyBorder="1" applyAlignment="1">
      <alignment horizontal="center" vertical="center"/>
    </xf>
    <xf numFmtId="0" fontId="1" fillId="0" borderId="14" xfId="0" applyFont="1" applyBorder="1"/>
    <xf numFmtId="0" fontId="1" fillId="0" borderId="15" xfId="0" applyFont="1" applyBorder="1"/>
    <xf numFmtId="0" fontId="1" fillId="0" borderId="16" xfId="0" applyFont="1" applyBorder="1"/>
    <xf numFmtId="0" fontId="0" fillId="0" borderId="19" xfId="0" applyBorder="1"/>
    <xf numFmtId="0" fontId="0" fillId="0" borderId="19" xfId="0" applyFont="1" applyBorder="1" applyAlignment="1">
      <alignment vertical="top" wrapText="1"/>
    </xf>
    <xf numFmtId="0" fontId="0" fillId="0" borderId="20" xfId="0" applyBorder="1"/>
    <xf numFmtId="0" fontId="0" fillId="5" borderId="7" xfId="0" applyFill="1" applyBorder="1"/>
    <xf numFmtId="0" fontId="8" fillId="5" borderId="7" xfId="0" applyFont="1" applyFill="1" applyBorder="1"/>
    <xf numFmtId="0" fontId="0" fillId="5" borderId="8" xfId="0" applyFill="1" applyBorder="1"/>
    <xf numFmtId="0" fontId="0" fillId="5" borderId="12" xfId="0" applyFill="1" applyBorder="1"/>
    <xf numFmtId="0" fontId="9" fillId="5" borderId="12" xfId="0" applyFont="1" applyFill="1" applyBorder="1" applyAlignment="1">
      <alignment wrapText="1"/>
    </xf>
    <xf numFmtId="0" fontId="0" fillId="5" borderId="13" xfId="0" applyFill="1" applyBorder="1"/>
    <xf numFmtId="0" fontId="0" fillId="0" borderId="0" xfId="0" applyAlignment="1">
      <alignment horizontal="left"/>
    </xf>
    <xf numFmtId="0" fontId="8" fillId="3" borderId="8" xfId="0" applyFont="1" applyFill="1" applyBorder="1" applyAlignment="1">
      <alignment horizontal="left"/>
    </xf>
    <xf numFmtId="0" fontId="0" fillId="0" borderId="10" xfId="0" applyBorder="1" applyAlignment="1">
      <alignment horizontal="left"/>
    </xf>
    <xf numFmtId="0" fontId="0" fillId="3" borderId="10" xfId="0" applyFill="1" applyBorder="1" applyAlignment="1">
      <alignment horizontal="left"/>
    </xf>
    <xf numFmtId="0" fontId="0" fillId="0" borderId="17" xfId="0" applyBorder="1" applyAlignment="1">
      <alignment horizontal="left"/>
    </xf>
    <xf numFmtId="0" fontId="0" fillId="5" borderId="6" xfId="0" applyFill="1" applyBorder="1" applyAlignment="1">
      <alignment horizontal="left"/>
    </xf>
    <xf numFmtId="0" fontId="0" fillId="5" borderId="11" xfId="0" applyFill="1" applyBorder="1" applyAlignment="1">
      <alignment horizontal="left"/>
    </xf>
    <xf numFmtId="0" fontId="0" fillId="0" borderId="18" xfId="0" applyBorder="1" applyAlignment="1">
      <alignment horizontal="left"/>
    </xf>
    <xf numFmtId="0" fontId="0" fillId="0" borderId="9" xfId="0" applyBorder="1" applyAlignment="1">
      <alignment horizontal="left"/>
    </xf>
    <xf numFmtId="0" fontId="0" fillId="0" borderId="11" xfId="0" applyBorder="1" applyAlignment="1">
      <alignment horizontal="left"/>
    </xf>
    <xf numFmtId="0" fontId="1" fillId="0" borderId="7" xfId="0" applyFont="1" applyBorder="1" applyAlignment="1">
      <alignment horizontal="left" vertical="top" wrapText="1"/>
    </xf>
    <xf numFmtId="0" fontId="0" fillId="0" borderId="12" xfId="0" applyBorder="1" applyAlignment="1">
      <alignment horizontal="left"/>
    </xf>
    <xf numFmtId="0" fontId="1" fillId="0" borderId="12" xfId="0" applyFont="1" applyBorder="1" applyAlignment="1">
      <alignment horizontal="left" vertical="top" wrapText="1"/>
    </xf>
    <xf numFmtId="0" fontId="1" fillId="0" borderId="4" xfId="0" applyFont="1" applyBorder="1" applyAlignment="1">
      <alignment horizontal="left" vertical="top" wrapText="1"/>
    </xf>
    <xf numFmtId="0" fontId="0" fillId="3" borderId="0" xfId="0" applyFill="1" applyAlignment="1">
      <alignment horizontal="left"/>
    </xf>
    <xf numFmtId="0" fontId="1" fillId="0" borderId="2" xfId="0" applyFont="1" applyBorder="1" applyAlignment="1">
      <alignment horizontal="left" vertical="top" wrapText="1"/>
    </xf>
    <xf numFmtId="0" fontId="0" fillId="0" borderId="0" xfId="0" applyNumberFormat="1"/>
    <xf numFmtId="0" fontId="14" fillId="0" borderId="0" xfId="0" applyFont="1" applyAlignment="1">
      <alignment wrapText="1"/>
    </xf>
    <xf numFmtId="0" fontId="15" fillId="0" borderId="0" xfId="1" applyAlignment="1" applyProtection="1">
      <alignment wrapText="1"/>
    </xf>
    <xf numFmtId="0" fontId="16" fillId="0" borderId="0" xfId="0" applyFont="1" applyAlignment="1">
      <alignment wrapText="1"/>
    </xf>
    <xf numFmtId="14" fontId="0" fillId="0" borderId="0" xfId="0" applyNumberFormat="1"/>
    <xf numFmtId="166" fontId="0" fillId="0" borderId="0" xfId="0" applyNumberFormat="1"/>
    <xf numFmtId="0" fontId="7" fillId="2" borderId="0" xfId="0" applyFont="1" applyFill="1"/>
    <xf numFmtId="0" fontId="17" fillId="0" borderId="0" xfId="0" applyFont="1"/>
    <xf numFmtId="167" fontId="8" fillId="2" borderId="0" xfId="0" applyNumberFormat="1" applyFont="1" applyFill="1"/>
    <xf numFmtId="0" fontId="16" fillId="0" borderId="0" xfId="0" applyFont="1"/>
    <xf numFmtId="0" fontId="14" fillId="0" borderId="0" xfId="0" applyFont="1" applyAlignment="1">
      <alignment horizontal="left" wrapText="1"/>
    </xf>
    <xf numFmtId="0" fontId="15" fillId="0" borderId="0" xfId="1" applyAlignment="1" applyProtection="1">
      <alignment horizontal="left" wrapText="1"/>
    </xf>
    <xf numFmtId="0" fontId="18" fillId="0" borderId="0" xfId="0" applyFont="1" applyAlignment="1">
      <alignment vertical="top" wrapText="1"/>
    </xf>
    <xf numFmtId="0" fontId="16" fillId="0" borderId="0" xfId="0" applyFont="1" applyAlignment="1">
      <alignment horizontal="left" wrapText="1"/>
    </xf>
    <xf numFmtId="0" fontId="19" fillId="0" borderId="0" xfId="0" applyFont="1" applyAlignment="1">
      <alignment horizontal="left" wrapText="1"/>
    </xf>
    <xf numFmtId="168" fontId="0" fillId="0" borderId="0" xfId="0" applyNumberFormat="1"/>
    <xf numFmtId="168" fontId="0" fillId="0" borderId="0" xfId="0" applyNumberFormat="1" applyAlignment="1">
      <alignment horizontal="center"/>
    </xf>
    <xf numFmtId="0" fontId="20" fillId="0" borderId="0" xfId="0" applyFont="1" applyAlignment="1">
      <alignment horizontal="left" indent="4"/>
    </xf>
    <xf numFmtId="0" fontId="0" fillId="0" borderId="0" xfId="0" applyAlignment="1">
      <alignment horizontal="center"/>
    </xf>
    <xf numFmtId="0" fontId="22" fillId="0" borderId="0" xfId="0" applyFont="1"/>
    <xf numFmtId="0" fontId="23" fillId="10" borderId="0" xfId="0" applyFont="1" applyFill="1"/>
    <xf numFmtId="169" fontId="23" fillId="10" borderId="0" xfId="0" applyNumberFormat="1" applyFont="1" applyFill="1"/>
    <xf numFmtId="21" fontId="8" fillId="2" borderId="0" xfId="0" applyNumberFormat="1" applyFont="1" applyFill="1"/>
    <xf numFmtId="168" fontId="10" fillId="2" borderId="0" xfId="0" applyNumberFormat="1" applyFont="1" applyFill="1" applyAlignment="1">
      <alignment horizontal="center"/>
    </xf>
    <xf numFmtId="21" fontId="0" fillId="0" borderId="0" xfId="0" applyNumberFormat="1"/>
    <xf numFmtId="0" fontId="0" fillId="2" borderId="0" xfId="0" applyFill="1"/>
    <xf numFmtId="167" fontId="0" fillId="0" borderId="0" xfId="0" applyNumberFormat="1"/>
    <xf numFmtId="164" fontId="24" fillId="5" borderId="0" xfId="0" applyNumberFormat="1" applyFont="1" applyFill="1"/>
    <xf numFmtId="0" fontId="13" fillId="5" borderId="0" xfId="0" applyFont="1" applyFill="1"/>
    <xf numFmtId="168" fontId="12" fillId="12" borderId="0" xfId="0" applyNumberFormat="1" applyFont="1" applyFill="1" applyAlignment="1">
      <alignment horizontal="center"/>
    </xf>
    <xf numFmtId="170" fontId="25" fillId="8" borderId="0" xfId="0" applyNumberFormat="1" applyFont="1" applyFill="1" applyAlignment="1">
      <alignment horizontal="center"/>
    </xf>
    <xf numFmtId="0" fontId="13" fillId="8" borderId="0" xfId="0" applyFont="1" applyFill="1" applyAlignment="1">
      <alignment horizontal="center"/>
    </xf>
    <xf numFmtId="168" fontId="13" fillId="8" borderId="0" xfId="0" applyNumberFormat="1" applyFont="1" applyFill="1" applyAlignment="1">
      <alignment horizontal="center"/>
    </xf>
    <xf numFmtId="0" fontId="13" fillId="13" borderId="0" xfId="0" applyFont="1" applyFill="1" applyAlignment="1">
      <alignment horizontal="center"/>
    </xf>
    <xf numFmtId="0" fontId="13" fillId="13" borderId="0" xfId="0" applyFont="1" applyFill="1"/>
    <xf numFmtId="0" fontId="26" fillId="10" borderId="0" xfId="0" applyFont="1" applyFill="1"/>
    <xf numFmtId="164" fontId="27" fillId="10" borderId="0" xfId="0" applyNumberFormat="1" applyFont="1" applyFill="1"/>
    <xf numFmtId="0" fontId="28" fillId="0" borderId="0" xfId="0" applyFont="1" applyAlignment="1">
      <alignment horizontal="left"/>
    </xf>
    <xf numFmtId="0" fontId="26" fillId="11" borderId="0" xfId="0" applyFont="1" applyFill="1" applyAlignment="1">
      <alignment horizontal="center"/>
    </xf>
    <xf numFmtId="0" fontId="28" fillId="0" borderId="0" xfId="0" applyFont="1" applyAlignment="1">
      <alignment horizontal="center"/>
    </xf>
    <xf numFmtId="0" fontId="28" fillId="0" borderId="0" xfId="0" applyFont="1"/>
    <xf numFmtId="169" fontId="0" fillId="0" borderId="0" xfId="0" applyNumberFormat="1"/>
    <xf numFmtId="0" fontId="10" fillId="2" borderId="0" xfId="0" applyFont="1" applyFill="1"/>
    <xf numFmtId="169" fontId="4" fillId="2" borderId="0" xfId="0" applyNumberFormat="1" applyFont="1" applyFill="1"/>
    <xf numFmtId="168" fontId="4" fillId="9" borderId="0" xfId="0" applyNumberFormat="1" applyFont="1" applyFill="1"/>
    <xf numFmtId="165" fontId="4" fillId="9" borderId="0" xfId="0" applyNumberFormat="1" applyFont="1" applyFill="1"/>
    <xf numFmtId="169" fontId="8" fillId="2" borderId="0" xfId="0" applyNumberFormat="1" applyFont="1" applyFill="1"/>
    <xf numFmtId="0" fontId="30" fillId="10" borderId="0" xfId="0" applyFont="1" applyFill="1"/>
    <xf numFmtId="169" fontId="31" fillId="10" borderId="0" xfId="0" applyNumberFormat="1" applyFont="1" applyFill="1"/>
    <xf numFmtId="0" fontId="32" fillId="2" borderId="0" xfId="0" applyFont="1" applyFill="1"/>
    <xf numFmtId="0" fontId="29" fillId="0" borderId="0" xfId="0" applyFont="1"/>
    <xf numFmtId="0" fontId="4" fillId="2" borderId="0" xfId="0" applyFont="1" applyFill="1"/>
    <xf numFmtId="0" fontId="6" fillId="6" borderId="0" xfId="0" applyFont="1" applyFill="1" applyAlignment="1">
      <alignment horizontal="center"/>
    </xf>
    <xf numFmtId="0" fontId="33" fillId="2" borderId="0" xfId="0" applyFont="1" applyFill="1"/>
    <xf numFmtId="168" fontId="0" fillId="2" borderId="0" xfId="0" applyNumberFormat="1" applyFill="1" applyAlignment="1">
      <alignment horizontal="center"/>
    </xf>
    <xf numFmtId="0" fontId="34" fillId="2" borderId="0" xfId="0" applyFont="1" applyFill="1"/>
    <xf numFmtId="0" fontId="5" fillId="6" borderId="0" xfId="0" applyFont="1" applyFill="1"/>
    <xf numFmtId="0" fontId="35" fillId="0" borderId="0" xfId="0" applyFont="1"/>
    <xf numFmtId="0" fontId="4" fillId="10" borderId="0" xfId="0" applyFont="1" applyFill="1"/>
    <xf numFmtId="169" fontId="34" fillId="10" borderId="0" xfId="0" applyNumberFormat="1" applyFont="1" applyFill="1"/>
    <xf numFmtId="169" fontId="6" fillId="14" borderId="0" xfId="0" applyNumberFormat="1" applyFont="1" applyFill="1"/>
    <xf numFmtId="171" fontId="0" fillId="0" borderId="0" xfId="0" applyNumberFormat="1" applyAlignment="1">
      <alignment horizontal="center"/>
    </xf>
    <xf numFmtId="168" fontId="4" fillId="2" borderId="0" xfId="0" applyNumberFormat="1" applyFont="1" applyFill="1" applyAlignment="1">
      <alignment horizontal="center"/>
    </xf>
    <xf numFmtId="168" fontId="29" fillId="0" borderId="0" xfId="0" applyNumberFormat="1" applyFont="1" applyAlignment="1">
      <alignment horizontal="center"/>
    </xf>
    <xf numFmtId="0" fontId="33" fillId="2" borderId="0" xfId="0" applyFont="1" applyFill="1" applyAlignment="1">
      <alignment horizontal="center"/>
    </xf>
    <xf numFmtId="169" fontId="30" fillId="10" borderId="0" xfId="0" applyNumberFormat="1" applyFont="1" applyFill="1"/>
    <xf numFmtId="0" fontId="36" fillId="15" borderId="0" xfId="0" applyFont="1" applyFill="1"/>
    <xf numFmtId="170" fontId="25" fillId="16" borderId="0" xfId="0" applyNumberFormat="1" applyFont="1" applyFill="1" applyAlignment="1">
      <alignment horizontal="center"/>
    </xf>
    <xf numFmtId="169" fontId="0" fillId="0" borderId="0" xfId="0" applyNumberFormat="1" applyAlignment="1">
      <alignment horizontal="center"/>
    </xf>
    <xf numFmtId="2" fontId="0" fillId="0" borderId="0" xfId="0" applyNumberFormat="1" applyAlignment="1">
      <alignment horizontal="center"/>
    </xf>
    <xf numFmtId="0" fontId="8" fillId="6" borderId="0" xfId="0" applyFont="1" applyFill="1"/>
    <xf numFmtId="21" fontId="8" fillId="6" borderId="0" xfId="0" applyNumberFormat="1" applyFont="1" applyFill="1" applyAlignment="1">
      <alignment horizontal="center"/>
    </xf>
    <xf numFmtId="0" fontId="8" fillId="14" borderId="0" xfId="0" applyFont="1" applyFill="1"/>
    <xf numFmtId="1" fontId="8" fillId="14" borderId="0" xfId="0" applyNumberFormat="1" applyFont="1" applyFill="1" applyAlignment="1">
      <alignment horizontal="center"/>
    </xf>
    <xf numFmtId="0" fontId="8" fillId="4" borderId="0" xfId="0" applyFont="1" applyFill="1"/>
    <xf numFmtId="0" fontId="8" fillId="4" borderId="0" xfId="0" applyFont="1" applyFill="1" applyAlignment="1">
      <alignment horizontal="center"/>
    </xf>
    <xf numFmtId="0" fontId="12" fillId="12" borderId="0" xfId="0" applyFont="1" applyFill="1"/>
    <xf numFmtId="0" fontId="12" fillId="12" borderId="0" xfId="0" applyFont="1" applyFill="1" applyAlignment="1">
      <alignment horizontal="center"/>
    </xf>
    <xf numFmtId="0" fontId="37" fillId="2" borderId="0" xfId="0" applyFont="1" applyFill="1" applyAlignment="1">
      <alignment horizontal="center"/>
    </xf>
    <xf numFmtId="0" fontId="38" fillId="14" borderId="0" xfId="0" applyFont="1" applyFill="1" applyAlignment="1">
      <alignment horizontal="center"/>
    </xf>
    <xf numFmtId="167" fontId="0" fillId="0" borderId="0" xfId="0" applyNumberFormat="1" applyAlignment="1">
      <alignment horizontal="center"/>
    </xf>
    <xf numFmtId="0" fontId="7" fillId="0" borderId="0" xfId="0" applyFont="1"/>
    <xf numFmtId="0" fontId="10" fillId="0" borderId="0" xfId="0" applyFont="1"/>
    <xf numFmtId="0" fontId="13" fillId="17" borderId="0" xfId="0" applyFont="1" applyFill="1"/>
    <xf numFmtId="0" fontId="39" fillId="0" borderId="0" xfId="0" applyFont="1"/>
    <xf numFmtId="0" fontId="13" fillId="14" borderId="0" xfId="0" applyFont="1" applyFill="1"/>
    <xf numFmtId="0" fontId="13" fillId="16" borderId="0" xfId="0" applyFont="1" applyFill="1" applyAlignment="1">
      <alignment horizontal="center"/>
    </xf>
    <xf numFmtId="0" fontId="13" fillId="17" borderId="0" xfId="0" applyFont="1" applyFill="1" applyAlignment="1">
      <alignment horizontal="center"/>
    </xf>
    <xf numFmtId="167" fontId="13" fillId="13" borderId="0" xfId="0" applyNumberFormat="1" applyFont="1" applyFill="1" applyAlignment="1">
      <alignment horizontal="center"/>
    </xf>
    <xf numFmtId="2" fontId="13" fillId="13" borderId="0" xfId="0" applyNumberFormat="1" applyFont="1" applyFill="1" applyAlignment="1">
      <alignment horizontal="center"/>
    </xf>
    <xf numFmtId="0" fontId="40" fillId="0" borderId="0" xfId="0" applyFont="1"/>
    <xf numFmtId="172" fontId="13" fillId="10" borderId="0" xfId="0" applyNumberFormat="1" applyFont="1" applyFill="1" applyAlignment="1">
      <alignment horizontal="center"/>
    </xf>
    <xf numFmtId="0" fontId="13" fillId="12" borderId="0" xfId="0" applyFont="1" applyFill="1" applyAlignment="1">
      <alignment horizontal="center"/>
    </xf>
    <xf numFmtId="1" fontId="8" fillId="2" borderId="0" xfId="0" applyNumberFormat="1" applyFont="1" applyFill="1" applyAlignment="1">
      <alignment horizontal="center"/>
    </xf>
    <xf numFmtId="0" fontId="5" fillId="18" borderId="0" xfId="0" applyFont="1" applyFill="1"/>
    <xf numFmtId="0" fontId="41" fillId="19" borderId="0" xfId="0" applyFont="1" applyFill="1"/>
    <xf numFmtId="168" fontId="43" fillId="3" borderId="0" xfId="0" applyNumberFormat="1" applyFont="1" applyFill="1" applyAlignment="1">
      <alignment horizontal="center"/>
    </xf>
    <xf numFmtId="0" fontId="42" fillId="12" borderId="0" xfId="0" applyFont="1" applyFill="1"/>
    <xf numFmtId="0" fontId="44" fillId="12" borderId="0" xfId="0" applyFont="1" applyFill="1"/>
    <xf numFmtId="0" fontId="13" fillId="12" borderId="0" xfId="0" applyFont="1" applyFill="1"/>
    <xf numFmtId="0" fontId="0" fillId="0" borderId="0" xfId="0" applyFill="1"/>
    <xf numFmtId="0" fontId="45" fillId="12" borderId="0" xfId="0" applyFont="1" applyFill="1"/>
    <xf numFmtId="0" fontId="42" fillId="14" borderId="0" xfId="0" applyFont="1" applyFill="1"/>
    <xf numFmtId="0" fontId="12" fillId="14" borderId="0" xfId="0" applyFont="1" applyFill="1"/>
    <xf numFmtId="0" fontId="7" fillId="2" borderId="0" xfId="0" applyFont="1" applyFill="1" applyAlignment="1">
      <alignment horizontal="center"/>
    </xf>
    <xf numFmtId="0" fontId="46" fillId="14" borderId="0" xfId="0" applyFont="1" applyFill="1"/>
    <xf numFmtId="0" fontId="47" fillId="14" borderId="0" xfId="0" applyFont="1" applyFill="1"/>
    <xf numFmtId="21" fontId="12" fillId="12" borderId="0" xfId="0" applyNumberFormat="1" applyFont="1" applyFill="1" applyAlignment="1">
      <alignment horizontal="center"/>
    </xf>
    <xf numFmtId="21" fontId="12" fillId="14" borderId="0" xfId="0" applyNumberFormat="1" applyFont="1" applyFill="1" applyAlignment="1">
      <alignment horizontal="center"/>
    </xf>
    <xf numFmtId="21" fontId="12" fillId="16" borderId="0" xfId="0" applyNumberFormat="1" applyFont="1" applyFill="1" applyAlignment="1">
      <alignment horizontal="center"/>
    </xf>
    <xf numFmtId="21" fontId="12" fillId="8" borderId="0" xfId="0" applyNumberFormat="1" applyFont="1" applyFill="1" applyAlignment="1">
      <alignment horizontal="center"/>
    </xf>
    <xf numFmtId="0" fontId="40" fillId="2" borderId="0" xfId="0" applyFont="1" applyFill="1"/>
    <xf numFmtId="0" fontId="41" fillId="12" borderId="0" xfId="0" applyFont="1" applyFill="1" applyAlignment="1">
      <alignment horizontal="center"/>
    </xf>
    <xf numFmtId="0" fontId="23" fillId="12" borderId="0" xfId="0" applyFont="1" applyFill="1" applyAlignment="1">
      <alignment horizontal="center"/>
    </xf>
    <xf numFmtId="0" fontId="27" fillId="12" borderId="0" xfId="0" applyFont="1" applyFill="1"/>
    <xf numFmtId="0" fontId="13" fillId="20" borderId="0" xfId="0" applyFont="1" applyFill="1" applyAlignment="1">
      <alignment horizontal="center"/>
    </xf>
    <xf numFmtId="0" fontId="45" fillId="12" borderId="0" xfId="0" applyFont="1" applyFill="1" applyAlignment="1">
      <alignment horizontal="center"/>
    </xf>
    <xf numFmtId="0" fontId="47" fillId="12" borderId="0" xfId="0" applyFont="1" applyFill="1" applyAlignment="1">
      <alignment horizontal="center"/>
    </xf>
    <xf numFmtId="0" fontId="13" fillId="21" borderId="0" xfId="0" applyFont="1" applyFill="1" applyAlignment="1">
      <alignment horizontal="center"/>
    </xf>
    <xf numFmtId="0" fontId="48" fillId="20" borderId="0" xfId="0" applyFont="1" applyFill="1" applyAlignment="1">
      <alignment horizontal="center"/>
    </xf>
    <xf numFmtId="0" fontId="25" fillId="12" borderId="0" xfId="0" applyFont="1" applyFill="1" applyAlignment="1">
      <alignment horizontal="center"/>
    </xf>
    <xf numFmtId="168" fontId="27" fillId="12" borderId="0" xfId="0" applyNumberFormat="1" applyFont="1" applyFill="1" applyAlignment="1">
      <alignment horizontal="center"/>
    </xf>
    <xf numFmtId="3" fontId="16" fillId="0" borderId="21" xfId="0" applyNumberFormat="1" applyFont="1" applyFill="1" applyBorder="1" applyAlignment="1">
      <alignment vertical="top"/>
    </xf>
    <xf numFmtId="10" fontId="16" fillId="0" borderId="22" xfId="0" applyNumberFormat="1" applyFont="1" applyFill="1" applyBorder="1" applyAlignment="1">
      <alignment vertical="top"/>
    </xf>
    <xf numFmtId="3" fontId="16" fillId="0" borderId="23" xfId="0" applyNumberFormat="1" applyFont="1" applyFill="1" applyBorder="1" applyAlignment="1">
      <alignment vertical="top"/>
    </xf>
    <xf numFmtId="10" fontId="16" fillId="0" borderId="24" xfId="0" applyNumberFormat="1" applyFont="1" applyFill="1" applyBorder="1" applyAlignment="1">
      <alignment vertical="top"/>
    </xf>
    <xf numFmtId="0" fontId="13" fillId="10" borderId="0" xfId="0" applyFont="1" applyFill="1" applyAlignment="1">
      <alignment horizontal="center"/>
    </xf>
    <xf numFmtId="170" fontId="41" fillId="10" borderId="0" xfId="0" applyNumberFormat="1" applyFont="1" applyFill="1" applyAlignment="1">
      <alignment horizontal="center"/>
    </xf>
    <xf numFmtId="0" fontId="13" fillId="14" borderId="0" xfId="0" applyFont="1" applyFill="1" applyAlignment="1">
      <alignment horizontal="center"/>
    </xf>
    <xf numFmtId="0" fontId="45" fillId="16" borderId="0" xfId="0" applyFont="1" applyFill="1" applyAlignment="1">
      <alignment horizontal="center"/>
    </xf>
    <xf numFmtId="0" fontId="12" fillId="14" borderId="0" xfId="0" applyFont="1" applyFill="1" applyAlignment="1">
      <alignment horizontal="center"/>
    </xf>
    <xf numFmtId="0" fontId="12" fillId="23" borderId="0" xfId="0" applyFont="1" applyFill="1" applyAlignment="1">
      <alignment horizontal="center"/>
    </xf>
    <xf numFmtId="0" fontId="49" fillId="4" borderId="0" xfId="0" applyFont="1" applyFill="1" applyAlignment="1">
      <alignment horizontal="center"/>
    </xf>
    <xf numFmtId="0" fontId="41" fillId="13" borderId="0" xfId="0" applyFont="1" applyFill="1" applyAlignment="1">
      <alignment horizontal="center"/>
    </xf>
    <xf numFmtId="0" fontId="12" fillId="20" borderId="0" xfId="0" applyFont="1" applyFill="1" applyAlignment="1">
      <alignment horizontal="center"/>
    </xf>
    <xf numFmtId="0" fontId="0" fillId="0" borderId="0" xfId="0" applyAlignment="1">
      <alignment horizontal="left" indent="1"/>
    </xf>
    <xf numFmtId="0" fontId="24" fillId="24" borderId="0" xfId="0" applyFont="1" applyFill="1"/>
    <xf numFmtId="0" fontId="41" fillId="14" borderId="0" xfId="0" applyFont="1" applyFill="1"/>
    <xf numFmtId="0" fontId="51" fillId="3" borderId="0" xfId="0" applyFont="1" applyFill="1" applyAlignment="1">
      <alignment horizontal="center"/>
    </xf>
    <xf numFmtId="0" fontId="52" fillId="10" borderId="0" xfId="0" applyFont="1" applyFill="1" applyAlignment="1">
      <alignment horizontal="center"/>
    </xf>
    <xf numFmtId="0" fontId="43" fillId="3" borderId="0" xfId="0" applyFont="1" applyFill="1" applyAlignment="1">
      <alignment horizontal="center"/>
    </xf>
    <xf numFmtId="0" fontId="8" fillId="20" borderId="0" xfId="0" applyFont="1" applyFill="1" applyAlignment="1">
      <alignment horizontal="center"/>
    </xf>
    <xf numFmtId="0" fontId="53" fillId="2" borderId="0" xfId="0" applyFont="1" applyFill="1" applyAlignment="1">
      <alignment horizontal="center"/>
    </xf>
    <xf numFmtId="0" fontId="12" fillId="10" borderId="0" xfId="0" applyFont="1" applyFill="1" applyAlignment="1">
      <alignment horizontal="center"/>
    </xf>
    <xf numFmtId="0" fontId="49" fillId="2" borderId="0" xfId="0" applyFont="1" applyFill="1" applyAlignment="1">
      <alignment horizontal="center"/>
    </xf>
    <xf numFmtId="0" fontId="25" fillId="19" borderId="0" xfId="0" applyFont="1" applyFill="1" applyAlignment="1">
      <alignment horizontal="center"/>
    </xf>
    <xf numFmtId="2" fontId="0" fillId="0" borderId="0" xfId="0" applyNumberFormat="1"/>
    <xf numFmtId="11" fontId="0" fillId="0" borderId="0" xfId="0" applyNumberFormat="1"/>
    <xf numFmtId="0" fontId="45" fillId="14" borderId="0" xfId="0" applyFont="1" applyFill="1" applyAlignment="1">
      <alignment horizontal="center"/>
    </xf>
    <xf numFmtId="0" fontId="4" fillId="2" borderId="0" xfId="0" applyFont="1" applyFill="1" applyAlignment="1">
      <alignment horizontal="center"/>
    </xf>
    <xf numFmtId="0" fontId="13" fillId="12" borderId="0" xfId="0" applyFont="1" applyFill="1" applyAlignment="1">
      <alignment horizontal="center" vertical="center"/>
    </xf>
    <xf numFmtId="168" fontId="25" fillId="12" borderId="0" xfId="0" applyNumberFormat="1" applyFont="1" applyFill="1" applyAlignment="1">
      <alignment horizontal="center" wrapText="1"/>
    </xf>
    <xf numFmtId="164" fontId="0" fillId="0" borderId="0" xfId="0" applyNumberFormat="1"/>
    <xf numFmtId="49" fontId="0" fillId="0" borderId="0" xfId="0" applyNumberFormat="1"/>
    <xf numFmtId="0" fontId="4" fillId="6" borderId="0" xfId="0" applyFont="1" applyFill="1"/>
    <xf numFmtId="21" fontId="4" fillId="2" borderId="0" xfId="0" applyNumberFormat="1" applyFont="1" applyFill="1" applyAlignment="1">
      <alignment horizontal="center"/>
    </xf>
    <xf numFmtId="0" fontId="13" fillId="21" borderId="0" xfId="0" applyFont="1" applyFill="1" applyAlignment="1">
      <alignment horizontal="center" vertical="center"/>
    </xf>
    <xf numFmtId="1" fontId="13" fillId="8" borderId="0" xfId="0" applyNumberFormat="1" applyFont="1" applyFill="1" applyAlignment="1">
      <alignment horizontal="center"/>
    </xf>
    <xf numFmtId="1" fontId="13" fillId="13" borderId="0" xfId="0" applyNumberFormat="1" applyFont="1" applyFill="1" applyAlignment="1">
      <alignment horizontal="center"/>
    </xf>
    <xf numFmtId="0" fontId="54" fillId="2" borderId="0" xfId="0" applyFont="1" applyFill="1"/>
    <xf numFmtId="168" fontId="12" fillId="25" borderId="0" xfId="0" applyNumberFormat="1" applyFont="1" applyFill="1" applyAlignment="1">
      <alignment horizontal="center"/>
    </xf>
    <xf numFmtId="168" fontId="12" fillId="26" borderId="0" xfId="0" applyNumberFormat="1" applyFont="1" applyFill="1" applyAlignment="1">
      <alignment horizontal="center"/>
    </xf>
    <xf numFmtId="168" fontId="27" fillId="16" borderId="0" xfId="0" applyNumberFormat="1" applyFont="1" applyFill="1" applyAlignment="1">
      <alignment horizontal="center"/>
    </xf>
    <xf numFmtId="170" fontId="54" fillId="22" borderId="0" xfId="0" applyNumberFormat="1" applyFont="1" applyFill="1" applyAlignment="1">
      <alignment horizontal="center"/>
    </xf>
    <xf numFmtId="3" fontId="0" fillId="0" borderId="0" xfId="0" applyNumberFormat="1"/>
    <xf numFmtId="168" fontId="39" fillId="27" borderId="0" xfId="0" applyNumberFormat="1" applyFont="1" applyFill="1"/>
    <xf numFmtId="168" fontId="39" fillId="27" borderId="0" xfId="0" applyNumberFormat="1" applyFont="1" applyFill="1" applyAlignment="1">
      <alignment horizontal="center"/>
    </xf>
    <xf numFmtId="0" fontId="4" fillId="26" borderId="0" xfId="0" applyFont="1" applyFill="1" applyAlignment="1">
      <alignment horizontal="center"/>
    </xf>
    <xf numFmtId="0" fontId="43" fillId="3" borderId="5" xfId="0" applyFont="1" applyFill="1" applyBorder="1" applyAlignment="1">
      <alignment horizontal="center"/>
    </xf>
    <xf numFmtId="0" fontId="0" fillId="0" borderId="0" xfId="0" applyAlignment="1"/>
    <xf numFmtId="0" fontId="12" fillId="13" borderId="0" xfId="0" applyFont="1" applyFill="1" applyAlignment="1">
      <alignment horizontal="center" vertical="center"/>
    </xf>
    <xf numFmtId="0" fontId="41" fillId="20" borderId="0" xfId="0" applyFont="1" applyFill="1" applyAlignment="1">
      <alignment horizontal="center"/>
    </xf>
    <xf numFmtId="168" fontId="41" fillId="26" borderId="0" xfId="0" applyNumberFormat="1" applyFont="1" applyFill="1" applyAlignment="1">
      <alignment horizontal="center"/>
    </xf>
    <xf numFmtId="0" fontId="55" fillId="2" borderId="0" xfId="0" applyFont="1" applyFill="1" applyAlignment="1">
      <alignment horizontal="center" vertical="center"/>
    </xf>
    <xf numFmtId="0" fontId="18" fillId="0" borderId="0" xfId="0" applyFont="1" applyAlignment="1">
      <alignment vertical="top" wrapText="1"/>
    </xf>
    <xf numFmtId="0" fontId="12" fillId="13" borderId="0" xfId="0" applyFont="1" applyFill="1" applyAlignment="1">
      <alignment horizontal="center" vertical="center"/>
    </xf>
    <xf numFmtId="0" fontId="56" fillId="13" borderId="0" xfId="0" applyFont="1" applyFill="1" applyAlignment="1">
      <alignment horizontal="center"/>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autoTitleDeleted val="1"/>
    <c:plotArea>
      <c:layout/>
      <c:scatterChart>
        <c:scatterStyle val="smoothMarker"/>
        <c:ser>
          <c:idx val="0"/>
          <c:order val="0"/>
          <c:tx>
            <c:strRef>
              <c:f>EQT!$R$10</c:f>
              <c:strCache>
                <c:ptCount val="1"/>
                <c:pt idx="0">
                  <c:v>EQT</c:v>
                </c:pt>
              </c:strCache>
            </c:strRef>
          </c:tx>
          <c:marker>
            <c:symbol val="none"/>
          </c:marker>
          <c:xVal>
            <c:numRef>
              <c:f>EQT!$Q$11:$Q$375</c:f>
              <c:numCache>
                <c:formatCode>General</c:formatCode>
                <c:ptCount val="36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numCache>
            </c:numRef>
          </c:xVal>
          <c:yVal>
            <c:numRef>
              <c:f>EQT!$R$11:$R$375</c:f>
              <c:numCache>
                <c:formatCode>General</c:formatCode>
                <c:ptCount val="365"/>
                <c:pt idx="0">
                  <c:v>-3.7051783233960691</c:v>
                </c:pt>
                <c:pt idx="1">
                  <c:v>-4.1497100853534521</c:v>
                </c:pt>
                <c:pt idx="2">
                  <c:v>-4.589420830658165</c:v>
                </c:pt>
                <c:pt idx="3">
                  <c:v>-5.02390686534617</c:v>
                </c:pt>
                <c:pt idx="4">
                  <c:v>-5.4527706241631178</c:v>
                </c:pt>
                <c:pt idx="5">
                  <c:v>-5.8756211069737718</c:v>
                </c:pt>
                <c:pt idx="6">
                  <c:v>-6.2920743074197025</c:v>
                </c:pt>
                <c:pt idx="7">
                  <c:v>-6.7017536333273355</c:v>
                </c:pt>
                <c:pt idx="8">
                  <c:v>-7.1042903183785402</c:v>
                </c:pt>
                <c:pt idx="9">
                  <c:v>-7.4993238245659928</c:v>
                </c:pt>
                <c:pt idx="10">
                  <c:v>-7.8865022349666223</c:v>
                </c:pt>
                <c:pt idx="11">
                  <c:v>-8.2654826363779055</c:v>
                </c:pt>
                <c:pt idx="12">
                  <c:v>-8.6359314913736256</c:v>
                </c:pt>
                <c:pt idx="13">
                  <c:v>-8.9975249993484212</c:v>
                </c:pt>
                <c:pt idx="14">
                  <c:v>-9.3499494461332571</c:v>
                </c:pt>
                <c:pt idx="15">
                  <c:v>-9.6929015417777062</c:v>
                </c:pt>
                <c:pt idx="16">
                  <c:v>-10.026088746108654</c:v>
                </c:pt>
                <c:pt idx="17">
                  <c:v>-10.349229581689698</c:v>
                </c:pt>
                <c:pt idx="18">
                  <c:v>-10.662053933820344</c:v>
                </c:pt>
                <c:pt idx="19">
                  <c:v>-10.9643033372293</c:v>
                </c:pt>
                <c:pt idx="20">
                  <c:v>-11.255731249132124</c:v>
                </c:pt>
                <c:pt idx="21">
                  <c:v>-11.536103308339323</c:v>
                </c:pt>
                <c:pt idx="22">
                  <c:v>-11.805197580117738</c:v>
                </c:pt>
                <c:pt idx="23">
                  <c:v>-12.062804786524666</c:v>
                </c:pt>
                <c:pt idx="24">
                  <c:v>-12.308728521951446</c:v>
                </c:pt>
                <c:pt idx="25">
                  <c:v>-12.542785453630707</c:v>
                </c:pt>
                <c:pt idx="26">
                  <c:v>-12.764805506879149</c:v>
                </c:pt>
                <c:pt idx="27">
                  <c:v>-12.974632034865843</c:v>
                </c:pt>
                <c:pt idx="28">
                  <c:v>-13.172121972714217</c:v>
                </c:pt>
                <c:pt idx="29">
                  <c:v>-13.357145975764517</c:v>
                </c:pt>
                <c:pt idx="30">
                  <c:v>-13.529588541842061</c:v>
                </c:pt>
                <c:pt idx="31">
                  <c:v>-13.689348117395625</c:v>
                </c:pt>
                <c:pt idx="32">
                  <c:v>-13.836337187389249</c:v>
                </c:pt>
                <c:pt idx="33">
                  <c:v>-13.970482348849993</c:v>
                </c:pt>
                <c:pt idx="34">
                  <c:v>-14.091724367993352</c:v>
                </c:pt>
                <c:pt idx="35">
                  <c:v>-14.200018220867548</c:v>
                </c:pt>
                <c:pt idx="36">
                  <c:v>-14.295333117477217</c:v>
                </c:pt>
                <c:pt idx="37">
                  <c:v>-14.37765250936663</c:v>
                </c:pt>
                <c:pt idx="38">
                  <c:v>-14.446974080661976</c:v>
                </c:pt>
                <c:pt idx="39">
                  <c:v>-14.503309722591807</c:v>
                </c:pt>
                <c:pt idx="40">
                  <c:v>-14.546685491524224</c:v>
                </c:pt>
                <c:pt idx="41">
                  <c:v>-14.577141550578773</c:v>
                </c:pt>
                <c:pt idx="42">
                  <c:v>-14.594732094890398</c:v>
                </c:pt>
                <c:pt idx="43">
                  <c:v>-14.599525260622107</c:v>
                </c:pt>
                <c:pt idx="44">
                  <c:v>-14.591603017842075</c:v>
                </c:pt>
                <c:pt idx="45">
                  <c:v>-14.571061047399978</c:v>
                </c:pt>
                <c:pt idx="46">
                  <c:v>-14.538008601956186</c:v>
                </c:pt>
                <c:pt idx="47">
                  <c:v>-14.492568351336082</c:v>
                </c:pt>
                <c:pt idx="48">
                  <c:v>-14.434876212400278</c:v>
                </c:pt>
                <c:pt idx="49">
                  <c:v>-14.365081163639648</c:v>
                </c:pt>
                <c:pt idx="50">
                  <c:v>-14.283345044722189</c:v>
                </c:pt>
                <c:pt idx="51">
                  <c:v>-14.189842341236304</c:v>
                </c:pt>
                <c:pt idx="52">
                  <c:v>-14.084759954892609</c:v>
                </c:pt>
                <c:pt idx="53">
                  <c:v>-13.968296959463448</c:v>
                </c:pt>
                <c:pt idx="54">
                  <c:v>-13.840664342755995</c:v>
                </c:pt>
                <c:pt idx="55">
                  <c:v>-13.702084734931393</c:v>
                </c:pt>
                <c:pt idx="56">
                  <c:v>-13.55279212349825</c:v>
                </c:pt>
                <c:pt idx="57">
                  <c:v>-13.393031555324576</c:v>
                </c:pt>
                <c:pt idx="58">
                  <c:v>-13.223058826027486</c:v>
                </c:pt>
                <c:pt idx="59">
                  <c:v>-13.043140157114735</c:v>
                </c:pt>
                <c:pt idx="60">
                  <c:v>-12.85355186126662</c:v>
                </c:pt>
                <c:pt idx="61">
                  <c:v>-12.654579996160596</c:v>
                </c:pt>
                <c:pt idx="62">
                  <c:v>-12.446520007254474</c:v>
                </c:pt>
                <c:pt idx="63">
                  <c:v>-12.229676359956938</c:v>
                </c:pt>
                <c:pt idx="64">
                  <c:v>-12.004362161626561</c:v>
                </c:pt>
                <c:pt idx="65">
                  <c:v>-11.770898773852434</c:v>
                </c:pt>
                <c:pt idx="66">
                  <c:v>-11.52961541548083</c:v>
                </c:pt>
                <c:pt idx="67">
                  <c:v>-11.280848756863184</c:v>
                </c:pt>
                <c:pt idx="68">
                  <c:v>-11.024942505810897</c:v>
                </c:pt>
                <c:pt idx="69">
                  <c:v>-10.762246985752121</c:v>
                </c:pt>
                <c:pt idx="70">
                  <c:v>-10.493118706594819</c:v>
                </c:pt>
                <c:pt idx="71">
                  <c:v>-10.217919928808794</c:v>
                </c:pt>
                <c:pt idx="72">
                  <c:v>-9.9370182212473619</c:v>
                </c:pt>
                <c:pt idx="73">
                  <c:v>-9.6507860132364822</c:v>
                </c:pt>
                <c:pt idx="74">
                  <c:v>-9.359600141465874</c:v>
                </c:pt>
                <c:pt idx="75">
                  <c:v>-9.0638413922226118</c:v>
                </c:pt>
                <c:pt idx="76">
                  <c:v>-8.7638940395130334</c:v>
                </c:pt>
                <c:pt idx="77">
                  <c:v>-8.4601453796235262</c:v>
                </c:pt>
                <c:pt idx="78">
                  <c:v>-8.1529852626747559</c:v>
                </c:pt>
                <c:pt idx="79">
                  <c:v>-7.8428056217273934</c:v>
                </c:pt>
                <c:pt idx="80">
                  <c:v>-7.53</c:v>
                </c:pt>
                <c:pt idx="81">
                  <c:v>-7.2149630767618973</c:v>
                </c:pt>
                <c:pt idx="82">
                  <c:v>-6.8980901924651992</c:v>
                </c:pt>
                <c:pt idx="83">
                  <c:v>-6.579776873680923</c:v>
                </c:pt>
                <c:pt idx="84">
                  <c:v>-6.2604183584041468</c:v>
                </c:pt>
                <c:pt idx="85">
                  <c:v>-5.940409122292583</c:v>
                </c:pt>
                <c:pt idx="86">
                  <c:v>-5.6201424064016345</c:v>
                </c:pt>
                <c:pt idx="87">
                  <c:v>-5.3000097469770866</c:v>
                </c:pt>
                <c:pt idx="88">
                  <c:v>-4.980400507863914</c:v>
                </c:pt>
                <c:pt idx="89">
                  <c:v>-4.6617014160864922</c:v>
                </c:pt>
                <c:pt idx="90">
                  <c:v>-4.344296101151456</c:v>
                </c:pt>
                <c:pt idx="91">
                  <c:v>-4.0285646386199678</c:v>
                </c:pt>
                <c:pt idx="92">
                  <c:v>-3.7148830984908483</c:v>
                </c:pt>
                <c:pt idx="93">
                  <c:v>-3.4036230989301703</c:v>
                </c:pt>
                <c:pt idx="94">
                  <c:v>-3.0951513658764052</c:v>
                </c:pt>
                <c:pt idx="95">
                  <c:v>-2.7898292990430456</c:v>
                </c:pt>
                <c:pt idx="96">
                  <c:v>-2.4880125448329173</c:v>
                </c:pt>
                <c:pt idx="97">
                  <c:v>-2.1900505766699547</c:v>
                </c:pt>
                <c:pt idx="98">
                  <c:v>-1.8962862832453116</c:v>
                </c:pt>
                <c:pt idx="99">
                  <c:v>-1.6070555651651</c:v>
                </c:pt>
                <c:pt idx="100">
                  <c:v>-1.322686940476858</c:v>
                </c:pt>
                <c:pt idx="101">
                  <c:v>-1.043501159541278</c:v>
                </c:pt>
                <c:pt idx="102">
                  <c:v>-0.76981082970431913</c:v>
                </c:pt>
                <c:pt idx="103">
                  <c:v>-0.50192005021316666</c:v>
                </c:pt>
                <c:pt idx="104">
                  <c:v>-0.24012405780709578</c:v>
                </c:pt>
                <c:pt idx="105">
                  <c:v>1.5291116598477705E-2</c:v>
                </c:pt>
                <c:pt idx="106">
                  <c:v>0.26404897972981911</c:v>
                </c:pt>
                <c:pt idx="107">
                  <c:v>0.50588289588343516</c:v>
                </c:pt>
                <c:pt idx="108">
                  <c:v>0.74053639458849196</c:v>
                </c:pt>
                <c:pt idx="109">
                  <c:v>0.96776346564092752</c:v>
                </c:pt>
                <c:pt idx="110">
                  <c:v>1.1873288411622274</c:v>
                </c:pt>
                <c:pt idx="111">
                  <c:v>1.3990082643513926</c:v>
                </c:pt>
                <c:pt idx="112">
                  <c:v>1.6025887446145586</c:v>
                </c:pt>
                <c:pt idx="113">
                  <c:v>1.7978687987730522</c:v>
                </c:pt>
                <c:pt idx="114">
                  <c:v>1.9846586780673228</c:v>
                </c:pt>
                <c:pt idx="115">
                  <c:v>2.1627805806912122</c:v>
                </c:pt>
                <c:pt idx="116">
                  <c:v>2.3320688496083162</c:v>
                </c:pt>
                <c:pt idx="117">
                  <c:v>2.4923701554198172</c:v>
                </c:pt>
                <c:pt idx="118">
                  <c:v>2.6435436640710588</c:v>
                </c:pt>
                <c:pt idx="119">
                  <c:v>2.7854611892022048</c:v>
                </c:pt>
                <c:pt idx="120">
                  <c:v>2.9180073289668109</c:v>
                </c:pt>
                <c:pt idx="121">
                  <c:v>3.0410795871605392</c:v>
                </c:pt>
                <c:pt idx="122">
                  <c:v>3.154588478521172</c:v>
                </c:pt>
                <c:pt idx="123">
                  <c:v>3.2584576180798459</c:v>
                </c:pt>
                <c:pt idx="124">
                  <c:v>3.3526237944626183</c:v>
                </c:pt>
                <c:pt idx="125">
                  <c:v>3.4370370270605548</c:v>
                </c:pt>
                <c:pt idx="126">
                  <c:v>3.5116606070058491</c:v>
                </c:pt>
                <c:pt idx="127">
                  <c:v>3.5764711219108341</c:v>
                </c:pt>
                <c:pt idx="128">
                  <c:v>3.6314584643461112</c:v>
                </c:pt>
                <c:pt idx="129">
                  <c:v>3.6766258240534677</c:v>
                </c:pt>
                <c:pt idx="130">
                  <c:v>3.7119896639086489</c:v>
                </c:pt>
                <c:pt idx="131">
                  <c:v>3.7375796796685155</c:v>
                </c:pt>
                <c:pt idx="132">
                  <c:v>3.7534387435564067</c:v>
                </c:pt>
                <c:pt idx="133">
                  <c:v>3.7596228317588531</c:v>
                </c:pt>
                <c:pt idx="134">
                  <c:v>3.7562009359260493</c:v>
                </c:pt>
                <c:pt idx="135">
                  <c:v>3.7432549587874782</c:v>
                </c:pt>
                <c:pt idx="136">
                  <c:v>3.7208795940131294</c:v>
                </c:pt>
                <c:pt idx="137">
                  <c:v>3.6891821904695723</c:v>
                </c:pt>
                <c:pt idx="138">
                  <c:v>3.6482826010386571</c:v>
                </c:pt>
                <c:pt idx="139">
                  <c:v>3.5983130161851964</c:v>
                </c:pt>
                <c:pt idx="140">
                  <c:v>3.539417782478063</c:v>
                </c:pt>
                <c:pt idx="141">
                  <c:v>3.4717532062871586</c:v>
                </c:pt>
                <c:pt idx="142">
                  <c:v>3.3954873428963941</c:v>
                </c:pt>
                <c:pt idx="143">
                  <c:v>3.3107997712901853</c:v>
                </c:pt>
                <c:pt idx="144">
                  <c:v>3.2178813548881493</c:v>
                </c:pt>
                <c:pt idx="145">
                  <c:v>3.1169339885193827</c:v>
                </c:pt>
                <c:pt idx="146">
                  <c:v>3.0081703319441471</c:v>
                </c:pt>
                <c:pt idx="147">
                  <c:v>2.8918135302468606</c:v>
                </c:pt>
                <c:pt idx="148">
                  <c:v>2.7680969214399593</c:v>
                </c:pt>
                <c:pt idx="149">
                  <c:v>2.6372637316334417</c:v>
                </c:pt>
                <c:pt idx="150">
                  <c:v>2.4995667581397525</c:v>
                </c:pt>
                <c:pt idx="151">
                  <c:v>2.3552680408980873</c:v>
                </c:pt>
                <c:pt idx="152">
                  <c:v>2.2046385226161185</c:v>
                </c:pt>
                <c:pt idx="153">
                  <c:v>2.0479576980406256</c:v>
                </c:pt>
                <c:pt idx="154">
                  <c:v>1.8855132527814726</c:v>
                </c:pt>
                <c:pt idx="155">
                  <c:v>1.7176006921258908</c:v>
                </c:pt>
                <c:pt idx="156">
                  <c:v>1.544522960291931</c:v>
                </c:pt>
                <c:pt idx="157">
                  <c:v>1.3665900505813791</c:v>
                </c:pt>
                <c:pt idx="158">
                  <c:v>1.1841186069033436</c:v>
                </c:pt>
                <c:pt idx="159">
                  <c:v>0.99743151714994216</c:v>
                </c:pt>
                <c:pt idx="160">
                  <c:v>0.80685749891536918</c:v>
                </c:pt>
                <c:pt idx="161">
                  <c:v>0.61273067805864945</c:v>
                </c:pt>
                <c:pt idx="162">
                  <c:v>0.41539016061902712</c:v>
                </c:pt>
                <c:pt idx="163">
                  <c:v>0.21517959860090219</c:v>
                </c:pt>
                <c:pt idx="164">
                  <c:v>1.2446750152415254E-2</c:v>
                </c:pt>
                <c:pt idx="165">
                  <c:v>-0.19245696533128553</c:v>
                </c:pt>
                <c:pt idx="166">
                  <c:v>-0.39917691664320798</c:v>
                </c:pt>
                <c:pt idx="167">
                  <c:v>-0.60735571419559153</c:v>
                </c:pt>
                <c:pt idx="168">
                  <c:v>-0.81663366689976269</c:v>
                </c:pt>
                <c:pt idx="169">
                  <c:v>-1.0266492419433164</c:v>
                </c:pt>
                <c:pt idx="170">
                  <c:v>-1.2370395269098728</c:v>
                </c:pt>
                <c:pt idx="171">
                  <c:v>-1.4474406936836473</c:v>
                </c:pt>
                <c:pt idx="172">
                  <c:v>-1.6574884635790899</c:v>
                </c:pt>
                <c:pt idx="173">
                  <c:v>-1.8668185731341924</c:v>
                </c:pt>
                <c:pt idx="174">
                  <c:v>-2.0750672400053958</c:v>
                </c:pt>
                <c:pt idx="175">
                  <c:v>-2.2818716284017082</c:v>
                </c:pt>
                <c:pt idx="176">
                  <c:v>-2.486870313496329</c:v>
                </c:pt>
                <c:pt idx="177">
                  <c:v>-2.6897037442551217</c:v>
                </c:pt>
                <c:pt idx="178">
                  <c:v>-2.890014704123141</c:v>
                </c:pt>
                <c:pt idx="179">
                  <c:v>-3.0874487690131183</c:v>
                </c:pt>
                <c:pt idx="180">
                  <c:v>-3.2816547620426206</c:v>
                </c:pt>
                <c:pt idx="181">
                  <c:v>-3.4722852044709001</c:v>
                </c:pt>
                <c:pt idx="182">
                  <c:v>-3.6589967622904442</c:v>
                </c:pt>
                <c:pt idx="183">
                  <c:v>-3.8414506879338801</c:v>
                </c:pt>
                <c:pt idx="184">
                  <c:v>-4.0193132565621621</c:v>
                </c:pt>
                <c:pt idx="185">
                  <c:v>-4.1922561964068965</c:v>
                </c:pt>
                <c:pt idx="186">
                  <c:v>-4.3599571126461765</c:v>
                </c:pt>
                <c:pt idx="187">
                  <c:v>-4.5220999043015162</c:v>
                </c:pt>
                <c:pt idx="188">
                  <c:v>-4.6783751736512107</c:v>
                </c:pt>
                <c:pt idx="189">
                  <c:v>-4.828480627664776</c:v>
                </c:pt>
                <c:pt idx="190">
                  <c:v>-4.9721214709722732</c:v>
                </c:pt>
                <c:pt idx="191">
                  <c:v>-5.1090107898925687</c:v>
                </c:pt>
                <c:pt idx="192">
                  <c:v>-5.238869927055064</c:v>
                </c:pt>
                <c:pt idx="193">
                  <c:v>-5.3614288461606812</c:v>
                </c:pt>
                <c:pt idx="194">
                  <c:v>-5.4764264864395393</c:v>
                </c:pt>
                <c:pt idx="195">
                  <c:v>-5.5836111063750762</c:v>
                </c:pt>
                <c:pt idx="196">
                  <c:v>-5.6827406162769751</c:v>
                </c:pt>
                <c:pt idx="197">
                  <c:v>-5.7735828992987148</c:v>
                </c:pt>
                <c:pt idx="198">
                  <c:v>-5.8559161205090398</c:v>
                </c:pt>
                <c:pt idx="199">
                  <c:v>-5.9295290236410851</c:v>
                </c:pt>
                <c:pt idx="200">
                  <c:v>-5.9942212151573599</c:v>
                </c:pt>
                <c:pt idx="201">
                  <c:v>-6.0498034352839554</c:v>
                </c:pt>
                <c:pt idx="202">
                  <c:v>-6.0960978156828229</c:v>
                </c:pt>
                <c:pt idx="203">
                  <c:v>-6.1329381234468041</c:v>
                </c:pt>
                <c:pt idx="204">
                  <c:v>-6.1601699911184564</c:v>
                </c:pt>
                <c:pt idx="205">
                  <c:v>-6.1776511324502339</c:v>
                </c:pt>
                <c:pt idx="206">
                  <c:v>-6.1852515436405824</c:v>
                </c:pt>
                <c:pt idx="207">
                  <c:v>-6.1828536897978186</c:v>
                </c:pt>
                <c:pt idx="208">
                  <c:v>-6.1703526764011691</c:v>
                </c:pt>
                <c:pt idx="209">
                  <c:v>-6.147656405546237</c:v>
                </c:pt>
                <c:pt idx="210">
                  <c:v>-6.1146857167802535</c:v>
                </c:pt>
                <c:pt idx="211">
                  <c:v>-6.071374512350812</c:v>
                </c:pt>
                <c:pt idx="212">
                  <c:v>-6.0176698667103059</c:v>
                </c:pt>
                <c:pt idx="213">
                  <c:v>-5.9535321201371012</c:v>
                </c:pt>
                <c:pt idx="214">
                  <c:v>-5.878934956353266</c:v>
                </c:pt>
                <c:pt idx="215">
                  <c:v>-5.7938654640378333</c:v>
                </c:pt>
                <c:pt idx="216">
                  <c:v>-5.6983241821537112</c:v>
                </c:pt>
                <c:pt idx="217">
                  <c:v>-5.592325129025582</c:v>
                </c:pt>
                <c:pt idx="218">
                  <c:v>-5.4758958151255683</c:v>
                </c:pt>
                <c:pt idx="219">
                  <c:v>-5.3490772395427681</c:v>
                </c:pt>
                <c:pt idx="220">
                  <c:v>-5.2119238701322583</c:v>
                </c:pt>
                <c:pt idx="221">
                  <c:v>-5.0645036073585183</c:v>
                </c:pt>
                <c:pt idx="222">
                  <c:v>-4.9068977318677991</c:v>
                </c:pt>
                <c:pt idx="223">
                  <c:v>-4.739200835843171</c:v>
                </c:pt>
                <c:pt idx="224">
                  <c:v>-4.561520738215509</c:v>
                </c:pt>
                <c:pt idx="225">
                  <c:v>-4.3739783838226636</c:v>
                </c:pt>
                <c:pt idx="226">
                  <c:v>-4.1767077266285231</c:v>
                </c:pt>
                <c:pt idx="227">
                  <c:v>-3.9698555971323568</c:v>
                </c:pt>
                <c:pt idx="228">
                  <c:v>-3.7535815541179254</c:v>
                </c:pt>
                <c:pt idx="229">
                  <c:v>-3.5280577209103852</c:v>
                </c:pt>
                <c:pt idx="230">
                  <c:v>-3.2934686063275223</c:v>
                </c:pt>
                <c:pt idx="231">
                  <c:v>-3.0500109105302213</c:v>
                </c:pt>
                <c:pt idx="232">
                  <c:v>-2.7978933159948465</c:v>
                </c:pt>
                <c:pt idx="233">
                  <c:v>-2.5373362638483004</c:v>
                </c:pt>
                <c:pt idx="234">
                  <c:v>-2.2685717158237404</c:v>
                </c:pt>
                <c:pt idx="235">
                  <c:v>-1.9918429021122266</c:v>
                </c:pt>
                <c:pt idx="236">
                  <c:v>-1.7074040554023546</c:v>
                </c:pt>
                <c:pt idx="237">
                  <c:v>-1.415520131416578</c:v>
                </c:pt>
                <c:pt idx="238">
                  <c:v>-1.116466516268853</c:v>
                </c:pt>
                <c:pt idx="239">
                  <c:v>-0.81052872098421758</c:v>
                </c:pt>
                <c:pt idx="240">
                  <c:v>-0.49800206353601495</c:v>
                </c:pt>
                <c:pt idx="241">
                  <c:v>-0.17919133877174764</c:v>
                </c:pt>
                <c:pt idx="242">
                  <c:v>0.14558952338732856</c:v>
                </c:pt>
                <c:pt idx="243">
                  <c:v>0.47601781107335028</c:v>
                </c:pt>
                <c:pt idx="244">
                  <c:v>0.81176239451299836</c:v>
                </c:pt>
                <c:pt idx="245">
                  <c:v>1.1524841005564963</c:v>
                </c:pt>
                <c:pt idx="246">
                  <c:v>1.4978360972560227</c:v>
                </c:pt>
                <c:pt idx="247">
                  <c:v>1.8474642880427679</c:v>
                </c:pt>
                <c:pt idx="248">
                  <c:v>2.2010077150405363</c:v>
                </c:pt>
                <c:pt idx="249">
                  <c:v>2.5580989710426913</c:v>
                </c:pt>
                <c:pt idx="250">
                  <c:v>2.9183646196689059</c:v>
                </c:pt>
                <c:pt idx="251">
                  <c:v>3.2814256232083103</c:v>
                </c:pt>
                <c:pt idx="252">
                  <c:v>3.6468977776461458</c:v>
                </c:pt>
                <c:pt idx="253">
                  <c:v>4.0143921543627679</c:v>
                </c:pt>
                <c:pt idx="254">
                  <c:v>4.3835155479854278</c:v>
                </c:pt>
                <c:pt idx="255">
                  <c:v>4.7538709298660056</c:v>
                </c:pt>
                <c:pt idx="256">
                  <c:v>5.1250579066507616</c:v>
                </c:pt>
                <c:pt idx="257">
                  <c:v>5.4966731834023639</c:v>
                </c:pt>
                <c:pt idx="258">
                  <c:v>5.8683110307287061</c:v>
                </c:pt>
                <c:pt idx="259">
                  <c:v>6.2395637553677856</c:v>
                </c:pt>
                <c:pt idx="260">
                  <c:v>6.6100221736743974</c:v>
                </c:pt>
                <c:pt idx="261">
                  <c:v>6.9792760874499224</c:v>
                </c:pt>
                <c:pt idx="262">
                  <c:v>7.3469147615543529</c:v>
                </c:pt>
                <c:pt idx="263">
                  <c:v>7.7125274027365931</c:v>
                </c:pt>
                <c:pt idx="264">
                  <c:v>8.0757036391183625</c:v>
                </c:pt>
                <c:pt idx="265">
                  <c:v>8.4360339997651721</c:v>
                </c:pt>
                <c:pt idx="266">
                  <c:v>8.7931103937783917</c:v>
                </c:pt>
                <c:pt idx="267">
                  <c:v>9.1465265883420059</c:v>
                </c:pt>
                <c:pt idx="268">
                  <c:v>9.4958786851596191</c:v>
                </c:pt>
                <c:pt idx="269">
                  <c:v>9.8407655947180661</c:v>
                </c:pt>
                <c:pt idx="270">
                  <c:v>10.180789507817288</c:v>
                </c:pt>
                <c:pt idx="271">
                  <c:v>10.515556363808276</c:v>
                </c:pt>
                <c:pt idx="272">
                  <c:v>10.844676314985575</c:v>
                </c:pt>
                <c:pt idx="273">
                  <c:v>11.167764186584405</c:v>
                </c:pt>
                <c:pt idx="274">
                  <c:v>11.484439931837855</c:v>
                </c:pt>
                <c:pt idx="275">
                  <c:v>11.794329081555436</c:v>
                </c:pt>
                <c:pt idx="276">
                  <c:v>12.097063187690221</c:v>
                </c:pt>
                <c:pt idx="277">
                  <c:v>12.392280260369008</c:v>
                </c:pt>
                <c:pt idx="278">
                  <c:v>12.679625197867345</c:v>
                </c:pt>
                <c:pt idx="279">
                  <c:v>12.958750209019716</c:v>
                </c:pt>
                <c:pt idx="280">
                  <c:v>13.229315227563628</c:v>
                </c:pt>
                <c:pt idx="281">
                  <c:v>13.49098831792595</c:v>
                </c:pt>
                <c:pt idx="282">
                  <c:v>13.743446071969679</c:v>
                </c:pt>
                <c:pt idx="283">
                  <c:v>13.986373996230075</c:v>
                </c:pt>
                <c:pt idx="284">
                  <c:v>14.2194668891799</c:v>
                </c:pt>
                <c:pt idx="285">
                  <c:v>14.442429208075392</c:v>
                </c:pt>
                <c:pt idx="286">
                  <c:v>14.654975424946494</c:v>
                </c:pt>
                <c:pt idx="287">
                  <c:v>14.856830371308005</c:v>
                </c:pt>
                <c:pt idx="288">
                  <c:v>15.047729571181014</c:v>
                </c:pt>
                <c:pt idx="289">
                  <c:v>15.227419562027912</c:v>
                </c:pt>
                <c:pt idx="290">
                  <c:v>15.395658203218458</c:v>
                </c:pt>
                <c:pt idx="291">
                  <c:v>15.552214971658897</c:v>
                </c:pt>
                <c:pt idx="292">
                  <c:v>15.69687124423117</c:v>
                </c:pt>
                <c:pt idx="293">
                  <c:v>15.829420566704727</c:v>
                </c:pt>
                <c:pt idx="294">
                  <c:v>15.949668908799335</c:v>
                </c:pt>
                <c:pt idx="295">
                  <c:v>16.057434905093558</c:v>
                </c:pt>
                <c:pt idx="296">
                  <c:v>16.152550081490059</c:v>
                </c:pt>
                <c:pt idx="297">
                  <c:v>16.234859066965946</c:v>
                </c:pt>
                <c:pt idx="298">
                  <c:v>16.304219790353635</c:v>
                </c:pt>
                <c:pt idx="299">
                  <c:v>16.360503661915228</c:v>
                </c:pt>
                <c:pt idx="300">
                  <c:v>16.403595739491319</c:v>
                </c:pt>
                <c:pt idx="301">
                  <c:v>16.433394879023222</c:v>
                </c:pt>
                <c:pt idx="302">
                  <c:v>16.449813869265995</c:v>
                </c:pt>
                <c:pt idx="303">
                  <c:v>16.452779550528192</c:v>
                </c:pt>
                <c:pt idx="304">
                  <c:v>16.442232917293087</c:v>
                </c:pt>
                <c:pt idx="305">
                  <c:v>16.418129204594955</c:v>
                </c:pt>
                <c:pt idx="306">
                  <c:v>16.380437958043267</c:v>
                </c:pt>
                <c:pt idx="307">
                  <c:v>16.32914308740672</c:v>
                </c:pt>
                <c:pt idx="308">
                  <c:v>16.264242903688348</c:v>
                </c:pt>
                <c:pt idx="309">
                  <c:v>16.185750139642611</c:v>
                </c:pt>
                <c:pt idx="310">
                  <c:v>16.093691953704472</c:v>
                </c:pt>
                <c:pt idx="311">
                  <c:v>15.988109917320296</c:v>
                </c:pt>
                <c:pt idx="312">
                  <c:v>15.86905998568972</c:v>
                </c:pt>
                <c:pt idx="313">
                  <c:v>15.736612451947337</c:v>
                </c:pt>
                <c:pt idx="314">
                  <c:v>15.590851884832293</c:v>
                </c:pt>
                <c:pt idx="315">
                  <c:v>15.431877049913563</c:v>
                </c:pt>
                <c:pt idx="316">
                  <c:v>15.259800814457909</c:v>
                </c:pt>
                <c:pt idx="317">
                  <c:v>15.074750036046659</c:v>
                </c:pt>
                <c:pt idx="318">
                  <c:v>14.876865435066838</c:v>
                </c:pt>
                <c:pt idx="319">
                  <c:v>14.66630145122086</c:v>
                </c:pt>
                <c:pt idx="320">
                  <c:v>14.443226084218118</c:v>
                </c:pt>
                <c:pt idx="321">
                  <c:v>14.207820718830007</c:v>
                </c:pt>
                <c:pt idx="322">
                  <c:v>13.960279934508883</c:v>
                </c:pt>
                <c:pt idx="323">
                  <c:v>13.700811299788931</c:v>
                </c:pt>
                <c:pt idx="324">
                  <c:v>13.429635151705593</c:v>
                </c:pt>
                <c:pt idx="325">
                  <c:v>13.146984360487135</c:v>
                </c:pt>
                <c:pt idx="326">
                  <c:v>12.853104079789782</c:v>
                </c:pt>
                <c:pt idx="327">
                  <c:v>12.548251482764519</c:v>
                </c:pt>
                <c:pt idx="328">
                  <c:v>12.232695484260729</c:v>
                </c:pt>
                <c:pt idx="329">
                  <c:v>11.906716449487536</c:v>
                </c:pt>
                <c:pt idx="330">
                  <c:v>11.570605889470382</c:v>
                </c:pt>
                <c:pt idx="331">
                  <c:v>11.224666143655435</c:v>
                </c:pt>
                <c:pt idx="332">
                  <c:v>10.869210050029556</c:v>
                </c:pt>
                <c:pt idx="333">
                  <c:v>10.504560603138582</c:v>
                </c:pt>
                <c:pt idx="334">
                  <c:v>10.131050600400469</c:v>
                </c:pt>
                <c:pt idx="335">
                  <c:v>9.7490222771242099</c:v>
                </c:pt>
                <c:pt idx="336">
                  <c:v>9.3588269306579406</c:v>
                </c:pt>
                <c:pt idx="337">
                  <c:v>8.9608245341031481</c:v>
                </c:pt>
                <c:pt idx="338">
                  <c:v>8.5553833400438766</c:v>
                </c:pt>
                <c:pt idx="339">
                  <c:v>8.1428794747515632</c:v>
                </c:pt>
                <c:pt idx="340">
                  <c:v>7.7236965233372619</c:v>
                </c:pt>
                <c:pt idx="341">
                  <c:v>7.2982251063339669</c:v>
                </c:pt>
                <c:pt idx="342">
                  <c:v>6.8668624482012479</c:v>
                </c:pt>
                <c:pt idx="343">
                  <c:v>6.4300119382551255</c:v>
                </c:pt>
                <c:pt idx="344">
                  <c:v>5.9880826845328228</c:v>
                </c:pt>
                <c:pt idx="345">
                  <c:v>5.5414890611131149</c:v>
                </c:pt>
                <c:pt idx="346">
                  <c:v>5.0906502494181209</c:v>
                </c:pt>
                <c:pt idx="347">
                  <c:v>4.63598977403141</c:v>
                </c:pt>
                <c:pt idx="348">
                  <c:v>4.1779350335721839</c:v>
                </c:pt>
                <c:pt idx="349">
                  <c:v>3.7169168271725299</c:v>
                </c:pt>
                <c:pt idx="350">
                  <c:v>3.2533688771084108</c:v>
                </c:pt>
                <c:pt idx="351">
                  <c:v>2.7877273481412321</c:v>
                </c:pt>
                <c:pt idx="352">
                  <c:v>2.3204303641286352</c:v>
                </c:pt>
                <c:pt idx="353">
                  <c:v>1.851917522468745</c:v>
                </c:pt>
                <c:pt idx="354">
                  <c:v>1.3826294069422209</c:v>
                </c:pt>
                <c:pt idx="355">
                  <c:v>0.91300709952039061</c:v>
                </c:pt>
                <c:pt idx="356">
                  <c:v>0.4434916917071845</c:v>
                </c:pt>
                <c:pt idx="357">
                  <c:v>-2.5476204015291604E-2</c:v>
                </c:pt>
                <c:pt idx="358">
                  <c:v>-0.49345694206945923</c:v>
                </c:pt>
                <c:pt idx="359">
                  <c:v>-0.96001233042425937</c:v>
                </c:pt>
                <c:pt idx="360">
                  <c:v>-1.4247061154310068</c:v>
                </c:pt>
                <c:pt idx="361">
                  <c:v>-1.8871044642874448</c:v>
                </c:pt>
                <c:pt idx="362">
                  <c:v>-2.3467764445695645</c:v>
                </c:pt>
                <c:pt idx="363">
                  <c:v>-2.8032945002722132</c:v>
                </c:pt>
                <c:pt idx="364">
                  <c:v>-3.2562349238053434</c:v>
                </c:pt>
              </c:numCache>
            </c:numRef>
          </c:yVal>
          <c:smooth val="1"/>
        </c:ser>
        <c:axId val="106494592"/>
        <c:axId val="107959424"/>
      </c:scatterChart>
      <c:valAx>
        <c:axId val="106494592"/>
        <c:scaling>
          <c:orientation val="minMax"/>
        </c:scaling>
        <c:axPos val="b"/>
        <c:majorGridlines/>
        <c:minorGridlines/>
        <c:title>
          <c:tx>
            <c:rich>
              <a:bodyPr/>
              <a:lstStyle/>
              <a:p>
                <a:pPr>
                  <a:defRPr lang="en-US"/>
                </a:pPr>
                <a:r>
                  <a:rPr lang="en-GB"/>
                  <a:t>Days</a:t>
                </a:r>
                <a:r>
                  <a:rPr lang="en-GB" baseline="0"/>
                  <a:t> passed after 1-January</a:t>
                </a:r>
                <a:endParaRPr lang="en-GB"/>
              </a:p>
            </c:rich>
          </c:tx>
        </c:title>
        <c:numFmt formatCode="General" sourceLinked="1"/>
        <c:tickLblPos val="nextTo"/>
        <c:txPr>
          <a:bodyPr/>
          <a:lstStyle/>
          <a:p>
            <a:pPr>
              <a:defRPr lang="en-US"/>
            </a:pPr>
            <a:endParaRPr lang="en-US"/>
          </a:p>
        </c:txPr>
        <c:crossAx val="107959424"/>
        <c:crosses val="autoZero"/>
        <c:crossBetween val="midCat"/>
        <c:majorUnit val="30"/>
        <c:minorUnit val="10"/>
      </c:valAx>
      <c:valAx>
        <c:axId val="107959424"/>
        <c:scaling>
          <c:orientation val="minMax"/>
        </c:scaling>
        <c:axPos val="l"/>
        <c:majorGridlines/>
        <c:minorGridlines/>
        <c:title>
          <c:tx>
            <c:rich>
              <a:bodyPr/>
              <a:lstStyle/>
              <a:p>
                <a:pPr>
                  <a:defRPr lang="en-US"/>
                </a:pPr>
                <a:r>
                  <a:rPr lang="en-GB"/>
                  <a:t>Time (minutes)</a:t>
                </a:r>
              </a:p>
            </c:rich>
          </c:tx>
        </c:title>
        <c:numFmt formatCode="General" sourceLinked="1"/>
        <c:tickLblPos val="nextTo"/>
        <c:txPr>
          <a:bodyPr/>
          <a:lstStyle/>
          <a:p>
            <a:pPr>
              <a:defRPr lang="en-US"/>
            </a:pPr>
            <a:endParaRPr lang="en-US"/>
          </a:p>
        </c:txPr>
        <c:crossAx val="106494592"/>
        <c:crosses val="autoZero"/>
        <c:crossBetween val="midCat"/>
      </c:valAx>
    </c:plotArea>
    <c:legend>
      <c:legendPos val="r"/>
      <c:txPr>
        <a:bodyPr/>
        <a:lstStyle/>
        <a:p>
          <a:pPr>
            <a:defRPr lang="en-US"/>
          </a:pPr>
          <a:endParaRPr lang="en-US"/>
        </a:p>
      </c:txPr>
    </c:legend>
    <c:plotVisOnly val="1"/>
  </c:chart>
  <c:printSettings>
    <c:headerFooter/>
    <c:pageMargins b="0.75000000000001321" l="0.70000000000000062" r="0.70000000000000062" t="0.75000000000001321"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gi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gi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gi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_rels/drawing3.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22.emf"/></Relationships>
</file>

<file path=xl/drawings/_rels/drawing5.xml.rels><?xml version="1.0" encoding="UTF-8" standalone="yes"?>
<Relationships xmlns="http://schemas.openxmlformats.org/package/2006/relationships"><Relationship Id="rId8" Type="http://schemas.openxmlformats.org/officeDocument/2006/relationships/image" Target="../media/image30.emf"/><Relationship Id="rId3" Type="http://schemas.openxmlformats.org/officeDocument/2006/relationships/image" Target="../media/image25.emf"/><Relationship Id="rId7" Type="http://schemas.openxmlformats.org/officeDocument/2006/relationships/image" Target="../media/image29.emf"/><Relationship Id="rId2" Type="http://schemas.openxmlformats.org/officeDocument/2006/relationships/image" Target="../media/image24.emf"/><Relationship Id="rId1" Type="http://schemas.openxmlformats.org/officeDocument/2006/relationships/image" Target="../media/image23.emf"/><Relationship Id="rId6" Type="http://schemas.openxmlformats.org/officeDocument/2006/relationships/image" Target="../media/image28.emf"/><Relationship Id="rId5" Type="http://schemas.openxmlformats.org/officeDocument/2006/relationships/image" Target="../media/image27.emf"/><Relationship Id="rId4" Type="http://schemas.openxmlformats.org/officeDocument/2006/relationships/image" Target="../media/image26.emf"/><Relationship Id="rId9" Type="http://schemas.openxmlformats.org/officeDocument/2006/relationships/image" Target="../media/image31.emf"/></Relationships>
</file>

<file path=xl/drawings/_rels/drawing6.xml.rels><?xml version="1.0" encoding="UTF-8" standalone="yes"?>
<Relationships xmlns="http://schemas.openxmlformats.org/package/2006/relationships"><Relationship Id="rId2" Type="http://schemas.openxmlformats.org/officeDocument/2006/relationships/image" Target="../media/image33.emf"/><Relationship Id="rId1" Type="http://schemas.openxmlformats.org/officeDocument/2006/relationships/image" Target="../media/image32.emf"/></Relationships>
</file>

<file path=xl/drawings/_rels/drawing7.xml.rels><?xml version="1.0" encoding="UTF-8" standalone="yes"?>
<Relationships xmlns="http://schemas.openxmlformats.org/package/2006/relationships"><Relationship Id="rId8" Type="http://schemas.openxmlformats.org/officeDocument/2006/relationships/image" Target="../media/image18.gif"/><Relationship Id="rId13" Type="http://schemas.openxmlformats.org/officeDocument/2006/relationships/image" Target="../media/image38.emf"/><Relationship Id="rId3" Type="http://schemas.openxmlformats.org/officeDocument/2006/relationships/image" Target="../media/image7.emf"/><Relationship Id="rId7" Type="http://schemas.openxmlformats.org/officeDocument/2006/relationships/image" Target="../media/image17.gif"/><Relationship Id="rId12" Type="http://schemas.openxmlformats.org/officeDocument/2006/relationships/image" Target="../media/image37.emf"/><Relationship Id="rId2" Type="http://schemas.openxmlformats.org/officeDocument/2006/relationships/image" Target="../media/image6.emf"/><Relationship Id="rId1" Type="http://schemas.openxmlformats.org/officeDocument/2006/relationships/image" Target="../media/image5.emf"/><Relationship Id="rId6" Type="http://schemas.openxmlformats.org/officeDocument/2006/relationships/image" Target="../media/image15.gif"/><Relationship Id="rId11" Type="http://schemas.openxmlformats.org/officeDocument/2006/relationships/image" Target="../media/image36.emf"/><Relationship Id="rId5" Type="http://schemas.openxmlformats.org/officeDocument/2006/relationships/image" Target="../media/image10.emf"/><Relationship Id="rId15" Type="http://schemas.openxmlformats.org/officeDocument/2006/relationships/image" Target="../media/image11.emf"/><Relationship Id="rId10" Type="http://schemas.openxmlformats.org/officeDocument/2006/relationships/image" Target="../media/image35.emf"/><Relationship Id="rId4" Type="http://schemas.openxmlformats.org/officeDocument/2006/relationships/image" Target="../media/image8.emf"/><Relationship Id="rId9" Type="http://schemas.openxmlformats.org/officeDocument/2006/relationships/image" Target="../media/image34.emf"/><Relationship Id="rId14" Type="http://schemas.openxmlformats.org/officeDocument/2006/relationships/image" Target="../media/image39.emf"/></Relationships>
</file>

<file path=xl/drawings/_rels/drawing8.xml.rels><?xml version="1.0" encoding="UTF-8" standalone="yes"?>
<Relationships xmlns="http://schemas.openxmlformats.org/package/2006/relationships"><Relationship Id="rId8" Type="http://schemas.openxmlformats.org/officeDocument/2006/relationships/image" Target="../media/image17.gif"/><Relationship Id="rId3" Type="http://schemas.openxmlformats.org/officeDocument/2006/relationships/image" Target="../media/image7.emf"/><Relationship Id="rId7" Type="http://schemas.openxmlformats.org/officeDocument/2006/relationships/image" Target="../media/image15.gif"/><Relationship Id="rId2" Type="http://schemas.openxmlformats.org/officeDocument/2006/relationships/image" Target="../media/image6.emf"/><Relationship Id="rId1" Type="http://schemas.openxmlformats.org/officeDocument/2006/relationships/image" Target="../media/image5.emf"/><Relationship Id="rId6" Type="http://schemas.openxmlformats.org/officeDocument/2006/relationships/image" Target="../media/image11.emf"/><Relationship Id="rId5" Type="http://schemas.openxmlformats.org/officeDocument/2006/relationships/image" Target="../media/image10.emf"/><Relationship Id="rId4" Type="http://schemas.openxmlformats.org/officeDocument/2006/relationships/image" Target="../media/image8.emf"/><Relationship Id="rId9" Type="http://schemas.openxmlformats.org/officeDocument/2006/relationships/image" Target="../media/image18.gif"/></Relationships>
</file>

<file path=xl/drawings/_rels/drawing9.xml.rels><?xml version="1.0" encoding="UTF-8" standalone="yes"?>
<Relationships xmlns="http://schemas.openxmlformats.org/package/2006/relationships"><Relationship Id="rId8" Type="http://schemas.openxmlformats.org/officeDocument/2006/relationships/image" Target="../media/image47.emf"/><Relationship Id="rId3" Type="http://schemas.openxmlformats.org/officeDocument/2006/relationships/image" Target="../media/image42.emf"/><Relationship Id="rId7" Type="http://schemas.openxmlformats.org/officeDocument/2006/relationships/image" Target="../media/image46.emf"/><Relationship Id="rId12" Type="http://schemas.openxmlformats.org/officeDocument/2006/relationships/image" Target="../media/image51.emf"/><Relationship Id="rId2" Type="http://schemas.openxmlformats.org/officeDocument/2006/relationships/image" Target="../media/image41.emf"/><Relationship Id="rId1" Type="http://schemas.openxmlformats.org/officeDocument/2006/relationships/image" Target="../media/image40.emf"/><Relationship Id="rId6" Type="http://schemas.openxmlformats.org/officeDocument/2006/relationships/image" Target="../media/image45.emf"/><Relationship Id="rId11" Type="http://schemas.openxmlformats.org/officeDocument/2006/relationships/image" Target="../media/image50.emf"/><Relationship Id="rId5" Type="http://schemas.openxmlformats.org/officeDocument/2006/relationships/image" Target="../media/image44.emf"/><Relationship Id="rId10" Type="http://schemas.openxmlformats.org/officeDocument/2006/relationships/image" Target="../media/image49.emf"/><Relationship Id="rId4" Type="http://schemas.openxmlformats.org/officeDocument/2006/relationships/image" Target="../media/image43.emf"/><Relationship Id="rId9" Type="http://schemas.openxmlformats.org/officeDocument/2006/relationships/image" Target="../media/image48.emf"/></Relationships>
</file>

<file path=xl/drawings/_rels/drawing10.xml.rels><?xml version="1.0" encoding="UTF-8" standalone="yes"?>
<Relationships xmlns="http://schemas.openxmlformats.org/package/2006/relationships"><Relationship Id="rId8" Type="http://schemas.openxmlformats.org/officeDocument/2006/relationships/image" Target="../media/image46.emf"/><Relationship Id="rId3" Type="http://schemas.openxmlformats.org/officeDocument/2006/relationships/image" Target="../media/image42.emf"/><Relationship Id="rId7" Type="http://schemas.openxmlformats.org/officeDocument/2006/relationships/image" Target="../media/image45.emf"/><Relationship Id="rId2" Type="http://schemas.openxmlformats.org/officeDocument/2006/relationships/image" Target="../media/image41.emf"/><Relationship Id="rId1" Type="http://schemas.openxmlformats.org/officeDocument/2006/relationships/image" Target="../media/image40.emf"/><Relationship Id="rId6" Type="http://schemas.openxmlformats.org/officeDocument/2006/relationships/image" Target="../media/image44.emf"/><Relationship Id="rId5" Type="http://schemas.openxmlformats.org/officeDocument/2006/relationships/image" Target="../media/image52.emf"/><Relationship Id="rId10" Type="http://schemas.openxmlformats.org/officeDocument/2006/relationships/image" Target="../media/image48.emf"/><Relationship Id="rId4" Type="http://schemas.openxmlformats.org/officeDocument/2006/relationships/image" Target="../media/image43.emf"/><Relationship Id="rId9" Type="http://schemas.openxmlformats.org/officeDocument/2006/relationships/image" Target="../media/image47.emf"/></Relationships>
</file>

<file path=xl/drawings/_rels/drawing11.xml.rels><?xml version="1.0" encoding="UTF-8" standalone="yes"?>
<Relationships xmlns="http://schemas.openxmlformats.org/package/2006/relationships"><Relationship Id="rId8" Type="http://schemas.openxmlformats.org/officeDocument/2006/relationships/image" Target="../media/image46.emf"/><Relationship Id="rId3" Type="http://schemas.openxmlformats.org/officeDocument/2006/relationships/image" Target="../media/image42.emf"/><Relationship Id="rId7" Type="http://schemas.openxmlformats.org/officeDocument/2006/relationships/image" Target="../media/image45.emf"/><Relationship Id="rId2" Type="http://schemas.openxmlformats.org/officeDocument/2006/relationships/image" Target="../media/image41.emf"/><Relationship Id="rId1" Type="http://schemas.openxmlformats.org/officeDocument/2006/relationships/image" Target="../media/image40.emf"/><Relationship Id="rId6" Type="http://schemas.openxmlformats.org/officeDocument/2006/relationships/image" Target="../media/image44.emf"/><Relationship Id="rId5" Type="http://schemas.openxmlformats.org/officeDocument/2006/relationships/image" Target="../media/image52.emf"/><Relationship Id="rId10" Type="http://schemas.openxmlformats.org/officeDocument/2006/relationships/image" Target="../media/image48.emf"/><Relationship Id="rId4" Type="http://schemas.openxmlformats.org/officeDocument/2006/relationships/image" Target="../media/image43.emf"/><Relationship Id="rId9" Type="http://schemas.openxmlformats.org/officeDocument/2006/relationships/image" Target="../media/image47.emf"/></Relationships>
</file>

<file path=xl/drawings/_rels/drawing12.xml.rels><?xml version="1.0" encoding="UTF-8" standalone="yes"?>
<Relationships xmlns="http://schemas.openxmlformats.org/package/2006/relationships"><Relationship Id="rId8" Type="http://schemas.openxmlformats.org/officeDocument/2006/relationships/image" Target="../media/image46.emf"/><Relationship Id="rId3" Type="http://schemas.openxmlformats.org/officeDocument/2006/relationships/image" Target="../media/image42.emf"/><Relationship Id="rId7" Type="http://schemas.openxmlformats.org/officeDocument/2006/relationships/image" Target="../media/image45.emf"/><Relationship Id="rId2" Type="http://schemas.openxmlformats.org/officeDocument/2006/relationships/image" Target="../media/image41.emf"/><Relationship Id="rId1" Type="http://schemas.openxmlformats.org/officeDocument/2006/relationships/image" Target="../media/image40.emf"/><Relationship Id="rId6" Type="http://schemas.openxmlformats.org/officeDocument/2006/relationships/image" Target="../media/image44.emf"/><Relationship Id="rId5" Type="http://schemas.openxmlformats.org/officeDocument/2006/relationships/image" Target="../media/image52.emf"/><Relationship Id="rId10" Type="http://schemas.openxmlformats.org/officeDocument/2006/relationships/image" Target="../media/image48.emf"/><Relationship Id="rId4" Type="http://schemas.openxmlformats.org/officeDocument/2006/relationships/image" Target="../media/image43.emf"/><Relationship Id="rId9" Type="http://schemas.openxmlformats.org/officeDocument/2006/relationships/image" Target="../media/image47.emf"/></Relationships>
</file>

<file path=xl/drawings/_rels/drawing13.xml.rels><?xml version="1.0" encoding="UTF-8" standalone="yes"?>
<Relationships xmlns="http://schemas.openxmlformats.org/package/2006/relationships"><Relationship Id="rId8" Type="http://schemas.openxmlformats.org/officeDocument/2006/relationships/image" Target="../media/image46.emf"/><Relationship Id="rId3" Type="http://schemas.openxmlformats.org/officeDocument/2006/relationships/image" Target="../media/image42.emf"/><Relationship Id="rId7" Type="http://schemas.openxmlformats.org/officeDocument/2006/relationships/image" Target="../media/image45.emf"/><Relationship Id="rId2" Type="http://schemas.openxmlformats.org/officeDocument/2006/relationships/image" Target="../media/image41.emf"/><Relationship Id="rId1" Type="http://schemas.openxmlformats.org/officeDocument/2006/relationships/image" Target="../media/image40.emf"/><Relationship Id="rId6" Type="http://schemas.openxmlformats.org/officeDocument/2006/relationships/image" Target="../media/image44.emf"/><Relationship Id="rId5" Type="http://schemas.openxmlformats.org/officeDocument/2006/relationships/image" Target="../media/image52.emf"/><Relationship Id="rId10" Type="http://schemas.openxmlformats.org/officeDocument/2006/relationships/image" Target="../media/image48.emf"/><Relationship Id="rId4" Type="http://schemas.openxmlformats.org/officeDocument/2006/relationships/image" Target="../media/image43.emf"/><Relationship Id="rId9" Type="http://schemas.openxmlformats.org/officeDocument/2006/relationships/image" Target="../media/image47.emf"/></Relationships>
</file>

<file path=xl/drawings/_rels/drawing14.xml.rels><?xml version="1.0" encoding="UTF-8" standalone="yes"?>
<Relationships xmlns="http://schemas.openxmlformats.org/package/2006/relationships"><Relationship Id="rId1" Type="http://schemas.openxmlformats.org/officeDocument/2006/relationships/image" Target="../media/image53.emf"/></Relationships>
</file>

<file path=xl/drawings/_rels/drawing15.xml.rels><?xml version="1.0" encoding="UTF-8" standalone="yes"?>
<Relationships xmlns="http://schemas.openxmlformats.org/package/2006/relationships"><Relationship Id="rId2" Type="http://schemas.openxmlformats.org/officeDocument/2006/relationships/image" Target="NULL"/><Relationship Id="rId1" Type="http://schemas.openxmlformats.org/officeDocument/2006/relationships/image" Target="NULL"/></Relationships>
</file>

<file path=xl/drawings/_rels/drawing16.xml.rels><?xml version="1.0" encoding="UTF-8" standalone="yes"?>
<Relationships xmlns="http://schemas.openxmlformats.org/package/2006/relationships"><Relationship Id="rId2" Type="http://schemas.openxmlformats.org/officeDocument/2006/relationships/image" Target="../media/image55.emf"/><Relationship Id="rId1" Type="http://schemas.openxmlformats.org/officeDocument/2006/relationships/image" Target="../media/image54.emf"/></Relationships>
</file>

<file path=xl/drawings/_rels/drawing17.xml.rels><?xml version="1.0" encoding="UTF-8" standalone="yes"?>
<Relationships xmlns="http://schemas.openxmlformats.org/package/2006/relationships"><Relationship Id="rId2" Type="http://schemas.openxmlformats.org/officeDocument/2006/relationships/image" Target="../media/image57.emf"/><Relationship Id="rId1" Type="http://schemas.openxmlformats.org/officeDocument/2006/relationships/image" Target="../media/image56.emf"/></Relationships>
</file>

<file path=xl/drawings/_rels/drawing18.xml.rels><?xml version="1.0" encoding="UTF-8" standalone="yes"?>
<Relationships xmlns="http://schemas.openxmlformats.org/package/2006/relationships"><Relationship Id="rId8" Type="http://schemas.openxmlformats.org/officeDocument/2006/relationships/image" Target="../media/image58.emf"/><Relationship Id="rId3" Type="http://schemas.openxmlformats.org/officeDocument/2006/relationships/image" Target="../media/image25.emf"/><Relationship Id="rId7" Type="http://schemas.openxmlformats.org/officeDocument/2006/relationships/image" Target="../media/image30.emf"/><Relationship Id="rId12" Type="http://schemas.openxmlformats.org/officeDocument/2006/relationships/image" Target="../media/image62.emf"/><Relationship Id="rId2" Type="http://schemas.openxmlformats.org/officeDocument/2006/relationships/image" Target="../media/image24.emf"/><Relationship Id="rId1" Type="http://schemas.openxmlformats.org/officeDocument/2006/relationships/image" Target="../media/image23.emf"/><Relationship Id="rId6" Type="http://schemas.openxmlformats.org/officeDocument/2006/relationships/image" Target="../media/image28.emf"/><Relationship Id="rId11" Type="http://schemas.openxmlformats.org/officeDocument/2006/relationships/image" Target="../media/image61.emf"/><Relationship Id="rId5" Type="http://schemas.openxmlformats.org/officeDocument/2006/relationships/image" Target="../media/image27.emf"/><Relationship Id="rId10" Type="http://schemas.openxmlformats.org/officeDocument/2006/relationships/image" Target="../media/image60.emf"/><Relationship Id="rId4" Type="http://schemas.openxmlformats.org/officeDocument/2006/relationships/image" Target="../media/image26.emf"/><Relationship Id="rId9" Type="http://schemas.openxmlformats.org/officeDocument/2006/relationships/image" Target="../media/image59.emf"/></Relationships>
</file>

<file path=xl/drawings/_rels/drawing19.xml.rels><?xml version="1.0" encoding="UTF-8" standalone="yes"?>
<Relationships xmlns="http://schemas.openxmlformats.org/package/2006/relationships"><Relationship Id="rId8" Type="http://schemas.openxmlformats.org/officeDocument/2006/relationships/image" Target="../media/image70.emf"/><Relationship Id="rId3" Type="http://schemas.openxmlformats.org/officeDocument/2006/relationships/image" Target="../media/image65.emf"/><Relationship Id="rId7" Type="http://schemas.openxmlformats.org/officeDocument/2006/relationships/image" Target="../media/image69.emf"/><Relationship Id="rId2" Type="http://schemas.openxmlformats.org/officeDocument/2006/relationships/image" Target="../media/image64.emf"/><Relationship Id="rId1" Type="http://schemas.openxmlformats.org/officeDocument/2006/relationships/image" Target="../media/image63.emf"/><Relationship Id="rId6" Type="http://schemas.openxmlformats.org/officeDocument/2006/relationships/image" Target="../media/image68.emf"/><Relationship Id="rId5" Type="http://schemas.openxmlformats.org/officeDocument/2006/relationships/image" Target="../media/image67.emf"/><Relationship Id="rId4" Type="http://schemas.openxmlformats.org/officeDocument/2006/relationships/image" Target="../media/image66.emf"/></Relationships>
</file>

<file path=xl/drawings/_rels/drawing20.xml.rels><?xml version="1.0" encoding="UTF-8" standalone="yes"?>
<Relationships xmlns="http://schemas.openxmlformats.org/package/2006/relationships"><Relationship Id="rId1" Type="http://schemas.openxmlformats.org/officeDocument/2006/relationships/image" Target="../media/image71.emf"/></Relationships>
</file>

<file path=xl/drawings/_rels/drawing21.xml.rels><?xml version="1.0" encoding="UTF-8" standalone="yes"?>
<Relationships xmlns="http://schemas.openxmlformats.org/package/2006/relationships"><Relationship Id="rId2" Type="http://schemas.openxmlformats.org/officeDocument/2006/relationships/image" Target="../media/image73.emf"/><Relationship Id="rId1" Type="http://schemas.openxmlformats.org/officeDocument/2006/relationships/image" Target="../media/image72.emf"/></Relationships>
</file>

<file path=xl/drawings/_rels/drawing22.xml.rels><?xml version="1.0" encoding="UTF-8" standalone="yes"?>
<Relationships xmlns="http://schemas.openxmlformats.org/package/2006/relationships"><Relationship Id="rId3" Type="http://schemas.openxmlformats.org/officeDocument/2006/relationships/image" Target="../media/image76.emf"/><Relationship Id="rId2" Type="http://schemas.openxmlformats.org/officeDocument/2006/relationships/image" Target="../media/image75.emf"/><Relationship Id="rId1" Type="http://schemas.openxmlformats.org/officeDocument/2006/relationships/image" Target="../media/image74.emf"/><Relationship Id="rId6" Type="http://schemas.openxmlformats.org/officeDocument/2006/relationships/image" Target="../media/image79.emf"/><Relationship Id="rId5" Type="http://schemas.openxmlformats.org/officeDocument/2006/relationships/image" Target="../media/image78.emf"/><Relationship Id="rId4" Type="http://schemas.openxmlformats.org/officeDocument/2006/relationships/image" Target="../media/image77.emf"/></Relationships>
</file>

<file path=xl/drawings/_rels/drawing23.xml.rels><?xml version="1.0" encoding="UTF-8" standalone="yes"?>
<Relationships xmlns="http://schemas.openxmlformats.org/package/2006/relationships"><Relationship Id="rId8" Type="http://schemas.openxmlformats.org/officeDocument/2006/relationships/image" Target="../media/image30.emf"/><Relationship Id="rId13" Type="http://schemas.openxmlformats.org/officeDocument/2006/relationships/image" Target="../media/image83.emf"/><Relationship Id="rId18" Type="http://schemas.openxmlformats.org/officeDocument/2006/relationships/image" Target="../media/image88.emf"/><Relationship Id="rId3" Type="http://schemas.openxmlformats.org/officeDocument/2006/relationships/image" Target="../media/image25.emf"/><Relationship Id="rId7" Type="http://schemas.openxmlformats.org/officeDocument/2006/relationships/image" Target="../media/image29.emf"/><Relationship Id="rId12" Type="http://schemas.openxmlformats.org/officeDocument/2006/relationships/image" Target="../media/image82.emf"/><Relationship Id="rId17" Type="http://schemas.openxmlformats.org/officeDocument/2006/relationships/image" Target="../media/image87.emf"/><Relationship Id="rId2" Type="http://schemas.openxmlformats.org/officeDocument/2006/relationships/image" Target="../media/image24.emf"/><Relationship Id="rId16" Type="http://schemas.openxmlformats.org/officeDocument/2006/relationships/image" Target="../media/image86.emf"/><Relationship Id="rId1" Type="http://schemas.openxmlformats.org/officeDocument/2006/relationships/image" Target="../media/image23.emf"/><Relationship Id="rId6" Type="http://schemas.openxmlformats.org/officeDocument/2006/relationships/image" Target="../media/image28.emf"/><Relationship Id="rId11" Type="http://schemas.openxmlformats.org/officeDocument/2006/relationships/image" Target="../media/image81.emf"/><Relationship Id="rId5" Type="http://schemas.openxmlformats.org/officeDocument/2006/relationships/image" Target="../media/image27.emf"/><Relationship Id="rId15" Type="http://schemas.openxmlformats.org/officeDocument/2006/relationships/image" Target="../media/image85.emf"/><Relationship Id="rId10" Type="http://schemas.openxmlformats.org/officeDocument/2006/relationships/image" Target="../media/image80.emf"/><Relationship Id="rId4" Type="http://schemas.openxmlformats.org/officeDocument/2006/relationships/image" Target="../media/image26.emf"/><Relationship Id="rId9" Type="http://schemas.openxmlformats.org/officeDocument/2006/relationships/image" Target="../media/image31.emf"/><Relationship Id="rId14" Type="http://schemas.openxmlformats.org/officeDocument/2006/relationships/image" Target="../media/image84.emf"/></Relationships>
</file>

<file path=xl/drawings/_rels/drawing24.xml.rels><?xml version="1.0" encoding="UTF-8" standalone="yes"?>
<Relationships xmlns="http://schemas.openxmlformats.org/package/2006/relationships"><Relationship Id="rId3" Type="http://schemas.openxmlformats.org/officeDocument/2006/relationships/image" Target="../media/image91.emf"/><Relationship Id="rId2" Type="http://schemas.openxmlformats.org/officeDocument/2006/relationships/image" Target="../media/image90.emf"/><Relationship Id="rId1" Type="http://schemas.openxmlformats.org/officeDocument/2006/relationships/image" Target="../media/image89.emf"/></Relationships>
</file>

<file path=xl/drawings/_rels/drawing25.xml.rels><?xml version="1.0" encoding="UTF-8" standalone="yes"?>
<Relationships xmlns="http://schemas.openxmlformats.org/package/2006/relationships"><Relationship Id="rId8" Type="http://schemas.openxmlformats.org/officeDocument/2006/relationships/image" Target="../media/image17.gif"/><Relationship Id="rId13" Type="http://schemas.openxmlformats.org/officeDocument/2006/relationships/image" Target="../media/image95.emf"/><Relationship Id="rId3" Type="http://schemas.openxmlformats.org/officeDocument/2006/relationships/image" Target="../media/image7.emf"/><Relationship Id="rId7" Type="http://schemas.openxmlformats.org/officeDocument/2006/relationships/image" Target="../media/image15.gif"/><Relationship Id="rId12" Type="http://schemas.openxmlformats.org/officeDocument/2006/relationships/image" Target="../media/image94.emf"/><Relationship Id="rId2" Type="http://schemas.openxmlformats.org/officeDocument/2006/relationships/image" Target="../media/image6.emf"/><Relationship Id="rId1" Type="http://schemas.openxmlformats.org/officeDocument/2006/relationships/image" Target="../media/image5.emf"/><Relationship Id="rId6" Type="http://schemas.openxmlformats.org/officeDocument/2006/relationships/image" Target="../media/image11.emf"/><Relationship Id="rId11" Type="http://schemas.openxmlformats.org/officeDocument/2006/relationships/image" Target="../media/image93.emf"/><Relationship Id="rId5" Type="http://schemas.openxmlformats.org/officeDocument/2006/relationships/image" Target="../media/image10.emf"/><Relationship Id="rId10" Type="http://schemas.openxmlformats.org/officeDocument/2006/relationships/image" Target="../media/image92.emf"/><Relationship Id="rId4" Type="http://schemas.openxmlformats.org/officeDocument/2006/relationships/image" Target="../media/image8.emf"/><Relationship Id="rId9" Type="http://schemas.openxmlformats.org/officeDocument/2006/relationships/image" Target="../media/image18.gif"/><Relationship Id="rId14" Type="http://schemas.openxmlformats.org/officeDocument/2006/relationships/image" Target="../media/image96.emf"/></Relationships>
</file>

<file path=xl/drawings/_rels/drawing26.xml.rels><?xml version="1.0" encoding="UTF-8" standalone="yes"?>
<Relationships xmlns="http://schemas.openxmlformats.org/package/2006/relationships"><Relationship Id="rId1" Type="http://schemas.openxmlformats.org/officeDocument/2006/relationships/image" Target="../media/image97.emf"/></Relationships>
</file>

<file path=xl/drawings/_rels/drawing27.xml.rels><?xml version="1.0" encoding="UTF-8" standalone="yes"?>
<Relationships xmlns="http://schemas.openxmlformats.org/package/2006/relationships"><Relationship Id="rId2" Type="http://schemas.openxmlformats.org/officeDocument/2006/relationships/image" Target="../media/image98.emf"/><Relationship Id="rId1" Type="http://schemas.openxmlformats.org/officeDocument/2006/relationships/image" Target="../media/image22.emf"/></Relationships>
</file>

<file path=xl/drawings/_rels/drawing28.xml.rels><?xml version="1.0" encoding="UTF-8" standalone="yes"?>
<Relationships xmlns="http://schemas.openxmlformats.org/package/2006/relationships"><Relationship Id="rId2" Type="http://schemas.openxmlformats.org/officeDocument/2006/relationships/image" Target="../media/image90.emf"/><Relationship Id="rId1" Type="http://schemas.openxmlformats.org/officeDocument/2006/relationships/image" Target="../media/image89.emf"/></Relationships>
</file>

<file path=xl/drawings/_rels/drawing29.xml.rels><?xml version="1.0" encoding="UTF-8" standalone="yes"?>
<Relationships xmlns="http://schemas.openxmlformats.org/package/2006/relationships"><Relationship Id="rId8" Type="http://schemas.openxmlformats.org/officeDocument/2006/relationships/image" Target="../media/image106.emf"/><Relationship Id="rId3" Type="http://schemas.openxmlformats.org/officeDocument/2006/relationships/image" Target="../media/image101.emf"/><Relationship Id="rId7" Type="http://schemas.openxmlformats.org/officeDocument/2006/relationships/image" Target="../media/image105.emf"/><Relationship Id="rId2" Type="http://schemas.openxmlformats.org/officeDocument/2006/relationships/image" Target="../media/image100.emf"/><Relationship Id="rId1" Type="http://schemas.openxmlformats.org/officeDocument/2006/relationships/image" Target="../media/image99.emf"/><Relationship Id="rId6" Type="http://schemas.openxmlformats.org/officeDocument/2006/relationships/image" Target="../media/image104.emf"/><Relationship Id="rId5" Type="http://schemas.openxmlformats.org/officeDocument/2006/relationships/image" Target="../media/image103.emf"/><Relationship Id="rId4" Type="http://schemas.openxmlformats.org/officeDocument/2006/relationships/image" Target="../media/image102.emf"/><Relationship Id="rId9" Type="http://schemas.openxmlformats.org/officeDocument/2006/relationships/image" Target="../media/image107.emf"/></Relationships>
</file>

<file path=xl/drawings/_rels/drawing30.xml.rels><?xml version="1.0" encoding="UTF-8" standalone="yes"?>
<Relationships xmlns="http://schemas.openxmlformats.org/package/2006/relationships"><Relationship Id="rId3" Type="http://schemas.openxmlformats.org/officeDocument/2006/relationships/image" Target="../media/image110.emf"/><Relationship Id="rId2" Type="http://schemas.openxmlformats.org/officeDocument/2006/relationships/image" Target="../media/image109.emf"/><Relationship Id="rId1" Type="http://schemas.openxmlformats.org/officeDocument/2006/relationships/image" Target="../media/image108.emf"/><Relationship Id="rId5" Type="http://schemas.openxmlformats.org/officeDocument/2006/relationships/image" Target="../media/image112.emf"/><Relationship Id="rId4" Type="http://schemas.openxmlformats.org/officeDocument/2006/relationships/image" Target="../media/image111.emf"/></Relationships>
</file>

<file path=xl/drawings/_rels/drawing31.xml.rels><?xml version="1.0" encoding="UTF-8" standalone="yes"?>
<Relationships xmlns="http://schemas.openxmlformats.org/package/2006/relationships"><Relationship Id="rId3" Type="http://schemas.openxmlformats.org/officeDocument/2006/relationships/image" Target="../media/image110.emf"/><Relationship Id="rId2" Type="http://schemas.openxmlformats.org/officeDocument/2006/relationships/image" Target="../media/image109.emf"/><Relationship Id="rId1" Type="http://schemas.openxmlformats.org/officeDocument/2006/relationships/image" Target="../media/image108.emf"/><Relationship Id="rId5" Type="http://schemas.openxmlformats.org/officeDocument/2006/relationships/image" Target="../media/image112.emf"/><Relationship Id="rId4" Type="http://schemas.openxmlformats.org/officeDocument/2006/relationships/image" Target="../media/image111.emf"/></Relationships>
</file>

<file path=xl/drawings/drawing1.xml><?xml version="1.0" encoding="utf-8"?>
<xdr:wsDr xmlns:xdr="http://schemas.openxmlformats.org/drawingml/2006/spreadsheetDrawing" xmlns:a="http://schemas.openxmlformats.org/drawingml/2006/main">
  <xdr:twoCellAnchor>
    <xdr:from>
      <xdr:col>18</xdr:col>
      <xdr:colOff>400049</xdr:colOff>
      <xdr:row>358</xdr:row>
      <xdr:rowOff>142874</xdr:rowOff>
    </xdr:from>
    <xdr:to>
      <xdr:col>33</xdr:col>
      <xdr:colOff>581024</xdr:colOff>
      <xdr:row>379</xdr:row>
      <xdr:rowOff>45720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494298</xdr:colOff>
      <xdr:row>8</xdr:row>
      <xdr:rowOff>20554</xdr:rowOff>
    </xdr:from>
    <xdr:to>
      <xdr:col>12</xdr:col>
      <xdr:colOff>791579</xdr:colOff>
      <xdr:row>31</xdr:row>
      <xdr:rowOff>76701</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966035" y="782554"/>
          <a:ext cx="4959518" cy="4457700"/>
        </a:xfrm>
        <a:prstGeom prst="rect">
          <a:avLst/>
        </a:prstGeom>
        <a:noFill/>
      </xdr:spPr>
    </xdr:pic>
    <xdr:clientData/>
  </xdr:twoCellAnchor>
  <xdr:twoCellAnchor editAs="oneCell">
    <xdr:from>
      <xdr:col>4</xdr:col>
      <xdr:colOff>142875</xdr:colOff>
      <xdr:row>9</xdr:row>
      <xdr:rowOff>66675</xdr:rowOff>
    </xdr:from>
    <xdr:to>
      <xdr:col>5</xdr:col>
      <xdr:colOff>544529</xdr:colOff>
      <xdr:row>11</xdr:row>
      <xdr:rowOff>152400</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2895600" y="1019175"/>
          <a:ext cx="1666875" cy="466725"/>
        </a:xfrm>
        <a:prstGeom prst="rect">
          <a:avLst/>
        </a:prstGeom>
        <a:noFill/>
      </xdr:spPr>
    </xdr:pic>
    <xdr:clientData/>
  </xdr:twoCellAnchor>
  <xdr:twoCellAnchor editAs="oneCell">
    <xdr:from>
      <xdr:col>10</xdr:col>
      <xdr:colOff>417095</xdr:colOff>
      <xdr:row>6</xdr:row>
      <xdr:rowOff>89735</xdr:rowOff>
    </xdr:from>
    <xdr:to>
      <xdr:col>15</xdr:col>
      <xdr:colOff>262489</xdr:colOff>
      <xdr:row>8</xdr:row>
      <xdr:rowOff>146384</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6432884" y="470735"/>
          <a:ext cx="4507631" cy="447675"/>
        </a:xfrm>
        <a:prstGeom prst="rect">
          <a:avLst/>
        </a:prstGeom>
        <a:noFill/>
      </xdr:spPr>
    </xdr:pic>
    <xdr:clientData/>
  </xdr:twoCellAnchor>
  <xdr:twoCellAnchor editAs="oneCell">
    <xdr:from>
      <xdr:col>3</xdr:col>
      <xdr:colOff>1157537</xdr:colOff>
      <xdr:row>11</xdr:row>
      <xdr:rowOff>49129</xdr:rowOff>
    </xdr:from>
    <xdr:to>
      <xdr:col>5</xdr:col>
      <xdr:colOff>2009573</xdr:colOff>
      <xdr:row>13</xdr:row>
      <xdr:rowOff>39604</xdr:rowOff>
    </xdr:to>
    <xdr:pic>
      <xdr:nvPicPr>
        <xdr:cNvPr id="205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3192879" y="2154655"/>
          <a:ext cx="3398720" cy="371475"/>
        </a:xfrm>
        <a:prstGeom prst="rect">
          <a:avLst/>
        </a:prstGeom>
        <a:noFill/>
      </xdr:spPr>
    </xdr:pic>
    <xdr:clientData/>
  </xdr:twoCellAnchor>
  <xdr:twoCellAnchor editAs="oneCell">
    <xdr:from>
      <xdr:col>18</xdr:col>
      <xdr:colOff>61600</xdr:colOff>
      <xdr:row>56</xdr:row>
      <xdr:rowOff>7621</xdr:rowOff>
    </xdr:from>
    <xdr:to>
      <xdr:col>23</xdr:col>
      <xdr:colOff>493798</xdr:colOff>
      <xdr:row>86</xdr:row>
      <xdr:rowOff>83821</xdr:rowOff>
    </xdr:to>
    <xdr:pic>
      <xdr:nvPicPr>
        <xdr:cNvPr id="2054"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11291074" y="6103621"/>
          <a:ext cx="4051698" cy="5791200"/>
        </a:xfrm>
        <a:prstGeom prst="rect">
          <a:avLst/>
        </a:prstGeom>
        <a:noFill/>
      </xdr:spPr>
    </xdr:pic>
    <xdr:clientData/>
  </xdr:twoCellAnchor>
  <xdr:twoCellAnchor editAs="oneCell">
    <xdr:from>
      <xdr:col>16</xdr:col>
      <xdr:colOff>259080</xdr:colOff>
      <xdr:row>81</xdr:row>
      <xdr:rowOff>30480</xdr:rowOff>
    </xdr:from>
    <xdr:to>
      <xdr:col>21</xdr:col>
      <xdr:colOff>30981</xdr:colOff>
      <xdr:row>107</xdr:row>
      <xdr:rowOff>59055</xdr:rowOff>
    </xdr:to>
    <xdr:pic>
      <xdr:nvPicPr>
        <xdr:cNvPr id="2055" name="Picture 7"/>
        <xdr:cNvPicPr>
          <a:picLocks noChangeAspect="1" noChangeArrowheads="1"/>
        </xdr:cNvPicPr>
      </xdr:nvPicPr>
      <xdr:blipFill>
        <a:blip xmlns:r="http://schemas.openxmlformats.org/officeDocument/2006/relationships" r:embed="rId6" cstate="print"/>
        <a:srcRect/>
        <a:stretch>
          <a:fillRect/>
        </a:stretch>
      </xdr:blipFill>
      <xdr:spPr bwMode="auto">
        <a:xfrm>
          <a:off x="10027920" y="10454640"/>
          <a:ext cx="3381375" cy="4783455"/>
        </a:xfrm>
        <a:prstGeom prst="rect">
          <a:avLst/>
        </a:prstGeom>
        <a:noFill/>
      </xdr:spPr>
    </xdr:pic>
    <xdr:clientData/>
  </xdr:twoCellAnchor>
  <xdr:twoCellAnchor editAs="oneCell">
    <xdr:from>
      <xdr:col>16</xdr:col>
      <xdr:colOff>270711</xdr:colOff>
      <xdr:row>53</xdr:row>
      <xdr:rowOff>70184</xdr:rowOff>
    </xdr:from>
    <xdr:to>
      <xdr:col>21</xdr:col>
      <xdr:colOff>539918</xdr:colOff>
      <xdr:row>56</xdr:row>
      <xdr:rowOff>98759</xdr:rowOff>
    </xdr:to>
    <xdr:pic>
      <xdr:nvPicPr>
        <xdr:cNvPr id="2056" name="Picture 8"/>
        <xdr:cNvPicPr>
          <a:picLocks noChangeAspect="1" noChangeArrowheads="1"/>
        </xdr:cNvPicPr>
      </xdr:nvPicPr>
      <xdr:blipFill>
        <a:blip xmlns:r="http://schemas.openxmlformats.org/officeDocument/2006/relationships" r:embed="rId7" cstate="print"/>
        <a:srcRect/>
        <a:stretch>
          <a:fillRect/>
        </a:stretch>
      </xdr:blipFill>
      <xdr:spPr bwMode="auto">
        <a:xfrm>
          <a:off x="9956132" y="5594684"/>
          <a:ext cx="3888707" cy="600075"/>
        </a:xfrm>
        <a:prstGeom prst="rect">
          <a:avLst/>
        </a:prstGeom>
        <a:noFill/>
      </xdr:spPr>
    </xdr:pic>
    <xdr:clientData/>
  </xdr:twoCellAnchor>
  <xdr:twoCellAnchor editAs="oneCell">
    <xdr:from>
      <xdr:col>18</xdr:col>
      <xdr:colOff>3128</xdr:colOff>
      <xdr:row>116</xdr:row>
      <xdr:rowOff>127745</xdr:rowOff>
    </xdr:from>
    <xdr:to>
      <xdr:col>23</xdr:col>
      <xdr:colOff>199517</xdr:colOff>
      <xdr:row>147</xdr:row>
      <xdr:rowOff>166993</xdr:rowOff>
    </xdr:to>
    <xdr:pic>
      <xdr:nvPicPr>
        <xdr:cNvPr id="2057" name="Picture 9"/>
        <xdr:cNvPicPr>
          <a:picLocks noChangeAspect="1" noChangeArrowheads="1"/>
        </xdr:cNvPicPr>
      </xdr:nvPicPr>
      <xdr:blipFill>
        <a:blip xmlns:r="http://schemas.openxmlformats.org/officeDocument/2006/relationships" r:embed="rId8" cstate="print"/>
        <a:srcRect/>
        <a:stretch>
          <a:fillRect/>
        </a:stretch>
      </xdr:blipFill>
      <xdr:spPr bwMode="auto">
        <a:xfrm>
          <a:off x="10911760" y="17653745"/>
          <a:ext cx="3815889" cy="5944748"/>
        </a:xfrm>
        <a:prstGeom prst="rect">
          <a:avLst/>
        </a:prstGeom>
        <a:noFill/>
      </xdr:spPr>
    </xdr:pic>
    <xdr:clientData/>
  </xdr:twoCellAnchor>
  <xdr:twoCellAnchor editAs="oneCell">
    <xdr:from>
      <xdr:col>15</xdr:col>
      <xdr:colOff>509643</xdr:colOff>
      <xdr:row>12</xdr:row>
      <xdr:rowOff>10026</xdr:rowOff>
    </xdr:from>
    <xdr:to>
      <xdr:col>21</xdr:col>
      <xdr:colOff>170447</xdr:colOff>
      <xdr:row>31</xdr:row>
      <xdr:rowOff>50298</xdr:rowOff>
    </xdr:to>
    <xdr:pic>
      <xdr:nvPicPr>
        <xdr:cNvPr id="2058" name="Picture 10"/>
        <xdr:cNvPicPr>
          <a:picLocks noChangeAspect="1" noChangeArrowheads="1"/>
        </xdr:cNvPicPr>
      </xdr:nvPicPr>
      <xdr:blipFill>
        <a:blip xmlns:r="http://schemas.openxmlformats.org/officeDocument/2006/relationships" r:embed="rId9" cstate="print"/>
        <a:srcRect/>
        <a:stretch>
          <a:fillRect/>
        </a:stretch>
      </xdr:blipFill>
      <xdr:spPr bwMode="auto">
        <a:xfrm>
          <a:off x="9583459" y="1534026"/>
          <a:ext cx="4643883" cy="3679825"/>
        </a:xfrm>
        <a:prstGeom prst="rect">
          <a:avLst/>
        </a:prstGeom>
        <a:noFill/>
      </xdr:spPr>
    </xdr:pic>
    <xdr:clientData/>
  </xdr:twoCellAnchor>
  <xdr:twoCellAnchor editAs="oneCell">
    <xdr:from>
      <xdr:col>0</xdr:col>
      <xdr:colOff>0</xdr:colOff>
      <xdr:row>49</xdr:row>
      <xdr:rowOff>0</xdr:rowOff>
    </xdr:from>
    <xdr:to>
      <xdr:col>3</xdr:col>
      <xdr:colOff>931946</xdr:colOff>
      <xdr:row>50</xdr:row>
      <xdr:rowOff>114300</xdr:rowOff>
    </xdr:to>
    <xdr:pic>
      <xdr:nvPicPr>
        <xdr:cNvPr id="1025" name="Picture 1"/>
        <xdr:cNvPicPr>
          <a:picLocks noChangeAspect="1" noChangeArrowheads="1"/>
        </xdr:cNvPicPr>
      </xdr:nvPicPr>
      <xdr:blipFill>
        <a:blip xmlns:r="http://schemas.openxmlformats.org/officeDocument/2006/relationships" r:embed="rId10" cstate="print"/>
        <a:srcRect/>
        <a:stretch>
          <a:fillRect/>
        </a:stretch>
      </xdr:blipFill>
      <xdr:spPr bwMode="auto">
        <a:xfrm>
          <a:off x="0" y="4762500"/>
          <a:ext cx="2962275" cy="304800"/>
        </a:xfrm>
        <a:prstGeom prst="rect">
          <a:avLst/>
        </a:prstGeom>
        <a:noFill/>
      </xdr:spPr>
    </xdr:pic>
    <xdr:clientData/>
  </xdr:twoCellAnchor>
  <xdr:twoCellAnchor editAs="oneCell">
    <xdr:from>
      <xdr:col>17</xdr:col>
      <xdr:colOff>0</xdr:colOff>
      <xdr:row>172</xdr:row>
      <xdr:rowOff>0</xdr:rowOff>
    </xdr:from>
    <xdr:to>
      <xdr:col>24</xdr:col>
      <xdr:colOff>231107</xdr:colOff>
      <xdr:row>180</xdr:row>
      <xdr:rowOff>95250</xdr:rowOff>
    </xdr:to>
    <xdr:pic>
      <xdr:nvPicPr>
        <xdr:cNvPr id="1026" name="Picture 2"/>
        <xdr:cNvPicPr>
          <a:picLocks noChangeAspect="1" noChangeArrowheads="1"/>
        </xdr:cNvPicPr>
      </xdr:nvPicPr>
      <xdr:blipFill>
        <a:blip xmlns:r="http://schemas.openxmlformats.org/officeDocument/2006/relationships" r:embed="rId11" cstate="print"/>
        <a:srcRect/>
        <a:stretch>
          <a:fillRect/>
        </a:stretch>
      </xdr:blipFill>
      <xdr:spPr bwMode="auto">
        <a:xfrm>
          <a:off x="10267950" y="28194000"/>
          <a:ext cx="5057775" cy="1619250"/>
        </a:xfrm>
        <a:prstGeom prst="rect">
          <a:avLst/>
        </a:prstGeom>
        <a:noFill/>
      </xdr:spPr>
    </xdr:pic>
    <xdr:clientData/>
  </xdr:twoCellAnchor>
  <xdr:twoCellAnchor editAs="oneCell">
    <xdr:from>
      <xdr:col>10</xdr:col>
      <xdr:colOff>0</xdr:colOff>
      <xdr:row>5</xdr:row>
      <xdr:rowOff>0</xdr:rowOff>
    </xdr:from>
    <xdr:to>
      <xdr:col>14</xdr:col>
      <xdr:colOff>1248777</xdr:colOff>
      <xdr:row>6</xdr:row>
      <xdr:rowOff>171450</xdr:rowOff>
    </xdr:to>
    <xdr:pic>
      <xdr:nvPicPr>
        <xdr:cNvPr id="2" name="Picture 1"/>
        <xdr:cNvPicPr>
          <a:picLocks noChangeAspect="1" noChangeArrowheads="1"/>
        </xdr:cNvPicPr>
      </xdr:nvPicPr>
      <xdr:blipFill>
        <a:blip xmlns:r="http://schemas.openxmlformats.org/officeDocument/2006/relationships" r:embed="rId12" cstate="print"/>
        <a:srcRect/>
        <a:stretch>
          <a:fillRect/>
        </a:stretch>
      </xdr:blipFill>
      <xdr:spPr bwMode="auto">
        <a:xfrm>
          <a:off x="6410325" y="190500"/>
          <a:ext cx="4600575" cy="361950"/>
        </a:xfrm>
        <a:prstGeom prst="rect">
          <a:avLst/>
        </a:prstGeom>
        <a:noFill/>
      </xdr:spPr>
    </xdr:pic>
    <xdr:clientData/>
  </xdr:twoCellAnchor>
  <xdr:twoCellAnchor editAs="oneCell">
    <xdr:from>
      <xdr:col>12</xdr:col>
      <xdr:colOff>150395</xdr:colOff>
      <xdr:row>18</xdr:row>
      <xdr:rowOff>160421</xdr:rowOff>
    </xdr:from>
    <xdr:to>
      <xdr:col>17</xdr:col>
      <xdr:colOff>479759</xdr:colOff>
      <xdr:row>27</xdr:row>
      <xdr:rowOff>26569</xdr:rowOff>
    </xdr:to>
    <xdr:pic>
      <xdr:nvPicPr>
        <xdr:cNvPr id="3" name="Picture 2"/>
        <xdr:cNvPicPr>
          <a:picLocks noChangeAspect="1" noChangeArrowheads="1"/>
        </xdr:cNvPicPr>
      </xdr:nvPicPr>
      <xdr:blipFill>
        <a:blip xmlns:r="http://schemas.openxmlformats.org/officeDocument/2006/relationships" r:embed="rId13" cstate="print"/>
        <a:srcRect/>
        <a:stretch>
          <a:fillRect/>
        </a:stretch>
      </xdr:blipFill>
      <xdr:spPr bwMode="auto">
        <a:xfrm>
          <a:off x="10166684" y="2827421"/>
          <a:ext cx="5302417" cy="1590675"/>
        </a:xfrm>
        <a:prstGeom prst="rect">
          <a:avLst/>
        </a:prstGeom>
        <a:noFill/>
      </xdr:spPr>
    </xdr:pic>
    <xdr:clientData/>
  </xdr:twoCellAnchor>
  <xdr:twoCellAnchor editAs="oneCell">
    <xdr:from>
      <xdr:col>5</xdr:col>
      <xdr:colOff>130342</xdr:colOff>
      <xdr:row>4</xdr:row>
      <xdr:rowOff>180474</xdr:rowOff>
    </xdr:from>
    <xdr:to>
      <xdr:col>6</xdr:col>
      <xdr:colOff>1233236</xdr:colOff>
      <xdr:row>7</xdr:row>
      <xdr:rowOff>27573</xdr:rowOff>
    </xdr:to>
    <xdr:pic>
      <xdr:nvPicPr>
        <xdr:cNvPr id="1027" name="Picture 3"/>
        <xdr:cNvPicPr>
          <a:picLocks noChangeAspect="1" noChangeArrowheads="1"/>
        </xdr:cNvPicPr>
      </xdr:nvPicPr>
      <xdr:blipFill>
        <a:blip xmlns:r="http://schemas.openxmlformats.org/officeDocument/2006/relationships" r:embed="rId14" cstate="print"/>
        <a:srcRect/>
        <a:stretch>
          <a:fillRect/>
        </a:stretch>
      </xdr:blipFill>
      <xdr:spPr bwMode="auto">
        <a:xfrm>
          <a:off x="3970421" y="180474"/>
          <a:ext cx="4000500" cy="428625"/>
        </a:xfrm>
        <a:prstGeom prst="rect">
          <a:avLst/>
        </a:prstGeom>
        <a:noFill/>
      </xdr:spPr>
    </xdr:pic>
    <xdr:clientData/>
  </xdr:twoCellAnchor>
  <xdr:twoCellAnchor>
    <xdr:from>
      <xdr:col>16</xdr:col>
      <xdr:colOff>0</xdr:colOff>
      <xdr:row>6</xdr:row>
      <xdr:rowOff>0</xdr:rowOff>
    </xdr:from>
    <xdr:to>
      <xdr:col>16</xdr:col>
      <xdr:colOff>95250</xdr:colOff>
      <xdr:row>6</xdr:row>
      <xdr:rowOff>123825</xdr:rowOff>
    </xdr:to>
    <xdr:pic>
      <xdr:nvPicPr>
        <xdr:cNvPr id="18" name="Picture 21" descr="http://xoomer.virgilio.it/vtomezzo/sunriset/formulas/e.gif"/>
        <xdr:cNvPicPr>
          <a:picLocks noChangeAspect="1" noChangeArrowheads="1"/>
        </xdr:cNvPicPr>
      </xdr:nvPicPr>
      <xdr:blipFill>
        <a:blip xmlns:r="http://schemas.openxmlformats.org/officeDocument/2006/relationships" r:embed="rId15" cstate="print"/>
        <a:srcRect/>
        <a:stretch>
          <a:fillRect/>
        </a:stretch>
      </xdr:blipFill>
      <xdr:spPr bwMode="auto">
        <a:xfrm>
          <a:off x="6781800" y="10791825"/>
          <a:ext cx="95250" cy="123825"/>
        </a:xfrm>
        <a:prstGeom prst="rect">
          <a:avLst/>
        </a:prstGeom>
        <a:noFill/>
      </xdr:spPr>
    </xdr:pic>
    <xdr:clientData/>
  </xdr:twoCellAnchor>
  <xdr:twoCellAnchor editAs="oneCell">
    <xdr:from>
      <xdr:col>5</xdr:col>
      <xdr:colOff>1122947</xdr:colOff>
      <xdr:row>18</xdr:row>
      <xdr:rowOff>140370</xdr:rowOff>
    </xdr:from>
    <xdr:to>
      <xdr:col>7</xdr:col>
      <xdr:colOff>434640</xdr:colOff>
      <xdr:row>21</xdr:row>
      <xdr:rowOff>178470</xdr:rowOff>
    </xdr:to>
    <xdr:pic>
      <xdr:nvPicPr>
        <xdr:cNvPr id="1028" name="Picture 4"/>
        <xdr:cNvPicPr>
          <a:picLocks noChangeAspect="1" noChangeArrowheads="1"/>
        </xdr:cNvPicPr>
      </xdr:nvPicPr>
      <xdr:blipFill>
        <a:blip xmlns:r="http://schemas.openxmlformats.org/officeDocument/2006/relationships" r:embed="rId16" cstate="print"/>
        <a:srcRect/>
        <a:stretch>
          <a:fillRect/>
        </a:stretch>
      </xdr:blipFill>
      <xdr:spPr bwMode="auto">
        <a:xfrm>
          <a:off x="4963026" y="3579396"/>
          <a:ext cx="3462588" cy="609600"/>
        </a:xfrm>
        <a:prstGeom prst="rect">
          <a:avLst/>
        </a:prstGeom>
        <a:noFill/>
      </xdr:spPr>
    </xdr:pic>
    <xdr:clientData/>
  </xdr:twoCellAnchor>
  <xdr:twoCellAnchor>
    <xdr:from>
      <xdr:col>5</xdr:col>
      <xdr:colOff>2476500</xdr:colOff>
      <xdr:row>29</xdr:row>
      <xdr:rowOff>47625</xdr:rowOff>
    </xdr:from>
    <xdr:to>
      <xdr:col>5</xdr:col>
      <xdr:colOff>2581275</xdr:colOff>
      <xdr:row>29</xdr:row>
      <xdr:rowOff>180975</xdr:rowOff>
    </xdr:to>
    <xdr:pic>
      <xdr:nvPicPr>
        <xdr:cNvPr id="19" name="Picture 32" descr="http://xoomer.virgilio.it/vtomezzo/sunriset/formulas/la.gif"/>
        <xdr:cNvPicPr>
          <a:picLocks noChangeAspect="1" noChangeArrowheads="1"/>
        </xdr:cNvPicPr>
      </xdr:nvPicPr>
      <xdr:blipFill>
        <a:blip xmlns:r="http://schemas.openxmlformats.org/officeDocument/2006/relationships" r:embed="rId17" cstate="print"/>
        <a:srcRect/>
        <a:stretch>
          <a:fillRect/>
        </a:stretch>
      </xdr:blipFill>
      <xdr:spPr bwMode="auto">
        <a:xfrm>
          <a:off x="9239250" y="14087475"/>
          <a:ext cx="104775" cy="133350"/>
        </a:xfrm>
        <a:prstGeom prst="rect">
          <a:avLst/>
        </a:prstGeom>
        <a:noFill/>
      </xdr:spPr>
    </xdr:pic>
    <xdr:clientData/>
  </xdr:twoCellAnchor>
  <xdr:twoCellAnchor>
    <xdr:from>
      <xdr:col>6</xdr:col>
      <xdr:colOff>419100</xdr:colOff>
      <xdr:row>29</xdr:row>
      <xdr:rowOff>28575</xdr:rowOff>
    </xdr:from>
    <xdr:to>
      <xdr:col>6</xdr:col>
      <xdr:colOff>504825</xdr:colOff>
      <xdr:row>29</xdr:row>
      <xdr:rowOff>171450</xdr:rowOff>
    </xdr:to>
    <xdr:pic>
      <xdr:nvPicPr>
        <xdr:cNvPr id="20" name="Picture 23" descr="http://xoomer.virgilio.it/vtomezzo/sunriset/formulas/d.gif"/>
        <xdr:cNvPicPr>
          <a:picLocks noChangeAspect="1" noChangeArrowheads="1"/>
        </xdr:cNvPicPr>
      </xdr:nvPicPr>
      <xdr:blipFill>
        <a:blip xmlns:r="http://schemas.openxmlformats.org/officeDocument/2006/relationships" r:embed="rId18" cstate="print"/>
        <a:srcRect/>
        <a:stretch>
          <a:fillRect/>
        </a:stretch>
      </xdr:blipFill>
      <xdr:spPr bwMode="auto">
        <a:xfrm>
          <a:off x="9934575" y="14068425"/>
          <a:ext cx="85725" cy="142875"/>
        </a:xfrm>
        <a:prstGeom prst="rect">
          <a:avLst/>
        </a:prstGeom>
        <a:noFill/>
      </xdr:spPr>
    </xdr:pic>
    <xdr:clientData/>
  </xdr:twoCellAnchor>
  <xdr:twoCellAnchor>
    <xdr:from>
      <xdr:col>5</xdr:col>
      <xdr:colOff>1038225</xdr:colOff>
      <xdr:row>30</xdr:row>
      <xdr:rowOff>57150</xdr:rowOff>
    </xdr:from>
    <xdr:to>
      <xdr:col>5</xdr:col>
      <xdr:colOff>1143000</xdr:colOff>
      <xdr:row>31</xdr:row>
      <xdr:rowOff>0</xdr:rowOff>
    </xdr:to>
    <xdr:pic>
      <xdr:nvPicPr>
        <xdr:cNvPr id="21" name="Picture 32" descr="http://xoomer.virgilio.it/vtomezzo/sunriset/formulas/la.gif"/>
        <xdr:cNvPicPr>
          <a:picLocks noChangeAspect="1" noChangeArrowheads="1"/>
        </xdr:cNvPicPr>
      </xdr:nvPicPr>
      <xdr:blipFill>
        <a:blip xmlns:r="http://schemas.openxmlformats.org/officeDocument/2006/relationships" r:embed="rId17" cstate="print"/>
        <a:srcRect/>
        <a:stretch>
          <a:fillRect/>
        </a:stretch>
      </xdr:blipFill>
      <xdr:spPr bwMode="auto">
        <a:xfrm>
          <a:off x="7800975" y="14287500"/>
          <a:ext cx="104775" cy="133350"/>
        </a:xfrm>
        <a:prstGeom prst="rect">
          <a:avLst/>
        </a:prstGeom>
        <a:noFill/>
      </xdr:spPr>
    </xdr:pic>
    <xdr:clientData/>
  </xdr:twoCellAnchor>
  <xdr:twoCellAnchor>
    <xdr:from>
      <xdr:col>5</xdr:col>
      <xdr:colOff>1714500</xdr:colOff>
      <xdr:row>30</xdr:row>
      <xdr:rowOff>66675</xdr:rowOff>
    </xdr:from>
    <xdr:to>
      <xdr:col>5</xdr:col>
      <xdr:colOff>1800225</xdr:colOff>
      <xdr:row>31</xdr:row>
      <xdr:rowOff>19050</xdr:rowOff>
    </xdr:to>
    <xdr:pic>
      <xdr:nvPicPr>
        <xdr:cNvPr id="22" name="Picture 21" descr="http://xoomer.virgilio.it/vtomezzo/sunriset/formulas/d.gif"/>
        <xdr:cNvPicPr>
          <a:picLocks noChangeAspect="1" noChangeArrowheads="1"/>
        </xdr:cNvPicPr>
      </xdr:nvPicPr>
      <xdr:blipFill>
        <a:blip xmlns:r="http://schemas.openxmlformats.org/officeDocument/2006/relationships" r:embed="rId18" cstate="print"/>
        <a:srcRect/>
        <a:stretch>
          <a:fillRect/>
        </a:stretch>
      </xdr:blipFill>
      <xdr:spPr bwMode="auto">
        <a:xfrm>
          <a:off x="8477250" y="14297025"/>
          <a:ext cx="85725" cy="142875"/>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6</xdr:row>
      <xdr:rowOff>190499</xdr:rowOff>
    </xdr:from>
    <xdr:to>
      <xdr:col>2</xdr:col>
      <xdr:colOff>2371725</xdr:colOff>
      <xdr:row>15</xdr:row>
      <xdr:rowOff>9494</xdr:rowOff>
    </xdr:to>
    <xdr:pic>
      <xdr:nvPicPr>
        <xdr:cNvPr id="2" name="Picture 3" descr="\begin{matrix}a &amp; = &amp; \frac{14 - \text{month}}{12}\ \\ \\y &amp; = &amp; \text{year} + 4800 - a \\ \\m &amp; = &amp; \text{month} + 12a - 3 \\\end{matrix}"/>
        <xdr:cNvPicPr>
          <a:picLocks noChangeAspect="1" noChangeArrowheads="1"/>
        </xdr:cNvPicPr>
      </xdr:nvPicPr>
      <xdr:blipFill>
        <a:blip xmlns:r="http://schemas.openxmlformats.org/officeDocument/2006/relationships" r:embed="rId1" cstate="print"/>
        <a:srcRect/>
        <a:stretch>
          <a:fillRect/>
        </a:stretch>
      </xdr:blipFill>
      <xdr:spPr bwMode="auto">
        <a:xfrm>
          <a:off x="1219200" y="1523999"/>
          <a:ext cx="2371725" cy="1533495"/>
        </a:xfrm>
        <a:prstGeom prst="rect">
          <a:avLst/>
        </a:prstGeom>
        <a:noFill/>
      </xdr:spPr>
    </xdr:pic>
    <xdr:clientData/>
  </xdr:twoCellAnchor>
  <xdr:twoCellAnchor editAs="oneCell">
    <xdr:from>
      <xdr:col>0</xdr:col>
      <xdr:colOff>546339</xdr:colOff>
      <xdr:row>15</xdr:row>
      <xdr:rowOff>0</xdr:rowOff>
    </xdr:from>
    <xdr:to>
      <xdr:col>2</xdr:col>
      <xdr:colOff>3019424</xdr:colOff>
      <xdr:row>19</xdr:row>
      <xdr:rowOff>181192</xdr:rowOff>
    </xdr:to>
    <xdr:pic>
      <xdr:nvPicPr>
        <xdr:cNvPr id="3" name="Picture 4" descr="&#10;J\!D\!N = &#10;\text{day} + &#10;\frac{153m+2}{5}+&#10;365y+&#10;\frac{y}{4} -&#10;\frac{y}{100} +&#10;\frac{y}{400} -&#10;32045&#10;"/>
        <xdr:cNvPicPr>
          <a:picLocks noChangeAspect="1" noChangeArrowheads="1"/>
        </xdr:cNvPicPr>
      </xdr:nvPicPr>
      <xdr:blipFill>
        <a:blip xmlns:r="http://schemas.openxmlformats.org/officeDocument/2006/relationships" r:embed="rId2" cstate="print"/>
        <a:srcRect/>
        <a:stretch>
          <a:fillRect/>
        </a:stretch>
      </xdr:blipFill>
      <xdr:spPr bwMode="auto">
        <a:xfrm>
          <a:off x="546339" y="3048000"/>
          <a:ext cx="3692285" cy="952717"/>
        </a:xfrm>
        <a:prstGeom prst="rect">
          <a:avLst/>
        </a:prstGeom>
        <a:noFill/>
      </xdr:spPr>
    </xdr:pic>
    <xdr:clientData/>
  </xdr:twoCellAnchor>
  <xdr:twoCellAnchor editAs="oneCell">
    <xdr:from>
      <xdr:col>0</xdr:col>
      <xdr:colOff>504825</xdr:colOff>
      <xdr:row>22</xdr:row>
      <xdr:rowOff>165699</xdr:rowOff>
    </xdr:from>
    <xdr:to>
      <xdr:col>2</xdr:col>
      <xdr:colOff>2324100</xdr:colOff>
      <xdr:row>25</xdr:row>
      <xdr:rowOff>184785</xdr:rowOff>
    </xdr:to>
    <xdr:pic>
      <xdr:nvPicPr>
        <xdr:cNvPr id="4" name="Picture 1" descr="\begin{matrix}J\!D &amp; = &amp; J\!D\!N + \frac{\text{hour} - 12}{24} + \frac{\text{minute}}{1440} + \frac{\text{second}}{86400}\end{matrix}."/>
        <xdr:cNvPicPr>
          <a:picLocks noChangeAspect="1" noChangeArrowheads="1"/>
        </xdr:cNvPicPr>
      </xdr:nvPicPr>
      <xdr:blipFill>
        <a:blip xmlns:r="http://schemas.openxmlformats.org/officeDocument/2006/relationships" r:embed="rId3" cstate="print"/>
        <a:srcRect/>
        <a:stretch>
          <a:fillRect/>
        </a:stretch>
      </xdr:blipFill>
      <xdr:spPr bwMode="auto">
        <a:xfrm>
          <a:off x="504825" y="4566249"/>
          <a:ext cx="3038475" cy="590586"/>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958215</xdr:colOff>
      <xdr:row>4</xdr:row>
      <xdr:rowOff>167640</xdr:rowOff>
    </xdr:from>
    <xdr:to>
      <xdr:col>18</xdr:col>
      <xdr:colOff>582930</xdr:colOff>
      <xdr:row>20</xdr:row>
      <xdr:rowOff>133350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006715" y="929640"/>
          <a:ext cx="6358890" cy="3213735"/>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132419</xdr:colOff>
      <xdr:row>8</xdr:row>
      <xdr:rowOff>160020</xdr:rowOff>
    </xdr:from>
    <xdr:to>
      <xdr:col>17</xdr:col>
      <xdr:colOff>304800</xdr:colOff>
      <xdr:row>12</xdr:row>
      <xdr:rowOff>38100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836239" y="1623060"/>
          <a:ext cx="3829981" cy="655320"/>
        </a:xfrm>
        <a:prstGeom prst="rect">
          <a:avLst/>
        </a:prstGeom>
        <a:noFill/>
      </xdr:spPr>
    </xdr:pic>
    <xdr:clientData/>
  </xdr:twoCellAnchor>
  <xdr:twoCellAnchor editAs="oneCell">
    <xdr:from>
      <xdr:col>5</xdr:col>
      <xdr:colOff>321391</xdr:colOff>
      <xdr:row>18</xdr:row>
      <xdr:rowOff>160020</xdr:rowOff>
    </xdr:from>
    <xdr:to>
      <xdr:col>13</xdr:col>
      <xdr:colOff>254428</xdr:colOff>
      <xdr:row>37</xdr:row>
      <xdr:rowOff>99060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3956131" y="3451860"/>
          <a:ext cx="6013797" cy="3413760"/>
        </a:xfrm>
        <a:prstGeom prst="rect">
          <a:avLst/>
        </a:prstGeom>
        <a:noFill/>
      </xdr:spPr>
    </xdr:pic>
    <xdr:clientData/>
  </xdr:twoCellAnchor>
  <xdr:twoCellAnchor editAs="oneCell">
    <xdr:from>
      <xdr:col>5</xdr:col>
      <xdr:colOff>11368</xdr:colOff>
      <xdr:row>38</xdr:row>
      <xdr:rowOff>30479</xdr:rowOff>
    </xdr:from>
    <xdr:to>
      <xdr:col>8</xdr:col>
      <xdr:colOff>304800</xdr:colOff>
      <xdr:row>48</xdr:row>
      <xdr:rowOff>99060</xdr:rowOff>
    </xdr:to>
    <xdr:pic>
      <xdr:nvPicPr>
        <xdr:cNvPr id="1028"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3646108" y="6979919"/>
          <a:ext cx="2800412" cy="1912621"/>
        </a:xfrm>
        <a:prstGeom prst="rect">
          <a:avLst/>
        </a:prstGeom>
        <a:noFill/>
      </xdr:spPr>
    </xdr:pic>
    <xdr:clientData/>
  </xdr:twoCellAnchor>
  <xdr:twoCellAnchor editAs="oneCell">
    <xdr:from>
      <xdr:col>12</xdr:col>
      <xdr:colOff>5715</xdr:colOff>
      <xdr:row>43</xdr:row>
      <xdr:rowOff>161925</xdr:rowOff>
    </xdr:from>
    <xdr:to>
      <xdr:col>16</xdr:col>
      <xdr:colOff>595187</xdr:colOff>
      <xdr:row>53</xdr:row>
      <xdr:rowOff>123825</xdr:rowOff>
    </xdr:to>
    <xdr:pic>
      <xdr:nvPicPr>
        <xdr:cNvPr id="1029"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8244840" y="8353425"/>
          <a:ext cx="3027872" cy="1876425"/>
        </a:xfrm>
        <a:prstGeom prst="rect">
          <a:avLst/>
        </a:prstGeom>
        <a:noFill/>
      </xdr:spPr>
    </xdr:pic>
    <xdr:clientData/>
  </xdr:twoCellAnchor>
  <xdr:twoCellAnchor editAs="oneCell">
    <xdr:from>
      <xdr:col>5</xdr:col>
      <xdr:colOff>320039</xdr:colOff>
      <xdr:row>59</xdr:row>
      <xdr:rowOff>7620</xdr:rowOff>
    </xdr:from>
    <xdr:to>
      <xdr:col>8</xdr:col>
      <xdr:colOff>705978</xdr:colOff>
      <xdr:row>65</xdr:row>
      <xdr:rowOff>160020</xdr:rowOff>
    </xdr:to>
    <xdr:pic>
      <xdr:nvPicPr>
        <xdr:cNvPr id="1031" name="Picture 7"/>
        <xdr:cNvPicPr>
          <a:picLocks noChangeAspect="1" noChangeArrowheads="1"/>
        </xdr:cNvPicPr>
      </xdr:nvPicPr>
      <xdr:blipFill>
        <a:blip xmlns:r="http://schemas.openxmlformats.org/officeDocument/2006/relationships" r:embed="rId5" cstate="print"/>
        <a:srcRect/>
        <a:stretch>
          <a:fillRect/>
        </a:stretch>
      </xdr:blipFill>
      <xdr:spPr bwMode="auto">
        <a:xfrm>
          <a:off x="4160519" y="10828020"/>
          <a:ext cx="2892919" cy="1264920"/>
        </a:xfrm>
        <a:prstGeom prst="rect">
          <a:avLst/>
        </a:prstGeom>
        <a:noFill/>
      </xdr:spPr>
    </xdr:pic>
    <xdr:clientData/>
  </xdr:twoCellAnchor>
  <xdr:twoCellAnchor editAs="oneCell">
    <xdr:from>
      <xdr:col>8</xdr:col>
      <xdr:colOff>0</xdr:colOff>
      <xdr:row>67</xdr:row>
      <xdr:rowOff>0</xdr:rowOff>
    </xdr:from>
    <xdr:to>
      <xdr:col>12</xdr:col>
      <xdr:colOff>188595</xdr:colOff>
      <xdr:row>69</xdr:row>
      <xdr:rowOff>47625</xdr:rowOff>
    </xdr:to>
    <xdr:pic>
      <xdr:nvPicPr>
        <xdr:cNvPr id="2" name="Picture 1"/>
        <xdr:cNvPicPr>
          <a:picLocks noChangeAspect="1" noChangeArrowheads="1"/>
        </xdr:cNvPicPr>
      </xdr:nvPicPr>
      <xdr:blipFill>
        <a:blip xmlns:r="http://schemas.openxmlformats.org/officeDocument/2006/relationships" r:embed="rId6" cstate="print"/>
        <a:srcRect/>
        <a:stretch>
          <a:fillRect/>
        </a:stretch>
      </xdr:blipFill>
      <xdr:spPr bwMode="auto">
        <a:xfrm>
          <a:off x="5619750" y="12792075"/>
          <a:ext cx="3152775" cy="447675"/>
        </a:xfrm>
        <a:prstGeom prst="rect">
          <a:avLst/>
        </a:prstGeom>
        <a:noFill/>
      </xdr:spPr>
    </xdr:pic>
    <xdr:clientData/>
  </xdr:twoCellAnchor>
  <xdr:twoCellAnchor editAs="oneCell">
    <xdr:from>
      <xdr:col>11</xdr:col>
      <xdr:colOff>323850</xdr:colOff>
      <xdr:row>61</xdr:row>
      <xdr:rowOff>133350</xdr:rowOff>
    </xdr:from>
    <xdr:to>
      <xdr:col>18</xdr:col>
      <xdr:colOff>504825</xdr:colOff>
      <xdr:row>67</xdr:row>
      <xdr:rowOff>66675</xdr:rowOff>
    </xdr:to>
    <xdr:pic>
      <xdr:nvPicPr>
        <xdr:cNvPr id="3" name="Picture 2"/>
        <xdr:cNvPicPr>
          <a:picLocks noChangeAspect="1" noChangeArrowheads="1"/>
        </xdr:cNvPicPr>
      </xdr:nvPicPr>
      <xdr:blipFill>
        <a:blip xmlns:r="http://schemas.openxmlformats.org/officeDocument/2006/relationships" r:embed="rId7" cstate="print"/>
        <a:srcRect/>
        <a:stretch>
          <a:fillRect/>
        </a:stretch>
      </xdr:blipFill>
      <xdr:spPr bwMode="auto">
        <a:xfrm>
          <a:off x="7772400" y="11772900"/>
          <a:ext cx="4448175" cy="1085850"/>
        </a:xfrm>
        <a:prstGeom prst="rect">
          <a:avLst/>
        </a:prstGeom>
        <a:noFill/>
      </xdr:spPr>
    </xdr:pic>
    <xdr:clientData/>
  </xdr:twoCellAnchor>
  <xdr:twoCellAnchor editAs="oneCell">
    <xdr:from>
      <xdr:col>6</xdr:col>
      <xdr:colOff>76200</xdr:colOff>
      <xdr:row>74</xdr:row>
      <xdr:rowOff>123825</xdr:rowOff>
    </xdr:from>
    <xdr:to>
      <xdr:col>8</xdr:col>
      <xdr:colOff>958215</xdr:colOff>
      <xdr:row>77</xdr:row>
      <xdr:rowOff>123825</xdr:rowOff>
    </xdr:to>
    <xdr:pic>
      <xdr:nvPicPr>
        <xdr:cNvPr id="1027" name="Picture 3"/>
        <xdr:cNvPicPr>
          <a:picLocks noChangeAspect="1" noChangeArrowheads="1"/>
        </xdr:cNvPicPr>
      </xdr:nvPicPr>
      <xdr:blipFill>
        <a:blip xmlns:r="http://schemas.openxmlformats.org/officeDocument/2006/relationships" r:embed="rId8" cstate="print"/>
        <a:srcRect/>
        <a:stretch>
          <a:fillRect/>
        </a:stretch>
      </xdr:blipFill>
      <xdr:spPr bwMode="auto">
        <a:xfrm>
          <a:off x="4476750" y="14249400"/>
          <a:ext cx="2543175" cy="571500"/>
        </a:xfrm>
        <a:prstGeom prst="rect">
          <a:avLst/>
        </a:prstGeom>
        <a:noFill/>
      </xdr:spPr>
    </xdr:pic>
    <xdr:clientData/>
  </xdr:twoCellAnchor>
  <xdr:twoCellAnchor editAs="oneCell">
    <xdr:from>
      <xdr:col>6</xdr:col>
      <xdr:colOff>0</xdr:colOff>
      <xdr:row>86</xdr:row>
      <xdr:rowOff>0</xdr:rowOff>
    </xdr:from>
    <xdr:to>
      <xdr:col>12</xdr:col>
      <xdr:colOff>584835</xdr:colOff>
      <xdr:row>94</xdr:row>
      <xdr:rowOff>0</xdr:rowOff>
    </xdr:to>
    <xdr:pic>
      <xdr:nvPicPr>
        <xdr:cNvPr id="4" name="Picture 4"/>
        <xdr:cNvPicPr>
          <a:picLocks noChangeAspect="1" noChangeArrowheads="1"/>
        </xdr:cNvPicPr>
      </xdr:nvPicPr>
      <xdr:blipFill>
        <a:blip xmlns:r="http://schemas.openxmlformats.org/officeDocument/2006/relationships" r:embed="rId9" cstate="print"/>
        <a:srcRect/>
        <a:stretch>
          <a:fillRect/>
        </a:stretch>
      </xdr:blipFill>
      <xdr:spPr bwMode="auto">
        <a:xfrm>
          <a:off x="4400550" y="16411575"/>
          <a:ext cx="5210175" cy="15240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363855</xdr:colOff>
      <xdr:row>6</xdr:row>
      <xdr:rowOff>146685</xdr:rowOff>
    </xdr:from>
    <xdr:to>
      <xdr:col>17</xdr:col>
      <xdr:colOff>506730</xdr:colOff>
      <xdr:row>24</xdr:row>
      <xdr:rowOff>167640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048375" y="1243965"/>
          <a:ext cx="5629275" cy="3358515"/>
        </a:xfrm>
        <a:prstGeom prst="rect">
          <a:avLst/>
        </a:prstGeom>
        <a:noFill/>
      </xdr:spPr>
    </xdr:pic>
    <xdr:clientData/>
  </xdr:twoCellAnchor>
  <xdr:twoCellAnchor editAs="oneCell">
    <xdr:from>
      <xdr:col>11</xdr:col>
      <xdr:colOff>0</xdr:colOff>
      <xdr:row>1</xdr:row>
      <xdr:rowOff>0</xdr:rowOff>
    </xdr:from>
    <xdr:to>
      <xdr:col>18</xdr:col>
      <xdr:colOff>447675</xdr:colOff>
      <xdr:row>4</xdr:row>
      <xdr:rowOff>28575</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7181850" y="190500"/>
          <a:ext cx="4714875" cy="600075"/>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18</xdr:col>
      <xdr:colOff>61600</xdr:colOff>
      <xdr:row>56</xdr:row>
      <xdr:rowOff>7621</xdr:rowOff>
    </xdr:from>
    <xdr:to>
      <xdr:col>22</xdr:col>
      <xdr:colOff>541423</xdr:colOff>
      <xdr:row>86</xdr:row>
      <xdr:rowOff>83822</xdr:rowOff>
    </xdr:to>
    <xdr:pic>
      <xdr:nvPicPr>
        <xdr:cNvPr id="6" name="Picture 6"/>
        <xdr:cNvPicPr>
          <a:picLocks noChangeAspect="1" noChangeArrowheads="1"/>
        </xdr:cNvPicPr>
      </xdr:nvPicPr>
      <xdr:blipFill>
        <a:blip xmlns:r="http://schemas.openxmlformats.org/officeDocument/2006/relationships" r:embed="rId1" cstate="print"/>
        <a:srcRect/>
        <a:stretch>
          <a:fillRect/>
        </a:stretch>
      </xdr:blipFill>
      <xdr:spPr bwMode="auto">
        <a:xfrm>
          <a:off x="19006825" y="10685146"/>
          <a:ext cx="4042173" cy="5791200"/>
        </a:xfrm>
        <a:prstGeom prst="rect">
          <a:avLst/>
        </a:prstGeom>
        <a:noFill/>
      </xdr:spPr>
    </xdr:pic>
    <xdr:clientData/>
  </xdr:twoCellAnchor>
  <xdr:twoCellAnchor editAs="oneCell">
    <xdr:from>
      <xdr:col>16</xdr:col>
      <xdr:colOff>259080</xdr:colOff>
      <xdr:row>81</xdr:row>
      <xdr:rowOff>30480</xdr:rowOff>
    </xdr:from>
    <xdr:to>
      <xdr:col>20</xdr:col>
      <xdr:colOff>78607</xdr:colOff>
      <xdr:row>107</xdr:row>
      <xdr:rowOff>59054</xdr:rowOff>
    </xdr:to>
    <xdr:pic>
      <xdr:nvPicPr>
        <xdr:cNvPr id="7" name="Picture 7"/>
        <xdr:cNvPicPr>
          <a:picLocks noChangeAspect="1" noChangeArrowheads="1"/>
        </xdr:cNvPicPr>
      </xdr:nvPicPr>
      <xdr:blipFill>
        <a:blip xmlns:r="http://schemas.openxmlformats.org/officeDocument/2006/relationships" r:embed="rId2" cstate="print"/>
        <a:srcRect/>
        <a:stretch>
          <a:fillRect/>
        </a:stretch>
      </xdr:blipFill>
      <xdr:spPr bwMode="auto">
        <a:xfrm>
          <a:off x="17985105" y="15470505"/>
          <a:ext cx="3381876" cy="4981575"/>
        </a:xfrm>
        <a:prstGeom prst="rect">
          <a:avLst/>
        </a:prstGeom>
        <a:noFill/>
      </xdr:spPr>
    </xdr:pic>
    <xdr:clientData/>
  </xdr:twoCellAnchor>
  <xdr:twoCellAnchor editAs="oneCell">
    <xdr:from>
      <xdr:col>16</xdr:col>
      <xdr:colOff>270711</xdr:colOff>
      <xdr:row>53</xdr:row>
      <xdr:rowOff>70184</xdr:rowOff>
    </xdr:from>
    <xdr:to>
      <xdr:col>20</xdr:col>
      <xdr:colOff>587544</xdr:colOff>
      <xdr:row>56</xdr:row>
      <xdr:rowOff>98759</xdr:rowOff>
    </xdr:to>
    <xdr:pic>
      <xdr:nvPicPr>
        <xdr:cNvPr id="8" name="Picture 8"/>
        <xdr:cNvPicPr>
          <a:picLocks noChangeAspect="1" noChangeArrowheads="1"/>
        </xdr:cNvPicPr>
      </xdr:nvPicPr>
      <xdr:blipFill>
        <a:blip xmlns:r="http://schemas.openxmlformats.org/officeDocument/2006/relationships" r:embed="rId3" cstate="print"/>
        <a:srcRect/>
        <a:stretch>
          <a:fillRect/>
        </a:stretch>
      </xdr:blipFill>
      <xdr:spPr bwMode="auto">
        <a:xfrm>
          <a:off x="17996736" y="10176209"/>
          <a:ext cx="3879182" cy="600075"/>
        </a:xfrm>
        <a:prstGeom prst="rect">
          <a:avLst/>
        </a:prstGeom>
        <a:noFill/>
      </xdr:spPr>
    </xdr:pic>
    <xdr:clientData/>
  </xdr:twoCellAnchor>
  <xdr:twoCellAnchor editAs="oneCell">
    <xdr:from>
      <xdr:col>18</xdr:col>
      <xdr:colOff>3128</xdr:colOff>
      <xdr:row>116</xdr:row>
      <xdr:rowOff>127745</xdr:rowOff>
    </xdr:from>
    <xdr:to>
      <xdr:col>22</xdr:col>
      <xdr:colOff>247142</xdr:colOff>
      <xdr:row>147</xdr:row>
      <xdr:rowOff>166993</xdr:rowOff>
    </xdr:to>
    <xdr:pic>
      <xdr:nvPicPr>
        <xdr:cNvPr id="9" name="Picture 9"/>
        <xdr:cNvPicPr>
          <a:picLocks noChangeAspect="1" noChangeArrowheads="1"/>
        </xdr:cNvPicPr>
      </xdr:nvPicPr>
      <xdr:blipFill>
        <a:blip xmlns:r="http://schemas.openxmlformats.org/officeDocument/2006/relationships" r:embed="rId4" cstate="print"/>
        <a:srcRect/>
        <a:stretch>
          <a:fillRect/>
        </a:stretch>
      </xdr:blipFill>
      <xdr:spPr bwMode="auto">
        <a:xfrm>
          <a:off x="18948353" y="22235270"/>
          <a:ext cx="3806364" cy="5944748"/>
        </a:xfrm>
        <a:prstGeom prst="rect">
          <a:avLst/>
        </a:prstGeom>
        <a:noFill/>
      </xdr:spPr>
    </xdr:pic>
    <xdr:clientData/>
  </xdr:twoCellAnchor>
  <xdr:twoCellAnchor editAs="oneCell">
    <xdr:from>
      <xdr:col>0</xdr:col>
      <xdr:colOff>0</xdr:colOff>
      <xdr:row>49</xdr:row>
      <xdr:rowOff>0</xdr:rowOff>
    </xdr:from>
    <xdr:to>
      <xdr:col>3</xdr:col>
      <xdr:colOff>408071</xdr:colOff>
      <xdr:row>50</xdr:row>
      <xdr:rowOff>114301</xdr:rowOff>
    </xdr:to>
    <xdr:pic>
      <xdr:nvPicPr>
        <xdr:cNvPr id="11"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0" y="9344025"/>
          <a:ext cx="2960771" cy="304800"/>
        </a:xfrm>
        <a:prstGeom prst="rect">
          <a:avLst/>
        </a:prstGeom>
        <a:noFill/>
      </xdr:spPr>
    </xdr:pic>
    <xdr:clientData/>
  </xdr:twoCellAnchor>
  <xdr:twoCellAnchor>
    <xdr:from>
      <xdr:col>16</xdr:col>
      <xdr:colOff>0</xdr:colOff>
      <xdr:row>6</xdr:row>
      <xdr:rowOff>0</xdr:rowOff>
    </xdr:from>
    <xdr:to>
      <xdr:col>16</xdr:col>
      <xdr:colOff>95250</xdr:colOff>
      <xdr:row>6</xdr:row>
      <xdr:rowOff>123825</xdr:rowOff>
    </xdr:to>
    <xdr:pic>
      <xdr:nvPicPr>
        <xdr:cNvPr id="16" name="Picture 21" descr="http://xoomer.virgilio.it/vtomezzo/sunriset/formulas/e.gif"/>
        <xdr:cNvPicPr>
          <a:picLocks noChangeAspect="1" noChangeArrowheads="1"/>
        </xdr:cNvPicPr>
      </xdr:nvPicPr>
      <xdr:blipFill>
        <a:blip xmlns:r="http://schemas.openxmlformats.org/officeDocument/2006/relationships" r:embed="rId6" cstate="print"/>
        <a:srcRect/>
        <a:stretch>
          <a:fillRect/>
        </a:stretch>
      </xdr:blipFill>
      <xdr:spPr bwMode="auto">
        <a:xfrm>
          <a:off x="17726025" y="1143000"/>
          <a:ext cx="95250" cy="123825"/>
        </a:xfrm>
        <a:prstGeom prst="rect">
          <a:avLst/>
        </a:prstGeom>
        <a:noFill/>
      </xdr:spPr>
    </xdr:pic>
    <xdr:clientData/>
  </xdr:twoCellAnchor>
  <xdr:twoCellAnchor>
    <xdr:from>
      <xdr:col>5</xdr:col>
      <xdr:colOff>2476500</xdr:colOff>
      <xdr:row>29</xdr:row>
      <xdr:rowOff>47625</xdr:rowOff>
    </xdr:from>
    <xdr:to>
      <xdr:col>5</xdr:col>
      <xdr:colOff>2581275</xdr:colOff>
      <xdr:row>29</xdr:row>
      <xdr:rowOff>180975</xdr:rowOff>
    </xdr:to>
    <xdr:pic>
      <xdr:nvPicPr>
        <xdr:cNvPr id="18" name="Picture 32" descr="http://xoomer.virgilio.it/vtomezzo/sunriset/formulas/la.gif"/>
        <xdr:cNvPicPr>
          <a:picLocks noChangeAspect="1" noChangeArrowheads="1"/>
        </xdr:cNvPicPr>
      </xdr:nvPicPr>
      <xdr:blipFill>
        <a:blip xmlns:r="http://schemas.openxmlformats.org/officeDocument/2006/relationships" r:embed="rId7" cstate="print"/>
        <a:srcRect/>
        <a:stretch>
          <a:fillRect/>
        </a:stretch>
      </xdr:blipFill>
      <xdr:spPr bwMode="auto">
        <a:xfrm>
          <a:off x="7048500" y="5581650"/>
          <a:ext cx="104775" cy="133350"/>
        </a:xfrm>
        <a:prstGeom prst="rect">
          <a:avLst/>
        </a:prstGeom>
        <a:noFill/>
      </xdr:spPr>
    </xdr:pic>
    <xdr:clientData/>
  </xdr:twoCellAnchor>
  <xdr:twoCellAnchor>
    <xdr:from>
      <xdr:col>6</xdr:col>
      <xdr:colOff>419100</xdr:colOff>
      <xdr:row>29</xdr:row>
      <xdr:rowOff>28575</xdr:rowOff>
    </xdr:from>
    <xdr:to>
      <xdr:col>6</xdr:col>
      <xdr:colOff>504825</xdr:colOff>
      <xdr:row>29</xdr:row>
      <xdr:rowOff>171450</xdr:rowOff>
    </xdr:to>
    <xdr:pic>
      <xdr:nvPicPr>
        <xdr:cNvPr id="19" name="Picture 23" descr="http://xoomer.virgilio.it/vtomezzo/sunriset/formulas/d.gif"/>
        <xdr:cNvPicPr>
          <a:picLocks noChangeAspect="1" noChangeArrowheads="1"/>
        </xdr:cNvPicPr>
      </xdr:nvPicPr>
      <xdr:blipFill>
        <a:blip xmlns:r="http://schemas.openxmlformats.org/officeDocument/2006/relationships" r:embed="rId8" cstate="print"/>
        <a:srcRect/>
        <a:stretch>
          <a:fillRect/>
        </a:stretch>
      </xdr:blipFill>
      <xdr:spPr bwMode="auto">
        <a:xfrm>
          <a:off x="7886700" y="5562600"/>
          <a:ext cx="85725" cy="142875"/>
        </a:xfrm>
        <a:prstGeom prst="rect">
          <a:avLst/>
        </a:prstGeom>
        <a:noFill/>
      </xdr:spPr>
    </xdr:pic>
    <xdr:clientData/>
  </xdr:twoCellAnchor>
  <xdr:twoCellAnchor>
    <xdr:from>
      <xdr:col>5</xdr:col>
      <xdr:colOff>1038225</xdr:colOff>
      <xdr:row>30</xdr:row>
      <xdr:rowOff>57150</xdr:rowOff>
    </xdr:from>
    <xdr:to>
      <xdr:col>5</xdr:col>
      <xdr:colOff>1143000</xdr:colOff>
      <xdr:row>31</xdr:row>
      <xdr:rowOff>0</xdr:rowOff>
    </xdr:to>
    <xdr:pic>
      <xdr:nvPicPr>
        <xdr:cNvPr id="20" name="Picture 32" descr="http://xoomer.virgilio.it/vtomezzo/sunriset/formulas/la.gif"/>
        <xdr:cNvPicPr>
          <a:picLocks noChangeAspect="1" noChangeArrowheads="1"/>
        </xdr:cNvPicPr>
      </xdr:nvPicPr>
      <xdr:blipFill>
        <a:blip xmlns:r="http://schemas.openxmlformats.org/officeDocument/2006/relationships" r:embed="rId7" cstate="print"/>
        <a:srcRect/>
        <a:stretch>
          <a:fillRect/>
        </a:stretch>
      </xdr:blipFill>
      <xdr:spPr bwMode="auto">
        <a:xfrm>
          <a:off x="5610225" y="5781675"/>
          <a:ext cx="104775" cy="133350"/>
        </a:xfrm>
        <a:prstGeom prst="rect">
          <a:avLst/>
        </a:prstGeom>
        <a:noFill/>
      </xdr:spPr>
    </xdr:pic>
    <xdr:clientData/>
  </xdr:twoCellAnchor>
  <xdr:twoCellAnchor>
    <xdr:from>
      <xdr:col>5</xdr:col>
      <xdr:colOff>1714500</xdr:colOff>
      <xdr:row>30</xdr:row>
      <xdr:rowOff>66675</xdr:rowOff>
    </xdr:from>
    <xdr:to>
      <xdr:col>5</xdr:col>
      <xdr:colOff>1800225</xdr:colOff>
      <xdr:row>31</xdr:row>
      <xdr:rowOff>19050</xdr:rowOff>
    </xdr:to>
    <xdr:pic>
      <xdr:nvPicPr>
        <xdr:cNvPr id="21" name="Picture 20" descr="http://xoomer.virgilio.it/vtomezzo/sunriset/formulas/d.gif"/>
        <xdr:cNvPicPr>
          <a:picLocks noChangeAspect="1" noChangeArrowheads="1"/>
        </xdr:cNvPicPr>
      </xdr:nvPicPr>
      <xdr:blipFill>
        <a:blip xmlns:r="http://schemas.openxmlformats.org/officeDocument/2006/relationships" r:embed="rId8" cstate="print"/>
        <a:srcRect/>
        <a:stretch>
          <a:fillRect/>
        </a:stretch>
      </xdr:blipFill>
      <xdr:spPr bwMode="auto">
        <a:xfrm>
          <a:off x="6286500" y="5791200"/>
          <a:ext cx="85725" cy="142875"/>
        </a:xfrm>
        <a:prstGeom prst="rect">
          <a:avLst/>
        </a:prstGeom>
        <a:noFill/>
      </xdr:spPr>
    </xdr:pic>
    <xdr:clientData/>
  </xdr:twoCellAnchor>
  <xdr:twoCellAnchor editAs="oneCell">
    <xdr:from>
      <xdr:col>6</xdr:col>
      <xdr:colOff>1506876</xdr:colOff>
      <xdr:row>17</xdr:row>
      <xdr:rowOff>17123</xdr:rowOff>
    </xdr:from>
    <xdr:to>
      <xdr:col>11</xdr:col>
      <xdr:colOff>419871</xdr:colOff>
      <xdr:row>39</xdr:row>
      <xdr:rowOff>139044</xdr:rowOff>
    </xdr:to>
    <xdr:pic>
      <xdr:nvPicPr>
        <xdr:cNvPr id="4098" name="Picture 2"/>
        <xdr:cNvPicPr>
          <a:picLocks noChangeAspect="1" noChangeArrowheads="1"/>
        </xdr:cNvPicPr>
      </xdr:nvPicPr>
      <xdr:blipFill>
        <a:blip xmlns:r="http://schemas.openxmlformats.org/officeDocument/2006/relationships" r:embed="rId9" cstate="print"/>
        <a:srcRect/>
        <a:stretch>
          <a:fillRect/>
        </a:stretch>
      </xdr:blipFill>
      <xdr:spPr bwMode="auto">
        <a:xfrm>
          <a:off x="7303213" y="3287730"/>
          <a:ext cx="5051804" cy="4111718"/>
        </a:xfrm>
        <a:prstGeom prst="rect">
          <a:avLst/>
        </a:prstGeom>
        <a:noFill/>
      </xdr:spPr>
    </xdr:pic>
    <xdr:clientData/>
  </xdr:twoCellAnchor>
  <xdr:twoCellAnchor editAs="oneCell">
    <xdr:from>
      <xdr:col>6</xdr:col>
      <xdr:colOff>0</xdr:colOff>
      <xdr:row>15</xdr:row>
      <xdr:rowOff>0</xdr:rowOff>
    </xdr:from>
    <xdr:to>
      <xdr:col>6</xdr:col>
      <xdr:colOff>1851660</xdr:colOff>
      <xdr:row>17</xdr:row>
      <xdr:rowOff>144780</xdr:rowOff>
    </xdr:to>
    <xdr:pic>
      <xdr:nvPicPr>
        <xdr:cNvPr id="4099" name="Picture 3"/>
        <xdr:cNvPicPr>
          <a:picLocks noChangeAspect="1" noChangeArrowheads="1"/>
        </xdr:cNvPicPr>
      </xdr:nvPicPr>
      <xdr:blipFill>
        <a:blip xmlns:r="http://schemas.openxmlformats.org/officeDocument/2006/relationships" r:embed="rId10" cstate="print"/>
        <a:srcRect/>
        <a:stretch>
          <a:fillRect/>
        </a:stretch>
      </xdr:blipFill>
      <xdr:spPr bwMode="auto">
        <a:xfrm>
          <a:off x="5791200" y="2948940"/>
          <a:ext cx="1851660" cy="510540"/>
        </a:xfrm>
        <a:prstGeom prst="rect">
          <a:avLst/>
        </a:prstGeom>
        <a:noFill/>
      </xdr:spPr>
    </xdr:pic>
    <xdr:clientData/>
  </xdr:twoCellAnchor>
  <xdr:twoCellAnchor editAs="oneCell">
    <xdr:from>
      <xdr:col>4</xdr:col>
      <xdr:colOff>496584</xdr:colOff>
      <xdr:row>22</xdr:row>
      <xdr:rowOff>17123</xdr:rowOff>
    </xdr:from>
    <xdr:to>
      <xdr:col>6</xdr:col>
      <xdr:colOff>1571004</xdr:colOff>
      <xdr:row>26</xdr:row>
      <xdr:rowOff>17123</xdr:rowOff>
    </xdr:to>
    <xdr:pic>
      <xdr:nvPicPr>
        <xdr:cNvPr id="4100" name="Picture 4"/>
        <xdr:cNvPicPr>
          <a:picLocks noChangeAspect="1" noChangeArrowheads="1"/>
        </xdr:cNvPicPr>
      </xdr:nvPicPr>
      <xdr:blipFill>
        <a:blip xmlns:r="http://schemas.openxmlformats.org/officeDocument/2006/relationships" r:embed="rId11" cstate="print"/>
        <a:srcRect/>
        <a:stretch>
          <a:fillRect/>
        </a:stretch>
      </xdr:blipFill>
      <xdr:spPr bwMode="auto">
        <a:xfrm>
          <a:off x="3929865" y="4186719"/>
          <a:ext cx="3437476" cy="719191"/>
        </a:xfrm>
        <a:prstGeom prst="rect">
          <a:avLst/>
        </a:prstGeom>
        <a:noFill/>
      </xdr:spPr>
    </xdr:pic>
    <xdr:clientData/>
  </xdr:twoCellAnchor>
  <xdr:twoCellAnchor editAs="oneCell">
    <xdr:from>
      <xdr:col>3</xdr:col>
      <xdr:colOff>941797</xdr:colOff>
      <xdr:row>33</xdr:row>
      <xdr:rowOff>34248</xdr:rowOff>
    </xdr:from>
    <xdr:to>
      <xdr:col>7</xdr:col>
      <xdr:colOff>21234</xdr:colOff>
      <xdr:row>35</xdr:row>
      <xdr:rowOff>156168</xdr:rowOff>
    </xdr:to>
    <xdr:pic>
      <xdr:nvPicPr>
        <xdr:cNvPr id="4101" name="Picture 5"/>
        <xdr:cNvPicPr>
          <a:picLocks noChangeAspect="1" noChangeArrowheads="1"/>
        </xdr:cNvPicPr>
      </xdr:nvPicPr>
      <xdr:blipFill>
        <a:blip xmlns:r="http://schemas.openxmlformats.org/officeDocument/2006/relationships" r:embed="rId12" cstate="print"/>
        <a:srcRect/>
        <a:stretch>
          <a:fillRect/>
        </a:stretch>
      </xdr:blipFill>
      <xdr:spPr bwMode="auto">
        <a:xfrm>
          <a:off x="3022314" y="6215866"/>
          <a:ext cx="5021324" cy="481515"/>
        </a:xfrm>
        <a:prstGeom prst="rect">
          <a:avLst/>
        </a:prstGeom>
        <a:noFill/>
      </xdr:spPr>
    </xdr:pic>
    <xdr:clientData/>
  </xdr:twoCellAnchor>
  <xdr:twoCellAnchor editAs="oneCell">
    <xdr:from>
      <xdr:col>6</xdr:col>
      <xdr:colOff>2174696</xdr:colOff>
      <xdr:row>49</xdr:row>
      <xdr:rowOff>119865</xdr:rowOff>
    </xdr:from>
    <xdr:to>
      <xdr:col>12</xdr:col>
      <xdr:colOff>558229</xdr:colOff>
      <xdr:row>56</xdr:row>
      <xdr:rowOff>173206</xdr:rowOff>
    </xdr:to>
    <xdr:pic>
      <xdr:nvPicPr>
        <xdr:cNvPr id="4102" name="Picture 6"/>
        <xdr:cNvPicPr>
          <a:picLocks noChangeAspect="1" noChangeArrowheads="1"/>
        </xdr:cNvPicPr>
      </xdr:nvPicPr>
      <xdr:blipFill>
        <a:blip xmlns:r="http://schemas.openxmlformats.org/officeDocument/2006/relationships" r:embed="rId13" cstate="print"/>
        <a:srcRect/>
        <a:stretch>
          <a:fillRect/>
        </a:stretch>
      </xdr:blipFill>
      <xdr:spPr bwMode="auto">
        <a:xfrm>
          <a:off x="7971033" y="9178247"/>
          <a:ext cx="5387084" cy="1311925"/>
        </a:xfrm>
        <a:prstGeom prst="rect">
          <a:avLst/>
        </a:prstGeom>
        <a:noFill/>
      </xdr:spPr>
    </xdr:pic>
    <xdr:clientData/>
  </xdr:twoCellAnchor>
  <xdr:twoCellAnchor editAs="oneCell">
    <xdr:from>
      <xdr:col>7</xdr:col>
      <xdr:colOff>0</xdr:colOff>
      <xdr:row>45</xdr:row>
      <xdr:rowOff>0</xdr:rowOff>
    </xdr:from>
    <xdr:to>
      <xdr:col>11</xdr:col>
      <xdr:colOff>198120</xdr:colOff>
      <xdr:row>47</xdr:row>
      <xdr:rowOff>83820</xdr:rowOff>
    </xdr:to>
    <xdr:pic>
      <xdr:nvPicPr>
        <xdr:cNvPr id="4103" name="Picture 7"/>
        <xdr:cNvPicPr>
          <a:picLocks noChangeAspect="1" noChangeArrowheads="1"/>
        </xdr:cNvPicPr>
      </xdr:nvPicPr>
      <xdr:blipFill>
        <a:blip xmlns:r="http://schemas.openxmlformats.org/officeDocument/2006/relationships" r:embed="rId14" cstate="print"/>
        <a:srcRect/>
        <a:stretch>
          <a:fillRect/>
        </a:stretch>
      </xdr:blipFill>
      <xdr:spPr bwMode="auto">
        <a:xfrm>
          <a:off x="8016240" y="8465820"/>
          <a:ext cx="4107180" cy="449580"/>
        </a:xfrm>
        <a:prstGeom prst="rect">
          <a:avLst/>
        </a:prstGeom>
        <a:noFill/>
      </xdr:spPr>
    </xdr:pic>
    <xdr:clientData/>
  </xdr:twoCellAnchor>
  <xdr:twoCellAnchor editAs="oneCell">
    <xdr:from>
      <xdr:col>3</xdr:col>
      <xdr:colOff>1275708</xdr:colOff>
      <xdr:row>38</xdr:row>
      <xdr:rowOff>51371</xdr:rowOff>
    </xdr:from>
    <xdr:to>
      <xdr:col>6</xdr:col>
      <xdr:colOff>2170890</xdr:colOff>
      <xdr:row>46</xdr:row>
      <xdr:rowOff>146620</xdr:rowOff>
    </xdr:to>
    <xdr:pic>
      <xdr:nvPicPr>
        <xdr:cNvPr id="22" name="Picture 2"/>
        <xdr:cNvPicPr>
          <a:picLocks noChangeAspect="1" noChangeArrowheads="1"/>
        </xdr:cNvPicPr>
      </xdr:nvPicPr>
      <xdr:blipFill>
        <a:blip xmlns:r="http://schemas.openxmlformats.org/officeDocument/2006/relationships" r:embed="rId15" cstate="print"/>
        <a:srcRect/>
        <a:stretch>
          <a:fillRect/>
        </a:stretch>
      </xdr:blipFill>
      <xdr:spPr bwMode="auto">
        <a:xfrm>
          <a:off x="3356225" y="7131978"/>
          <a:ext cx="4611002" cy="1533631"/>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18</xdr:col>
      <xdr:colOff>61600</xdr:colOff>
      <xdr:row>56</xdr:row>
      <xdr:rowOff>7621</xdr:rowOff>
    </xdr:from>
    <xdr:to>
      <xdr:col>21</xdr:col>
      <xdr:colOff>589048</xdr:colOff>
      <xdr:row>86</xdr:row>
      <xdr:rowOff>83821</xdr:rowOff>
    </xdr:to>
    <xdr:pic>
      <xdr:nvPicPr>
        <xdr:cNvPr id="2" name="Picture 6"/>
        <xdr:cNvPicPr>
          <a:picLocks noChangeAspect="1" noChangeArrowheads="1"/>
        </xdr:cNvPicPr>
      </xdr:nvPicPr>
      <xdr:blipFill>
        <a:blip xmlns:r="http://schemas.openxmlformats.org/officeDocument/2006/relationships" r:embed="rId1" cstate="print"/>
        <a:srcRect/>
        <a:stretch>
          <a:fillRect/>
        </a:stretch>
      </xdr:blipFill>
      <xdr:spPr bwMode="auto">
        <a:xfrm>
          <a:off x="18082900" y="10856596"/>
          <a:ext cx="3480198" cy="5791200"/>
        </a:xfrm>
        <a:prstGeom prst="rect">
          <a:avLst/>
        </a:prstGeom>
        <a:noFill/>
      </xdr:spPr>
    </xdr:pic>
    <xdr:clientData/>
  </xdr:twoCellAnchor>
  <xdr:twoCellAnchor editAs="oneCell">
    <xdr:from>
      <xdr:col>16</xdr:col>
      <xdr:colOff>259080</xdr:colOff>
      <xdr:row>81</xdr:row>
      <xdr:rowOff>30480</xdr:rowOff>
    </xdr:from>
    <xdr:to>
      <xdr:col>19</xdr:col>
      <xdr:colOff>126232</xdr:colOff>
      <xdr:row>107</xdr:row>
      <xdr:rowOff>59055</xdr:rowOff>
    </xdr:to>
    <xdr:pic>
      <xdr:nvPicPr>
        <xdr:cNvPr id="3" name="Picture 7"/>
        <xdr:cNvPicPr>
          <a:picLocks noChangeAspect="1" noChangeArrowheads="1"/>
        </xdr:cNvPicPr>
      </xdr:nvPicPr>
      <xdr:blipFill>
        <a:blip xmlns:r="http://schemas.openxmlformats.org/officeDocument/2006/relationships" r:embed="rId2" cstate="print"/>
        <a:srcRect/>
        <a:stretch>
          <a:fillRect/>
        </a:stretch>
      </xdr:blipFill>
      <xdr:spPr bwMode="auto">
        <a:xfrm>
          <a:off x="17061180" y="15641955"/>
          <a:ext cx="2819902" cy="4981575"/>
        </a:xfrm>
        <a:prstGeom prst="rect">
          <a:avLst/>
        </a:prstGeom>
        <a:noFill/>
      </xdr:spPr>
    </xdr:pic>
    <xdr:clientData/>
  </xdr:twoCellAnchor>
  <xdr:twoCellAnchor editAs="oneCell">
    <xdr:from>
      <xdr:col>16</xdr:col>
      <xdr:colOff>270711</xdr:colOff>
      <xdr:row>53</xdr:row>
      <xdr:rowOff>70184</xdr:rowOff>
    </xdr:from>
    <xdr:to>
      <xdr:col>20</xdr:col>
      <xdr:colOff>25569</xdr:colOff>
      <xdr:row>56</xdr:row>
      <xdr:rowOff>98759</xdr:rowOff>
    </xdr:to>
    <xdr:pic>
      <xdr:nvPicPr>
        <xdr:cNvPr id="4" name="Picture 8"/>
        <xdr:cNvPicPr>
          <a:picLocks noChangeAspect="1" noChangeArrowheads="1"/>
        </xdr:cNvPicPr>
      </xdr:nvPicPr>
      <xdr:blipFill>
        <a:blip xmlns:r="http://schemas.openxmlformats.org/officeDocument/2006/relationships" r:embed="rId3" cstate="print"/>
        <a:srcRect/>
        <a:stretch>
          <a:fillRect/>
        </a:stretch>
      </xdr:blipFill>
      <xdr:spPr bwMode="auto">
        <a:xfrm>
          <a:off x="17072811" y="10347659"/>
          <a:ext cx="3317208" cy="600075"/>
        </a:xfrm>
        <a:prstGeom prst="rect">
          <a:avLst/>
        </a:prstGeom>
        <a:noFill/>
      </xdr:spPr>
    </xdr:pic>
    <xdr:clientData/>
  </xdr:twoCellAnchor>
  <xdr:twoCellAnchor editAs="oneCell">
    <xdr:from>
      <xdr:col>18</xdr:col>
      <xdr:colOff>3128</xdr:colOff>
      <xdr:row>116</xdr:row>
      <xdr:rowOff>127745</xdr:rowOff>
    </xdr:from>
    <xdr:to>
      <xdr:col>21</xdr:col>
      <xdr:colOff>294767</xdr:colOff>
      <xdr:row>147</xdr:row>
      <xdr:rowOff>166993</xdr:rowOff>
    </xdr:to>
    <xdr:pic>
      <xdr:nvPicPr>
        <xdr:cNvPr id="5" name="Picture 9"/>
        <xdr:cNvPicPr>
          <a:picLocks noChangeAspect="1" noChangeArrowheads="1"/>
        </xdr:cNvPicPr>
      </xdr:nvPicPr>
      <xdr:blipFill>
        <a:blip xmlns:r="http://schemas.openxmlformats.org/officeDocument/2006/relationships" r:embed="rId4" cstate="print"/>
        <a:srcRect/>
        <a:stretch>
          <a:fillRect/>
        </a:stretch>
      </xdr:blipFill>
      <xdr:spPr bwMode="auto">
        <a:xfrm>
          <a:off x="18024428" y="22406720"/>
          <a:ext cx="3244389" cy="5944748"/>
        </a:xfrm>
        <a:prstGeom prst="rect">
          <a:avLst/>
        </a:prstGeom>
        <a:noFill/>
      </xdr:spPr>
    </xdr:pic>
    <xdr:clientData/>
  </xdr:twoCellAnchor>
  <xdr:twoCellAnchor editAs="oneCell">
    <xdr:from>
      <xdr:col>0</xdr:col>
      <xdr:colOff>0</xdr:colOff>
      <xdr:row>49</xdr:row>
      <xdr:rowOff>0</xdr:rowOff>
    </xdr:from>
    <xdr:to>
      <xdr:col>3</xdr:col>
      <xdr:colOff>208046</xdr:colOff>
      <xdr:row>50</xdr:row>
      <xdr:rowOff>114300</xdr:rowOff>
    </xdr:to>
    <xdr:pic>
      <xdr:nvPicPr>
        <xdr:cNvPr id="6"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0" y="9515475"/>
          <a:ext cx="2436896" cy="304800"/>
        </a:xfrm>
        <a:prstGeom prst="rect">
          <a:avLst/>
        </a:prstGeom>
        <a:noFill/>
      </xdr:spPr>
    </xdr:pic>
    <xdr:clientData/>
  </xdr:twoCellAnchor>
  <xdr:twoCellAnchor editAs="oneCell">
    <xdr:from>
      <xdr:col>17</xdr:col>
      <xdr:colOff>0</xdr:colOff>
      <xdr:row>172</xdr:row>
      <xdr:rowOff>0</xdr:rowOff>
    </xdr:from>
    <xdr:to>
      <xdr:col>22</xdr:col>
      <xdr:colOff>326357</xdr:colOff>
      <xdr:row>180</xdr:row>
      <xdr:rowOff>95250</xdr:rowOff>
    </xdr:to>
    <xdr:pic>
      <xdr:nvPicPr>
        <xdr:cNvPr id="7"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17411700" y="32946975"/>
          <a:ext cx="4498307" cy="1619250"/>
        </a:xfrm>
        <a:prstGeom prst="rect">
          <a:avLst/>
        </a:prstGeom>
        <a:noFill/>
      </xdr:spPr>
    </xdr:pic>
    <xdr:clientData/>
  </xdr:twoCellAnchor>
  <xdr:twoCellAnchor>
    <xdr:from>
      <xdr:col>16</xdr:col>
      <xdr:colOff>0</xdr:colOff>
      <xdr:row>6</xdr:row>
      <xdr:rowOff>0</xdr:rowOff>
    </xdr:from>
    <xdr:to>
      <xdr:col>16</xdr:col>
      <xdr:colOff>95250</xdr:colOff>
      <xdr:row>6</xdr:row>
      <xdr:rowOff>123825</xdr:rowOff>
    </xdr:to>
    <xdr:pic>
      <xdr:nvPicPr>
        <xdr:cNvPr id="8" name="Picture 21" descr="http://xoomer.virgilio.it/vtomezzo/sunriset/formulas/e.gif"/>
        <xdr:cNvPicPr>
          <a:picLocks noChangeAspect="1" noChangeArrowheads="1"/>
        </xdr:cNvPicPr>
      </xdr:nvPicPr>
      <xdr:blipFill>
        <a:blip xmlns:r="http://schemas.openxmlformats.org/officeDocument/2006/relationships" r:embed="rId7" cstate="print"/>
        <a:srcRect/>
        <a:stretch>
          <a:fillRect/>
        </a:stretch>
      </xdr:blipFill>
      <xdr:spPr bwMode="auto">
        <a:xfrm>
          <a:off x="16802100" y="1143000"/>
          <a:ext cx="95250" cy="123825"/>
        </a:xfrm>
        <a:prstGeom prst="rect">
          <a:avLst/>
        </a:prstGeom>
        <a:noFill/>
      </xdr:spPr>
    </xdr:pic>
    <xdr:clientData/>
  </xdr:twoCellAnchor>
  <xdr:twoCellAnchor>
    <xdr:from>
      <xdr:col>5</xdr:col>
      <xdr:colOff>2476500</xdr:colOff>
      <xdr:row>29</xdr:row>
      <xdr:rowOff>47625</xdr:rowOff>
    </xdr:from>
    <xdr:to>
      <xdr:col>5</xdr:col>
      <xdr:colOff>2581275</xdr:colOff>
      <xdr:row>29</xdr:row>
      <xdr:rowOff>180975</xdr:rowOff>
    </xdr:to>
    <xdr:pic>
      <xdr:nvPicPr>
        <xdr:cNvPr id="9" name="Picture 32" descr="http://xoomer.virgilio.it/vtomezzo/sunriset/formulas/la.gif"/>
        <xdr:cNvPicPr>
          <a:picLocks noChangeAspect="1" noChangeArrowheads="1"/>
        </xdr:cNvPicPr>
      </xdr:nvPicPr>
      <xdr:blipFill>
        <a:blip xmlns:r="http://schemas.openxmlformats.org/officeDocument/2006/relationships" r:embed="rId8" cstate="print"/>
        <a:srcRect/>
        <a:stretch>
          <a:fillRect/>
        </a:stretch>
      </xdr:blipFill>
      <xdr:spPr bwMode="auto">
        <a:xfrm>
          <a:off x="5638800" y="5753100"/>
          <a:ext cx="0" cy="133350"/>
        </a:xfrm>
        <a:prstGeom prst="rect">
          <a:avLst/>
        </a:prstGeom>
        <a:noFill/>
      </xdr:spPr>
    </xdr:pic>
    <xdr:clientData/>
  </xdr:twoCellAnchor>
  <xdr:twoCellAnchor>
    <xdr:from>
      <xdr:col>6</xdr:col>
      <xdr:colOff>419100</xdr:colOff>
      <xdr:row>29</xdr:row>
      <xdr:rowOff>28575</xdr:rowOff>
    </xdr:from>
    <xdr:to>
      <xdr:col>6</xdr:col>
      <xdr:colOff>504825</xdr:colOff>
      <xdr:row>29</xdr:row>
      <xdr:rowOff>171450</xdr:rowOff>
    </xdr:to>
    <xdr:pic>
      <xdr:nvPicPr>
        <xdr:cNvPr id="10" name="Picture 23" descr="http://xoomer.virgilio.it/vtomezzo/sunriset/formulas/d.gif"/>
        <xdr:cNvPicPr>
          <a:picLocks noChangeAspect="1" noChangeArrowheads="1"/>
        </xdr:cNvPicPr>
      </xdr:nvPicPr>
      <xdr:blipFill>
        <a:blip xmlns:r="http://schemas.openxmlformats.org/officeDocument/2006/relationships" r:embed="rId9" cstate="print"/>
        <a:srcRect/>
        <a:stretch>
          <a:fillRect/>
        </a:stretch>
      </xdr:blipFill>
      <xdr:spPr bwMode="auto">
        <a:xfrm>
          <a:off x="6057900" y="5734050"/>
          <a:ext cx="85725" cy="142875"/>
        </a:xfrm>
        <a:prstGeom prst="rect">
          <a:avLst/>
        </a:prstGeom>
        <a:noFill/>
      </xdr:spPr>
    </xdr:pic>
    <xdr:clientData/>
  </xdr:twoCellAnchor>
  <xdr:twoCellAnchor>
    <xdr:from>
      <xdr:col>5</xdr:col>
      <xdr:colOff>1038225</xdr:colOff>
      <xdr:row>30</xdr:row>
      <xdr:rowOff>57150</xdr:rowOff>
    </xdr:from>
    <xdr:to>
      <xdr:col>5</xdr:col>
      <xdr:colOff>1143000</xdr:colOff>
      <xdr:row>31</xdr:row>
      <xdr:rowOff>0</xdr:rowOff>
    </xdr:to>
    <xdr:pic>
      <xdr:nvPicPr>
        <xdr:cNvPr id="11" name="Picture 32" descr="http://xoomer.virgilio.it/vtomezzo/sunriset/formulas/la.gif"/>
        <xdr:cNvPicPr>
          <a:picLocks noChangeAspect="1" noChangeArrowheads="1"/>
        </xdr:cNvPicPr>
      </xdr:nvPicPr>
      <xdr:blipFill>
        <a:blip xmlns:r="http://schemas.openxmlformats.org/officeDocument/2006/relationships" r:embed="rId8" cstate="print"/>
        <a:srcRect/>
        <a:stretch>
          <a:fillRect/>
        </a:stretch>
      </xdr:blipFill>
      <xdr:spPr bwMode="auto">
        <a:xfrm>
          <a:off x="5610225" y="5953125"/>
          <a:ext cx="28575" cy="133350"/>
        </a:xfrm>
        <a:prstGeom prst="rect">
          <a:avLst/>
        </a:prstGeom>
        <a:noFill/>
      </xdr:spPr>
    </xdr:pic>
    <xdr:clientData/>
  </xdr:twoCellAnchor>
  <xdr:twoCellAnchor>
    <xdr:from>
      <xdr:col>5</xdr:col>
      <xdr:colOff>1714500</xdr:colOff>
      <xdr:row>30</xdr:row>
      <xdr:rowOff>66675</xdr:rowOff>
    </xdr:from>
    <xdr:to>
      <xdr:col>5</xdr:col>
      <xdr:colOff>1800225</xdr:colOff>
      <xdr:row>31</xdr:row>
      <xdr:rowOff>19050</xdr:rowOff>
    </xdr:to>
    <xdr:pic>
      <xdr:nvPicPr>
        <xdr:cNvPr id="12" name="Picture 11" descr="http://xoomer.virgilio.it/vtomezzo/sunriset/formulas/d.gif"/>
        <xdr:cNvPicPr>
          <a:picLocks noChangeAspect="1" noChangeArrowheads="1"/>
        </xdr:cNvPicPr>
      </xdr:nvPicPr>
      <xdr:blipFill>
        <a:blip xmlns:r="http://schemas.openxmlformats.org/officeDocument/2006/relationships" r:embed="rId9" cstate="print"/>
        <a:srcRect/>
        <a:stretch>
          <a:fillRect/>
        </a:stretch>
      </xdr:blipFill>
      <xdr:spPr bwMode="auto">
        <a:xfrm>
          <a:off x="5638800" y="5962650"/>
          <a:ext cx="0" cy="142875"/>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15</xdr:col>
      <xdr:colOff>871584</xdr:colOff>
      <xdr:row>8</xdr:row>
      <xdr:rowOff>28289</xdr:rowOff>
    </xdr:from>
    <xdr:to>
      <xdr:col>23</xdr:col>
      <xdr:colOff>592422</xdr:colOff>
      <xdr:row>19</xdr:row>
      <xdr:rowOff>118741</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1894003" y="1516847"/>
          <a:ext cx="5586466" cy="2146080"/>
        </a:xfrm>
        <a:prstGeom prst="rect">
          <a:avLst/>
        </a:prstGeom>
        <a:noFill/>
      </xdr:spPr>
    </xdr:pic>
    <xdr:clientData/>
  </xdr:twoCellAnchor>
  <xdr:twoCellAnchor editAs="oneCell">
    <xdr:from>
      <xdr:col>16</xdr:col>
      <xdr:colOff>383886</xdr:colOff>
      <xdr:row>18</xdr:row>
      <xdr:rowOff>154997</xdr:rowOff>
    </xdr:from>
    <xdr:to>
      <xdr:col>24</xdr:col>
      <xdr:colOff>71871</xdr:colOff>
      <xdr:row>23</xdr:row>
      <xdr:rowOff>42470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1940886" y="3480088"/>
          <a:ext cx="5264439" cy="866487"/>
        </a:xfrm>
        <a:prstGeom prst="rect">
          <a:avLst/>
        </a:prstGeom>
        <a:noFill/>
      </xdr:spPr>
    </xdr:pic>
    <xdr:clientData/>
  </xdr:twoCellAnchor>
  <xdr:twoCellAnchor editAs="oneCell">
    <xdr:from>
      <xdr:col>9</xdr:col>
      <xdr:colOff>244988</xdr:colOff>
      <xdr:row>11</xdr:row>
      <xdr:rowOff>90798</xdr:rowOff>
    </xdr:from>
    <xdr:to>
      <xdr:col>17</xdr:col>
      <xdr:colOff>129331</xdr:colOff>
      <xdr:row>28</xdr:row>
      <xdr:rowOff>6843</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7599174" y="2155286"/>
          <a:ext cx="5749971" cy="3123534"/>
        </a:xfrm>
        <a:prstGeom prst="rect">
          <a:avLst/>
        </a:prstGeom>
        <a:noFill/>
      </xdr:spPr>
    </xdr:pic>
    <xdr:clientData/>
  </xdr:twoCellAnchor>
  <xdr:twoCellAnchor editAs="oneCell">
    <xdr:from>
      <xdr:col>13</xdr:col>
      <xdr:colOff>420740</xdr:colOff>
      <xdr:row>26</xdr:row>
      <xdr:rowOff>66834</xdr:rowOff>
    </xdr:from>
    <xdr:to>
      <xdr:col>21</xdr:col>
      <xdr:colOff>252083</xdr:colOff>
      <xdr:row>44</xdr:row>
      <xdr:rowOff>104255</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9702077" y="4962241"/>
          <a:ext cx="5634948" cy="3426549"/>
        </a:xfrm>
        <a:prstGeom prst="rect">
          <a:avLst/>
        </a:prstGeom>
        <a:noFill/>
      </xdr:spPr>
    </xdr:pic>
    <xdr:clientData/>
  </xdr:twoCellAnchor>
  <xdr:twoCellAnchor editAs="oneCell">
    <xdr:from>
      <xdr:col>15</xdr:col>
      <xdr:colOff>480003</xdr:colOff>
      <xdr:row>54</xdr:row>
      <xdr:rowOff>29441</xdr:rowOff>
    </xdr:from>
    <xdr:to>
      <xdr:col>17</xdr:col>
      <xdr:colOff>308553</xdr:colOff>
      <xdr:row>60</xdr:row>
      <xdr:rowOff>118918</xdr:rowOff>
    </xdr:to>
    <xdr:pic>
      <xdr:nvPicPr>
        <xdr:cNvPr id="1030"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11124912" y="10004714"/>
          <a:ext cx="2033732" cy="1197840"/>
        </a:xfrm>
        <a:prstGeom prst="rect">
          <a:avLst/>
        </a:prstGeom>
        <a:noFill/>
      </xdr:spPr>
    </xdr:pic>
    <xdr:clientData/>
  </xdr:twoCellAnchor>
  <xdr:twoCellAnchor editAs="oneCell">
    <xdr:from>
      <xdr:col>7</xdr:col>
      <xdr:colOff>369455</xdr:colOff>
      <xdr:row>52</xdr:row>
      <xdr:rowOff>34636</xdr:rowOff>
    </xdr:from>
    <xdr:to>
      <xdr:col>11</xdr:col>
      <xdr:colOff>16492</xdr:colOff>
      <xdr:row>54</xdr:row>
      <xdr:rowOff>110835</xdr:rowOff>
    </xdr:to>
    <xdr:pic>
      <xdr:nvPicPr>
        <xdr:cNvPr id="1031" name="Picture 7"/>
        <xdr:cNvPicPr>
          <a:picLocks noChangeAspect="1" noChangeArrowheads="1"/>
        </xdr:cNvPicPr>
      </xdr:nvPicPr>
      <xdr:blipFill>
        <a:blip xmlns:r="http://schemas.openxmlformats.org/officeDocument/2006/relationships" r:embed="rId6" cstate="print"/>
        <a:srcRect/>
        <a:stretch>
          <a:fillRect/>
        </a:stretch>
      </xdr:blipFill>
      <xdr:spPr bwMode="auto">
        <a:xfrm>
          <a:off x="6119091" y="9640454"/>
          <a:ext cx="2626302" cy="445654"/>
        </a:xfrm>
        <a:prstGeom prst="rect">
          <a:avLst/>
        </a:prstGeom>
        <a:noFill/>
      </xdr:spPr>
    </xdr:pic>
    <xdr:clientData/>
  </xdr:twoCellAnchor>
  <xdr:twoCellAnchor editAs="oneCell">
    <xdr:from>
      <xdr:col>6</xdr:col>
      <xdr:colOff>265248</xdr:colOff>
      <xdr:row>60</xdr:row>
      <xdr:rowOff>80433</xdr:rowOff>
    </xdr:from>
    <xdr:to>
      <xdr:col>14</xdr:col>
      <xdr:colOff>102277</xdr:colOff>
      <xdr:row>72</xdr:row>
      <xdr:rowOff>48456</xdr:rowOff>
    </xdr:to>
    <xdr:pic>
      <xdr:nvPicPr>
        <xdr:cNvPr id="1032" name="Picture 8"/>
        <xdr:cNvPicPr>
          <a:picLocks noChangeAspect="1" noChangeArrowheads="1"/>
        </xdr:cNvPicPr>
      </xdr:nvPicPr>
      <xdr:blipFill>
        <a:blip xmlns:r="http://schemas.openxmlformats.org/officeDocument/2006/relationships" r:embed="rId7" cstate="print"/>
        <a:srcRect/>
        <a:stretch>
          <a:fillRect/>
        </a:stretch>
      </xdr:blipFill>
      <xdr:spPr bwMode="auto">
        <a:xfrm>
          <a:off x="5395457" y="11244619"/>
          <a:ext cx="5494436" cy="2245163"/>
        </a:xfrm>
        <a:prstGeom prst="rect">
          <a:avLst/>
        </a:prstGeom>
        <a:noFill/>
      </xdr:spPr>
    </xdr:pic>
    <xdr:clientData/>
  </xdr:twoCellAnchor>
  <xdr:twoCellAnchor editAs="oneCell">
    <xdr:from>
      <xdr:col>6</xdr:col>
      <xdr:colOff>115455</xdr:colOff>
      <xdr:row>35</xdr:row>
      <xdr:rowOff>126999</xdr:rowOff>
    </xdr:from>
    <xdr:to>
      <xdr:col>8</xdr:col>
      <xdr:colOff>249108</xdr:colOff>
      <xdr:row>36</xdr:row>
      <xdr:rowOff>174624</xdr:rowOff>
    </xdr:to>
    <xdr:pic>
      <xdr:nvPicPr>
        <xdr:cNvPr id="1033" name="Picture 9"/>
        <xdr:cNvPicPr>
          <a:picLocks noChangeAspect="1" noChangeArrowheads="1"/>
        </xdr:cNvPicPr>
      </xdr:nvPicPr>
      <xdr:blipFill>
        <a:blip xmlns:r="http://schemas.openxmlformats.org/officeDocument/2006/relationships" r:embed="rId8" cstate="print"/>
        <a:srcRect/>
        <a:stretch>
          <a:fillRect/>
        </a:stretch>
      </xdr:blipFill>
      <xdr:spPr bwMode="auto">
        <a:xfrm>
          <a:off x="5253182" y="6592454"/>
          <a:ext cx="1823892" cy="232353"/>
        </a:xfrm>
        <a:prstGeom prst="rect">
          <a:avLst/>
        </a:prstGeom>
        <a:noFill/>
      </xdr:spPr>
    </xdr:pic>
    <xdr:clientData/>
  </xdr:twoCellAnchor>
  <xdr:twoCellAnchor editAs="oneCell">
    <xdr:from>
      <xdr:col>5</xdr:col>
      <xdr:colOff>464951</xdr:colOff>
      <xdr:row>46</xdr:row>
      <xdr:rowOff>150702</xdr:rowOff>
    </xdr:from>
    <xdr:to>
      <xdr:col>13</xdr:col>
      <xdr:colOff>400279</xdr:colOff>
      <xdr:row>51</xdr:row>
      <xdr:rowOff>162609</xdr:rowOff>
    </xdr:to>
    <xdr:pic>
      <xdr:nvPicPr>
        <xdr:cNvPr id="1034" name="Picture 10"/>
        <xdr:cNvPicPr>
          <a:picLocks noChangeAspect="1" noChangeArrowheads="1"/>
        </xdr:cNvPicPr>
      </xdr:nvPicPr>
      <xdr:blipFill>
        <a:blip xmlns:r="http://schemas.openxmlformats.org/officeDocument/2006/relationships" r:embed="rId9" cstate="print"/>
        <a:srcRect/>
        <a:stretch>
          <a:fillRect/>
        </a:stretch>
      </xdr:blipFill>
      <xdr:spPr bwMode="auto">
        <a:xfrm>
          <a:off x="4873032" y="8811807"/>
          <a:ext cx="5871840" cy="953331"/>
        </a:xfrm>
        <a:prstGeom prst="rect">
          <a:avLst/>
        </a:prstGeom>
        <a:noFill/>
      </xdr:spPr>
    </xdr:pic>
    <xdr:clientData/>
  </xdr:twoCellAnchor>
  <xdr:twoCellAnchor editAs="oneCell">
    <xdr:from>
      <xdr:col>6</xdr:col>
      <xdr:colOff>190708</xdr:colOff>
      <xdr:row>41</xdr:row>
      <xdr:rowOff>134269</xdr:rowOff>
    </xdr:from>
    <xdr:to>
      <xdr:col>12</xdr:col>
      <xdr:colOff>216625</xdr:colOff>
      <xdr:row>45</xdr:row>
      <xdr:rowOff>109095</xdr:rowOff>
    </xdr:to>
    <xdr:pic>
      <xdr:nvPicPr>
        <xdr:cNvPr id="3073" name="Picture 1"/>
        <xdr:cNvPicPr>
          <a:picLocks noChangeAspect="1" noChangeArrowheads="1"/>
        </xdr:cNvPicPr>
      </xdr:nvPicPr>
      <xdr:blipFill>
        <a:blip xmlns:r="http://schemas.openxmlformats.org/officeDocument/2006/relationships" r:embed="rId10" cstate="print"/>
        <a:srcRect/>
        <a:stretch>
          <a:fillRect/>
        </a:stretch>
      </xdr:blipFill>
      <xdr:spPr bwMode="auto">
        <a:xfrm>
          <a:off x="5328435" y="7708087"/>
          <a:ext cx="4464339" cy="713735"/>
        </a:xfrm>
        <a:prstGeom prst="rect">
          <a:avLst/>
        </a:prstGeom>
        <a:noFill/>
      </xdr:spPr>
    </xdr:pic>
    <xdr:clientData/>
  </xdr:twoCellAnchor>
  <xdr:twoCellAnchor editAs="oneCell">
    <xdr:from>
      <xdr:col>1</xdr:col>
      <xdr:colOff>630142</xdr:colOff>
      <xdr:row>25</xdr:row>
      <xdr:rowOff>106325</xdr:rowOff>
    </xdr:from>
    <xdr:to>
      <xdr:col>4</xdr:col>
      <xdr:colOff>859819</xdr:colOff>
      <xdr:row>28</xdr:row>
      <xdr:rowOff>106325</xdr:rowOff>
    </xdr:to>
    <xdr:pic>
      <xdr:nvPicPr>
        <xdr:cNvPr id="2" name="Picture 1"/>
        <xdr:cNvPicPr>
          <a:picLocks noChangeAspect="1" noChangeArrowheads="1"/>
        </xdr:cNvPicPr>
      </xdr:nvPicPr>
      <xdr:blipFill>
        <a:blip xmlns:r="http://schemas.openxmlformats.org/officeDocument/2006/relationships" r:embed="rId11" cstate="print"/>
        <a:srcRect/>
        <a:stretch>
          <a:fillRect/>
        </a:stretch>
      </xdr:blipFill>
      <xdr:spPr bwMode="auto">
        <a:xfrm>
          <a:off x="1241514" y="4811232"/>
          <a:ext cx="3233375" cy="558210"/>
        </a:xfrm>
        <a:prstGeom prst="rect">
          <a:avLst/>
        </a:prstGeom>
        <a:noFill/>
      </xdr:spPr>
    </xdr:pic>
    <xdr:clientData/>
  </xdr:twoCellAnchor>
  <xdr:twoCellAnchor editAs="oneCell">
    <xdr:from>
      <xdr:col>7</xdr:col>
      <xdr:colOff>221422</xdr:colOff>
      <xdr:row>6</xdr:row>
      <xdr:rowOff>0</xdr:rowOff>
    </xdr:from>
    <xdr:to>
      <xdr:col>11</xdr:col>
      <xdr:colOff>194044</xdr:colOff>
      <xdr:row>7</xdr:row>
      <xdr:rowOff>141767</xdr:rowOff>
    </xdr:to>
    <xdr:pic>
      <xdr:nvPicPr>
        <xdr:cNvPr id="2049" name="Picture 1"/>
        <xdr:cNvPicPr>
          <a:picLocks noChangeAspect="1" noChangeArrowheads="1"/>
        </xdr:cNvPicPr>
      </xdr:nvPicPr>
      <xdr:blipFill>
        <a:blip xmlns:r="http://schemas.openxmlformats.org/officeDocument/2006/relationships" r:embed="rId12" cstate="print"/>
        <a:srcRect/>
        <a:stretch>
          <a:fillRect/>
        </a:stretch>
      </xdr:blipFill>
      <xdr:spPr bwMode="auto">
        <a:xfrm>
          <a:off x="6104771" y="1116419"/>
          <a:ext cx="2949738" cy="327837"/>
        </a:xfrm>
        <a:prstGeom prst="rect">
          <a:avLst/>
        </a:prstGeom>
        <a:noFill/>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10</xdr:col>
      <xdr:colOff>140155</xdr:colOff>
      <xdr:row>7</xdr:row>
      <xdr:rowOff>78243</xdr:rowOff>
    </xdr:from>
    <xdr:to>
      <xdr:col>16</xdr:col>
      <xdr:colOff>866437</xdr:colOff>
      <xdr:row>19</xdr:row>
      <xdr:rowOff>137</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598230" y="1411743"/>
          <a:ext cx="4660107" cy="2200274"/>
        </a:xfrm>
        <a:prstGeom prst="rect">
          <a:avLst/>
        </a:prstGeom>
        <a:noFill/>
      </xdr:spPr>
    </xdr:pic>
    <xdr:clientData/>
  </xdr:twoCellAnchor>
  <xdr:twoCellAnchor editAs="oneCell">
    <xdr:from>
      <xdr:col>16</xdr:col>
      <xdr:colOff>1238250</xdr:colOff>
      <xdr:row>19</xdr:row>
      <xdr:rowOff>85725</xdr:rowOff>
    </xdr:from>
    <xdr:to>
      <xdr:col>25</xdr:col>
      <xdr:colOff>295275</xdr:colOff>
      <xdr:row>24</xdr:row>
      <xdr:rowOff>28575</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2630150" y="3705225"/>
          <a:ext cx="5210175" cy="895350"/>
        </a:xfrm>
        <a:prstGeom prst="rect">
          <a:avLst/>
        </a:prstGeom>
        <a:noFill/>
      </xdr:spPr>
    </xdr:pic>
    <xdr:clientData/>
  </xdr:twoCellAnchor>
  <xdr:twoCellAnchor editAs="oneCell">
    <xdr:from>
      <xdr:col>4</xdr:col>
      <xdr:colOff>364671</xdr:colOff>
      <xdr:row>14</xdr:row>
      <xdr:rowOff>88448</xdr:rowOff>
    </xdr:from>
    <xdr:to>
      <xdr:col>13</xdr:col>
      <xdr:colOff>38102</xdr:colOff>
      <xdr:row>31</xdr:row>
      <xdr:rowOff>59872</xdr:rowOff>
    </xdr:to>
    <xdr:pic>
      <xdr:nvPicPr>
        <xdr:cNvPr id="4"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3888921" y="2755448"/>
          <a:ext cx="5712281" cy="3209924"/>
        </a:xfrm>
        <a:prstGeom prst="rect">
          <a:avLst/>
        </a:prstGeom>
        <a:noFill/>
      </xdr:spPr>
    </xdr:pic>
    <xdr:clientData/>
  </xdr:twoCellAnchor>
  <xdr:twoCellAnchor editAs="oneCell">
    <xdr:from>
      <xdr:col>14</xdr:col>
      <xdr:colOff>533400</xdr:colOff>
      <xdr:row>29</xdr:row>
      <xdr:rowOff>71438</xdr:rowOff>
    </xdr:from>
    <xdr:to>
      <xdr:col>21</xdr:col>
      <xdr:colOff>50005</xdr:colOff>
      <xdr:row>46</xdr:row>
      <xdr:rowOff>80963</xdr:rowOff>
    </xdr:to>
    <xdr:pic>
      <xdr:nvPicPr>
        <xdr:cNvPr id="5"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10429875" y="5595938"/>
          <a:ext cx="5631655" cy="3248025"/>
        </a:xfrm>
        <a:prstGeom prst="rect">
          <a:avLst/>
        </a:prstGeom>
        <a:noFill/>
      </xdr:spPr>
    </xdr:pic>
    <xdr:clientData/>
  </xdr:twoCellAnchor>
  <xdr:twoCellAnchor editAs="oneCell">
    <xdr:from>
      <xdr:col>6</xdr:col>
      <xdr:colOff>459579</xdr:colOff>
      <xdr:row>43</xdr:row>
      <xdr:rowOff>47626</xdr:rowOff>
    </xdr:from>
    <xdr:to>
      <xdr:col>13</xdr:col>
      <xdr:colOff>571498</xdr:colOff>
      <xdr:row>46</xdr:row>
      <xdr:rowOff>167482</xdr:rowOff>
    </xdr:to>
    <xdr:pic>
      <xdr:nvPicPr>
        <xdr:cNvPr id="6"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5479254" y="8239126"/>
          <a:ext cx="4379119" cy="691356"/>
        </a:xfrm>
        <a:prstGeom prst="rect">
          <a:avLst/>
        </a:prstGeom>
        <a:noFill/>
      </xdr:spPr>
    </xdr:pic>
    <xdr:clientData/>
  </xdr:twoCellAnchor>
  <xdr:twoCellAnchor editAs="oneCell">
    <xdr:from>
      <xdr:col>16</xdr:col>
      <xdr:colOff>859155</xdr:colOff>
      <xdr:row>52</xdr:row>
      <xdr:rowOff>49530</xdr:rowOff>
    </xdr:from>
    <xdr:to>
      <xdr:col>18</xdr:col>
      <xdr:colOff>97155</xdr:colOff>
      <xdr:row>58</xdr:row>
      <xdr:rowOff>137160</xdr:rowOff>
    </xdr:to>
    <xdr:pic>
      <xdr:nvPicPr>
        <xdr:cNvPr id="7"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12388215" y="9559290"/>
          <a:ext cx="1143000" cy="1184910"/>
        </a:xfrm>
        <a:prstGeom prst="rect">
          <a:avLst/>
        </a:prstGeom>
        <a:noFill/>
      </xdr:spPr>
    </xdr:pic>
    <xdr:clientData/>
  </xdr:twoCellAnchor>
  <xdr:twoCellAnchor editAs="oneCell">
    <xdr:from>
      <xdr:col>16</xdr:col>
      <xdr:colOff>441960</xdr:colOff>
      <xdr:row>49</xdr:row>
      <xdr:rowOff>38100</xdr:rowOff>
    </xdr:from>
    <xdr:to>
      <xdr:col>19</xdr:col>
      <xdr:colOff>365760</xdr:colOff>
      <xdr:row>51</xdr:row>
      <xdr:rowOff>114300</xdr:rowOff>
    </xdr:to>
    <xdr:pic>
      <xdr:nvPicPr>
        <xdr:cNvPr id="8"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1971020" y="8999220"/>
          <a:ext cx="2438400" cy="441960"/>
        </a:xfrm>
        <a:prstGeom prst="rect">
          <a:avLst/>
        </a:prstGeom>
        <a:noFill/>
      </xdr:spPr>
    </xdr:pic>
    <xdr:clientData/>
  </xdr:twoCellAnchor>
  <xdr:twoCellAnchor editAs="oneCell">
    <xdr:from>
      <xdr:col>5</xdr:col>
      <xdr:colOff>328613</xdr:colOff>
      <xdr:row>51</xdr:row>
      <xdr:rowOff>116681</xdr:rowOff>
    </xdr:from>
    <xdr:to>
      <xdr:col>14</xdr:col>
      <xdr:colOff>319089</xdr:colOff>
      <xdr:row>63</xdr:row>
      <xdr:rowOff>84704</xdr:rowOff>
    </xdr:to>
    <xdr:pic>
      <xdr:nvPicPr>
        <xdr:cNvPr id="9"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4738688" y="9641681"/>
          <a:ext cx="5476876" cy="2301648"/>
        </a:xfrm>
        <a:prstGeom prst="rect">
          <a:avLst/>
        </a:prstGeom>
        <a:noFill/>
      </xdr:spPr>
    </xdr:pic>
    <xdr:clientData/>
  </xdr:twoCellAnchor>
  <xdr:twoCellAnchor editAs="oneCell">
    <xdr:from>
      <xdr:col>6</xdr:col>
      <xdr:colOff>0</xdr:colOff>
      <xdr:row>34</xdr:row>
      <xdr:rowOff>0</xdr:rowOff>
    </xdr:from>
    <xdr:to>
      <xdr:col>8</xdr:col>
      <xdr:colOff>600074</xdr:colOff>
      <xdr:row>35</xdr:row>
      <xdr:rowOff>47625</xdr:rowOff>
    </xdr:to>
    <xdr:pic>
      <xdr:nvPicPr>
        <xdr:cNvPr id="10"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5019675" y="6477000"/>
          <a:ext cx="1819274" cy="238125"/>
        </a:xfrm>
        <a:prstGeom prst="rect">
          <a:avLst/>
        </a:prstGeom>
        <a:noFill/>
      </xdr:spPr>
    </xdr:pic>
    <xdr:clientData/>
  </xdr:twoCellAnchor>
  <xdr:twoCellAnchor editAs="oneCell">
    <xdr:from>
      <xdr:col>15</xdr:col>
      <xdr:colOff>198465</xdr:colOff>
      <xdr:row>42</xdr:row>
      <xdr:rowOff>35718</xdr:rowOff>
    </xdr:from>
    <xdr:to>
      <xdr:col>21</xdr:col>
      <xdr:colOff>561975</xdr:colOff>
      <xdr:row>47</xdr:row>
      <xdr:rowOff>47624</xdr:rowOff>
    </xdr:to>
    <xdr:pic>
      <xdr:nvPicPr>
        <xdr:cNvPr id="11"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10704540" y="8036718"/>
          <a:ext cx="5868960" cy="964406"/>
        </a:xfrm>
        <a:prstGeom prst="rect">
          <a:avLst/>
        </a:prstGeom>
        <a:noFill/>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140155</xdr:colOff>
      <xdr:row>7</xdr:row>
      <xdr:rowOff>78243</xdr:rowOff>
    </xdr:from>
    <xdr:to>
      <xdr:col>16</xdr:col>
      <xdr:colOff>333037</xdr:colOff>
      <xdr:row>19</xdr:row>
      <xdr:rowOff>137</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598230" y="1411743"/>
          <a:ext cx="4660107" cy="2200274"/>
        </a:xfrm>
        <a:prstGeom prst="rect">
          <a:avLst/>
        </a:prstGeom>
        <a:noFill/>
      </xdr:spPr>
    </xdr:pic>
    <xdr:clientData/>
  </xdr:twoCellAnchor>
  <xdr:twoCellAnchor editAs="oneCell">
    <xdr:from>
      <xdr:col>16</xdr:col>
      <xdr:colOff>1238250</xdr:colOff>
      <xdr:row>19</xdr:row>
      <xdr:rowOff>85725</xdr:rowOff>
    </xdr:from>
    <xdr:to>
      <xdr:col>25</xdr:col>
      <xdr:colOff>276225</xdr:colOff>
      <xdr:row>24</xdr:row>
      <xdr:rowOff>28575</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2630150" y="3705225"/>
          <a:ext cx="5191125" cy="895350"/>
        </a:xfrm>
        <a:prstGeom prst="rect">
          <a:avLst/>
        </a:prstGeom>
        <a:noFill/>
      </xdr:spPr>
    </xdr:pic>
    <xdr:clientData/>
  </xdr:twoCellAnchor>
  <xdr:twoCellAnchor editAs="oneCell">
    <xdr:from>
      <xdr:col>4</xdr:col>
      <xdr:colOff>364671</xdr:colOff>
      <xdr:row>14</xdr:row>
      <xdr:rowOff>88448</xdr:rowOff>
    </xdr:from>
    <xdr:to>
      <xdr:col>12</xdr:col>
      <xdr:colOff>371477</xdr:colOff>
      <xdr:row>31</xdr:row>
      <xdr:rowOff>59872</xdr:rowOff>
    </xdr:to>
    <xdr:pic>
      <xdr:nvPicPr>
        <xdr:cNvPr id="4"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3888921" y="2755448"/>
          <a:ext cx="5436056" cy="3209924"/>
        </a:xfrm>
        <a:prstGeom prst="rect">
          <a:avLst/>
        </a:prstGeom>
        <a:noFill/>
      </xdr:spPr>
    </xdr:pic>
    <xdr:clientData/>
  </xdr:twoCellAnchor>
  <xdr:twoCellAnchor editAs="oneCell">
    <xdr:from>
      <xdr:col>14</xdr:col>
      <xdr:colOff>533400</xdr:colOff>
      <xdr:row>29</xdr:row>
      <xdr:rowOff>71438</xdr:rowOff>
    </xdr:from>
    <xdr:to>
      <xdr:col>19</xdr:col>
      <xdr:colOff>345280</xdr:colOff>
      <xdr:row>46</xdr:row>
      <xdr:rowOff>80963</xdr:rowOff>
    </xdr:to>
    <xdr:pic>
      <xdr:nvPicPr>
        <xdr:cNvPr id="5"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10429875" y="5595938"/>
          <a:ext cx="4707730" cy="3248025"/>
        </a:xfrm>
        <a:prstGeom prst="rect">
          <a:avLst/>
        </a:prstGeom>
        <a:noFill/>
      </xdr:spPr>
    </xdr:pic>
    <xdr:clientData/>
  </xdr:twoCellAnchor>
  <xdr:twoCellAnchor editAs="oneCell">
    <xdr:from>
      <xdr:col>6</xdr:col>
      <xdr:colOff>459579</xdr:colOff>
      <xdr:row>43</xdr:row>
      <xdr:rowOff>47626</xdr:rowOff>
    </xdr:from>
    <xdr:to>
      <xdr:col>13</xdr:col>
      <xdr:colOff>571498</xdr:colOff>
      <xdr:row>46</xdr:row>
      <xdr:rowOff>167482</xdr:rowOff>
    </xdr:to>
    <xdr:pic>
      <xdr:nvPicPr>
        <xdr:cNvPr id="6"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5479254" y="8239126"/>
          <a:ext cx="4379119" cy="691356"/>
        </a:xfrm>
        <a:prstGeom prst="rect">
          <a:avLst/>
        </a:prstGeom>
        <a:noFill/>
      </xdr:spPr>
    </xdr:pic>
    <xdr:clientData/>
  </xdr:twoCellAnchor>
  <xdr:twoCellAnchor editAs="oneCell">
    <xdr:from>
      <xdr:col>15</xdr:col>
      <xdr:colOff>676275</xdr:colOff>
      <xdr:row>46</xdr:row>
      <xdr:rowOff>133350</xdr:rowOff>
    </xdr:from>
    <xdr:to>
      <xdr:col>16</xdr:col>
      <xdr:colOff>400050</xdr:colOff>
      <xdr:row>53</xdr:row>
      <xdr:rowOff>38100</xdr:rowOff>
    </xdr:to>
    <xdr:pic>
      <xdr:nvPicPr>
        <xdr:cNvPr id="7"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11182350" y="8896350"/>
          <a:ext cx="1114425" cy="1238250"/>
        </a:xfrm>
        <a:prstGeom prst="rect">
          <a:avLst/>
        </a:prstGeom>
        <a:noFill/>
      </xdr:spPr>
    </xdr:pic>
    <xdr:clientData/>
  </xdr:twoCellAnchor>
  <xdr:twoCellAnchor editAs="oneCell">
    <xdr:from>
      <xdr:col>12</xdr:col>
      <xdr:colOff>0</xdr:colOff>
      <xdr:row>49</xdr:row>
      <xdr:rowOff>0</xdr:rowOff>
    </xdr:from>
    <xdr:to>
      <xdr:col>15</xdr:col>
      <xdr:colOff>609600</xdr:colOff>
      <xdr:row>51</xdr:row>
      <xdr:rowOff>76200</xdr:rowOff>
    </xdr:to>
    <xdr:pic>
      <xdr:nvPicPr>
        <xdr:cNvPr id="8"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8677275" y="9144000"/>
          <a:ext cx="2438400" cy="457200"/>
        </a:xfrm>
        <a:prstGeom prst="rect">
          <a:avLst/>
        </a:prstGeom>
        <a:noFill/>
      </xdr:spPr>
    </xdr:pic>
    <xdr:clientData/>
  </xdr:twoCellAnchor>
  <xdr:twoCellAnchor editAs="oneCell">
    <xdr:from>
      <xdr:col>7</xdr:col>
      <xdr:colOff>290513</xdr:colOff>
      <xdr:row>53</xdr:row>
      <xdr:rowOff>30956</xdr:rowOff>
    </xdr:from>
    <xdr:to>
      <xdr:col>16</xdr:col>
      <xdr:colOff>4764</xdr:colOff>
      <xdr:row>64</xdr:row>
      <xdr:rowOff>181859</xdr:rowOff>
    </xdr:to>
    <xdr:pic>
      <xdr:nvPicPr>
        <xdr:cNvPr id="9"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5919788" y="10127456"/>
          <a:ext cx="5476876" cy="2301648"/>
        </a:xfrm>
        <a:prstGeom prst="rect">
          <a:avLst/>
        </a:prstGeom>
        <a:noFill/>
      </xdr:spPr>
    </xdr:pic>
    <xdr:clientData/>
  </xdr:twoCellAnchor>
  <xdr:twoCellAnchor editAs="oneCell">
    <xdr:from>
      <xdr:col>6</xdr:col>
      <xdr:colOff>0</xdr:colOff>
      <xdr:row>34</xdr:row>
      <xdr:rowOff>0</xdr:rowOff>
    </xdr:from>
    <xdr:to>
      <xdr:col>8</xdr:col>
      <xdr:colOff>600074</xdr:colOff>
      <xdr:row>35</xdr:row>
      <xdr:rowOff>47625</xdr:rowOff>
    </xdr:to>
    <xdr:pic>
      <xdr:nvPicPr>
        <xdr:cNvPr id="10"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5019675" y="6477000"/>
          <a:ext cx="1819274" cy="238125"/>
        </a:xfrm>
        <a:prstGeom prst="rect">
          <a:avLst/>
        </a:prstGeom>
        <a:noFill/>
      </xdr:spPr>
    </xdr:pic>
    <xdr:clientData/>
  </xdr:twoCellAnchor>
  <xdr:twoCellAnchor editAs="oneCell">
    <xdr:from>
      <xdr:col>15</xdr:col>
      <xdr:colOff>198465</xdr:colOff>
      <xdr:row>42</xdr:row>
      <xdr:rowOff>35718</xdr:rowOff>
    </xdr:from>
    <xdr:to>
      <xdr:col>20</xdr:col>
      <xdr:colOff>247650</xdr:colOff>
      <xdr:row>47</xdr:row>
      <xdr:rowOff>47624</xdr:rowOff>
    </xdr:to>
    <xdr:pic>
      <xdr:nvPicPr>
        <xdr:cNvPr id="11"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10704540" y="8036718"/>
          <a:ext cx="4945035" cy="964406"/>
        </a:xfrm>
        <a:prstGeom prst="rect">
          <a:avLst/>
        </a:prstGeom>
        <a:noFill/>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10</xdr:col>
      <xdr:colOff>140155</xdr:colOff>
      <xdr:row>7</xdr:row>
      <xdr:rowOff>78243</xdr:rowOff>
    </xdr:from>
    <xdr:to>
      <xdr:col>16</xdr:col>
      <xdr:colOff>56812</xdr:colOff>
      <xdr:row>19</xdr:row>
      <xdr:rowOff>137</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598230" y="1411743"/>
          <a:ext cx="4126707" cy="2207894"/>
        </a:xfrm>
        <a:prstGeom prst="rect">
          <a:avLst/>
        </a:prstGeom>
        <a:noFill/>
      </xdr:spPr>
    </xdr:pic>
    <xdr:clientData/>
  </xdr:twoCellAnchor>
  <xdr:twoCellAnchor editAs="oneCell">
    <xdr:from>
      <xdr:col>16</xdr:col>
      <xdr:colOff>1238250</xdr:colOff>
      <xdr:row>19</xdr:row>
      <xdr:rowOff>85725</xdr:rowOff>
    </xdr:from>
    <xdr:to>
      <xdr:col>25</xdr:col>
      <xdr:colOff>257175</xdr:colOff>
      <xdr:row>24</xdr:row>
      <xdr:rowOff>28575</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2630150" y="3705225"/>
          <a:ext cx="5172075" cy="895350"/>
        </a:xfrm>
        <a:prstGeom prst="rect">
          <a:avLst/>
        </a:prstGeom>
        <a:noFill/>
      </xdr:spPr>
    </xdr:pic>
    <xdr:clientData/>
  </xdr:twoCellAnchor>
  <xdr:twoCellAnchor editAs="oneCell">
    <xdr:from>
      <xdr:col>4</xdr:col>
      <xdr:colOff>364671</xdr:colOff>
      <xdr:row>14</xdr:row>
      <xdr:rowOff>88448</xdr:rowOff>
    </xdr:from>
    <xdr:to>
      <xdr:col>12</xdr:col>
      <xdr:colOff>95252</xdr:colOff>
      <xdr:row>31</xdr:row>
      <xdr:rowOff>59872</xdr:rowOff>
    </xdr:to>
    <xdr:pic>
      <xdr:nvPicPr>
        <xdr:cNvPr id="4"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3888921" y="2755448"/>
          <a:ext cx="5159831" cy="3209924"/>
        </a:xfrm>
        <a:prstGeom prst="rect">
          <a:avLst/>
        </a:prstGeom>
        <a:noFill/>
      </xdr:spPr>
    </xdr:pic>
    <xdr:clientData/>
  </xdr:twoCellAnchor>
  <xdr:twoCellAnchor editAs="oneCell">
    <xdr:from>
      <xdr:col>14</xdr:col>
      <xdr:colOff>533400</xdr:colOff>
      <xdr:row>29</xdr:row>
      <xdr:rowOff>71438</xdr:rowOff>
    </xdr:from>
    <xdr:to>
      <xdr:col>18</xdr:col>
      <xdr:colOff>30955</xdr:colOff>
      <xdr:row>46</xdr:row>
      <xdr:rowOff>80963</xdr:rowOff>
    </xdr:to>
    <xdr:pic>
      <xdr:nvPicPr>
        <xdr:cNvPr id="5"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10429875" y="5595938"/>
          <a:ext cx="3783805" cy="3248025"/>
        </a:xfrm>
        <a:prstGeom prst="rect">
          <a:avLst/>
        </a:prstGeom>
        <a:noFill/>
      </xdr:spPr>
    </xdr:pic>
    <xdr:clientData/>
  </xdr:twoCellAnchor>
  <xdr:twoCellAnchor editAs="oneCell">
    <xdr:from>
      <xdr:col>6</xdr:col>
      <xdr:colOff>459579</xdr:colOff>
      <xdr:row>43</xdr:row>
      <xdr:rowOff>47626</xdr:rowOff>
    </xdr:from>
    <xdr:to>
      <xdr:col>13</xdr:col>
      <xdr:colOff>571498</xdr:colOff>
      <xdr:row>46</xdr:row>
      <xdr:rowOff>167482</xdr:rowOff>
    </xdr:to>
    <xdr:pic>
      <xdr:nvPicPr>
        <xdr:cNvPr id="6"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5479254" y="8239126"/>
          <a:ext cx="4379119" cy="691356"/>
        </a:xfrm>
        <a:prstGeom prst="rect">
          <a:avLst/>
        </a:prstGeom>
        <a:noFill/>
      </xdr:spPr>
    </xdr:pic>
    <xdr:clientData/>
  </xdr:twoCellAnchor>
  <xdr:twoCellAnchor editAs="oneCell">
    <xdr:from>
      <xdr:col>15</xdr:col>
      <xdr:colOff>676275</xdr:colOff>
      <xdr:row>46</xdr:row>
      <xdr:rowOff>133350</xdr:rowOff>
    </xdr:from>
    <xdr:to>
      <xdr:col>16</xdr:col>
      <xdr:colOff>190500</xdr:colOff>
      <xdr:row>53</xdr:row>
      <xdr:rowOff>38100</xdr:rowOff>
    </xdr:to>
    <xdr:pic>
      <xdr:nvPicPr>
        <xdr:cNvPr id="7"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11182350" y="8896350"/>
          <a:ext cx="609600" cy="1238250"/>
        </a:xfrm>
        <a:prstGeom prst="rect">
          <a:avLst/>
        </a:prstGeom>
        <a:noFill/>
      </xdr:spPr>
    </xdr:pic>
    <xdr:clientData/>
  </xdr:twoCellAnchor>
  <xdr:twoCellAnchor editAs="oneCell">
    <xdr:from>
      <xdr:col>12</xdr:col>
      <xdr:colOff>0</xdr:colOff>
      <xdr:row>49</xdr:row>
      <xdr:rowOff>0</xdr:rowOff>
    </xdr:from>
    <xdr:to>
      <xdr:col>15</xdr:col>
      <xdr:colOff>609600</xdr:colOff>
      <xdr:row>51</xdr:row>
      <xdr:rowOff>76200</xdr:rowOff>
    </xdr:to>
    <xdr:pic>
      <xdr:nvPicPr>
        <xdr:cNvPr id="8"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8677275" y="9334500"/>
          <a:ext cx="2438400" cy="457200"/>
        </a:xfrm>
        <a:prstGeom prst="rect">
          <a:avLst/>
        </a:prstGeom>
        <a:noFill/>
      </xdr:spPr>
    </xdr:pic>
    <xdr:clientData/>
  </xdr:twoCellAnchor>
  <xdr:twoCellAnchor editAs="oneCell">
    <xdr:from>
      <xdr:col>7</xdr:col>
      <xdr:colOff>290513</xdr:colOff>
      <xdr:row>53</xdr:row>
      <xdr:rowOff>30956</xdr:rowOff>
    </xdr:from>
    <xdr:to>
      <xdr:col>15</xdr:col>
      <xdr:colOff>614364</xdr:colOff>
      <xdr:row>64</xdr:row>
      <xdr:rowOff>181859</xdr:rowOff>
    </xdr:to>
    <xdr:pic>
      <xdr:nvPicPr>
        <xdr:cNvPr id="9"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5919788" y="10127456"/>
          <a:ext cx="5476876" cy="2301648"/>
        </a:xfrm>
        <a:prstGeom prst="rect">
          <a:avLst/>
        </a:prstGeom>
        <a:noFill/>
      </xdr:spPr>
    </xdr:pic>
    <xdr:clientData/>
  </xdr:twoCellAnchor>
  <xdr:twoCellAnchor editAs="oneCell">
    <xdr:from>
      <xdr:col>6</xdr:col>
      <xdr:colOff>0</xdr:colOff>
      <xdr:row>34</xdr:row>
      <xdr:rowOff>0</xdr:rowOff>
    </xdr:from>
    <xdr:to>
      <xdr:col>8</xdr:col>
      <xdr:colOff>600074</xdr:colOff>
      <xdr:row>35</xdr:row>
      <xdr:rowOff>47625</xdr:rowOff>
    </xdr:to>
    <xdr:pic>
      <xdr:nvPicPr>
        <xdr:cNvPr id="10"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5019675" y="6477000"/>
          <a:ext cx="1819274" cy="238125"/>
        </a:xfrm>
        <a:prstGeom prst="rect">
          <a:avLst/>
        </a:prstGeom>
        <a:noFill/>
      </xdr:spPr>
    </xdr:pic>
    <xdr:clientData/>
  </xdr:twoCellAnchor>
  <xdr:twoCellAnchor editAs="oneCell">
    <xdr:from>
      <xdr:col>15</xdr:col>
      <xdr:colOff>198465</xdr:colOff>
      <xdr:row>42</xdr:row>
      <xdr:rowOff>35718</xdr:rowOff>
    </xdr:from>
    <xdr:to>
      <xdr:col>18</xdr:col>
      <xdr:colOff>542925</xdr:colOff>
      <xdr:row>47</xdr:row>
      <xdr:rowOff>47624</xdr:rowOff>
    </xdr:to>
    <xdr:pic>
      <xdr:nvPicPr>
        <xdr:cNvPr id="11"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10704540" y="8036718"/>
          <a:ext cx="4021110" cy="964406"/>
        </a:xfrm>
        <a:prstGeom prst="rect">
          <a:avLst/>
        </a:prstGeom>
        <a:noFill/>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10</xdr:col>
      <xdr:colOff>140155</xdr:colOff>
      <xdr:row>7</xdr:row>
      <xdr:rowOff>78243</xdr:rowOff>
    </xdr:from>
    <xdr:to>
      <xdr:col>15</xdr:col>
      <xdr:colOff>742612</xdr:colOff>
      <xdr:row>19</xdr:row>
      <xdr:rowOff>137</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598355" y="1345068"/>
          <a:ext cx="4355307" cy="2093594"/>
        </a:xfrm>
        <a:prstGeom prst="rect">
          <a:avLst/>
        </a:prstGeom>
        <a:noFill/>
      </xdr:spPr>
    </xdr:pic>
    <xdr:clientData/>
  </xdr:twoCellAnchor>
  <xdr:twoCellAnchor editAs="oneCell">
    <xdr:from>
      <xdr:col>16</xdr:col>
      <xdr:colOff>1238250</xdr:colOff>
      <xdr:row>19</xdr:row>
      <xdr:rowOff>85725</xdr:rowOff>
    </xdr:from>
    <xdr:to>
      <xdr:col>25</xdr:col>
      <xdr:colOff>57150</xdr:colOff>
      <xdr:row>24</xdr:row>
      <xdr:rowOff>28575</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4135100" y="3524250"/>
          <a:ext cx="5943600" cy="847725"/>
        </a:xfrm>
        <a:prstGeom prst="rect">
          <a:avLst/>
        </a:prstGeom>
        <a:noFill/>
      </xdr:spPr>
    </xdr:pic>
    <xdr:clientData/>
  </xdr:twoCellAnchor>
  <xdr:twoCellAnchor editAs="oneCell">
    <xdr:from>
      <xdr:col>4</xdr:col>
      <xdr:colOff>364671</xdr:colOff>
      <xdr:row>14</xdr:row>
      <xdr:rowOff>88448</xdr:rowOff>
    </xdr:from>
    <xdr:to>
      <xdr:col>11</xdr:col>
      <xdr:colOff>457202</xdr:colOff>
      <xdr:row>31</xdr:row>
      <xdr:rowOff>59872</xdr:rowOff>
    </xdr:to>
    <xdr:pic>
      <xdr:nvPicPr>
        <xdr:cNvPr id="4"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4384221" y="2622098"/>
          <a:ext cx="5540831" cy="3047999"/>
        </a:xfrm>
        <a:prstGeom prst="rect">
          <a:avLst/>
        </a:prstGeom>
        <a:noFill/>
      </xdr:spPr>
    </xdr:pic>
    <xdr:clientData/>
  </xdr:twoCellAnchor>
  <xdr:twoCellAnchor editAs="oneCell">
    <xdr:from>
      <xdr:col>14</xdr:col>
      <xdr:colOff>533400</xdr:colOff>
      <xdr:row>29</xdr:row>
      <xdr:rowOff>71438</xdr:rowOff>
    </xdr:from>
    <xdr:to>
      <xdr:col>16</xdr:col>
      <xdr:colOff>1078705</xdr:colOff>
      <xdr:row>46</xdr:row>
      <xdr:rowOff>80963</xdr:rowOff>
    </xdr:to>
    <xdr:pic>
      <xdr:nvPicPr>
        <xdr:cNvPr id="5"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11734800" y="5319713"/>
          <a:ext cx="3317080" cy="3086100"/>
        </a:xfrm>
        <a:prstGeom prst="rect">
          <a:avLst/>
        </a:prstGeom>
        <a:noFill/>
      </xdr:spPr>
    </xdr:pic>
    <xdr:clientData/>
  </xdr:twoCellAnchor>
  <xdr:twoCellAnchor editAs="oneCell">
    <xdr:from>
      <xdr:col>6</xdr:col>
      <xdr:colOff>459579</xdr:colOff>
      <xdr:row>43</xdr:row>
      <xdr:rowOff>47626</xdr:rowOff>
    </xdr:from>
    <xdr:to>
      <xdr:col>13</xdr:col>
      <xdr:colOff>571498</xdr:colOff>
      <xdr:row>46</xdr:row>
      <xdr:rowOff>167482</xdr:rowOff>
    </xdr:to>
    <xdr:pic>
      <xdr:nvPicPr>
        <xdr:cNvPr id="6"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6174579" y="7829551"/>
          <a:ext cx="4912519" cy="662781"/>
        </a:xfrm>
        <a:prstGeom prst="rect">
          <a:avLst/>
        </a:prstGeom>
        <a:noFill/>
      </xdr:spPr>
    </xdr:pic>
    <xdr:clientData/>
  </xdr:twoCellAnchor>
  <xdr:twoCellAnchor editAs="oneCell">
    <xdr:from>
      <xdr:col>15</xdr:col>
      <xdr:colOff>676275</xdr:colOff>
      <xdr:row>46</xdr:row>
      <xdr:rowOff>133350</xdr:rowOff>
    </xdr:from>
    <xdr:to>
      <xdr:col>15</xdr:col>
      <xdr:colOff>876300</xdr:colOff>
      <xdr:row>53</xdr:row>
      <xdr:rowOff>38100</xdr:rowOff>
    </xdr:to>
    <xdr:pic>
      <xdr:nvPicPr>
        <xdr:cNvPr id="7"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12563475" y="8458200"/>
          <a:ext cx="523875" cy="1171575"/>
        </a:xfrm>
        <a:prstGeom prst="rect">
          <a:avLst/>
        </a:prstGeom>
        <a:noFill/>
      </xdr:spPr>
    </xdr:pic>
    <xdr:clientData/>
  </xdr:twoCellAnchor>
  <xdr:twoCellAnchor editAs="oneCell">
    <xdr:from>
      <xdr:col>12</xdr:col>
      <xdr:colOff>0</xdr:colOff>
      <xdr:row>49</xdr:row>
      <xdr:rowOff>0</xdr:rowOff>
    </xdr:from>
    <xdr:to>
      <xdr:col>15</xdr:col>
      <xdr:colOff>609600</xdr:colOff>
      <xdr:row>51</xdr:row>
      <xdr:rowOff>76200</xdr:rowOff>
    </xdr:to>
    <xdr:pic>
      <xdr:nvPicPr>
        <xdr:cNvPr id="8"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9829800" y="8867775"/>
          <a:ext cx="2667000" cy="438150"/>
        </a:xfrm>
        <a:prstGeom prst="rect">
          <a:avLst/>
        </a:prstGeom>
        <a:noFill/>
      </xdr:spPr>
    </xdr:pic>
    <xdr:clientData/>
  </xdr:twoCellAnchor>
  <xdr:twoCellAnchor editAs="oneCell">
    <xdr:from>
      <xdr:col>7</xdr:col>
      <xdr:colOff>290513</xdr:colOff>
      <xdr:row>53</xdr:row>
      <xdr:rowOff>30956</xdr:rowOff>
    </xdr:from>
    <xdr:to>
      <xdr:col>15</xdr:col>
      <xdr:colOff>614364</xdr:colOff>
      <xdr:row>64</xdr:row>
      <xdr:rowOff>179954</xdr:rowOff>
    </xdr:to>
    <xdr:pic>
      <xdr:nvPicPr>
        <xdr:cNvPr id="9"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6691313" y="9622631"/>
          <a:ext cx="5810251" cy="2187348"/>
        </a:xfrm>
        <a:prstGeom prst="rect">
          <a:avLst/>
        </a:prstGeom>
        <a:noFill/>
      </xdr:spPr>
    </xdr:pic>
    <xdr:clientData/>
  </xdr:twoCellAnchor>
  <xdr:twoCellAnchor editAs="oneCell">
    <xdr:from>
      <xdr:col>6</xdr:col>
      <xdr:colOff>0</xdr:colOff>
      <xdr:row>34</xdr:row>
      <xdr:rowOff>0</xdr:rowOff>
    </xdr:from>
    <xdr:to>
      <xdr:col>8</xdr:col>
      <xdr:colOff>600074</xdr:colOff>
      <xdr:row>35</xdr:row>
      <xdr:rowOff>47625</xdr:rowOff>
    </xdr:to>
    <xdr:pic>
      <xdr:nvPicPr>
        <xdr:cNvPr id="10"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5715000" y="6153150"/>
          <a:ext cx="1971674" cy="228600"/>
        </a:xfrm>
        <a:prstGeom prst="rect">
          <a:avLst/>
        </a:prstGeom>
        <a:noFill/>
      </xdr:spPr>
    </xdr:pic>
    <xdr:clientData/>
  </xdr:twoCellAnchor>
  <xdr:twoCellAnchor editAs="oneCell">
    <xdr:from>
      <xdr:col>15</xdr:col>
      <xdr:colOff>198465</xdr:colOff>
      <xdr:row>42</xdr:row>
      <xdr:rowOff>35718</xdr:rowOff>
    </xdr:from>
    <xdr:to>
      <xdr:col>17</xdr:col>
      <xdr:colOff>152400</xdr:colOff>
      <xdr:row>47</xdr:row>
      <xdr:rowOff>47624</xdr:rowOff>
    </xdr:to>
    <xdr:pic>
      <xdr:nvPicPr>
        <xdr:cNvPr id="11"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12085665" y="7636668"/>
          <a:ext cx="3478185" cy="916781"/>
        </a:xfrm>
        <a:prstGeom prst="rect">
          <a:avLst/>
        </a:prstGeom>
        <a:noFill/>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10</xdr:col>
      <xdr:colOff>487680</xdr:colOff>
      <xdr:row>1</xdr:row>
      <xdr:rowOff>129540</xdr:rowOff>
    </xdr:from>
    <xdr:to>
      <xdr:col>18</xdr:col>
      <xdr:colOff>480060</xdr:colOff>
      <xdr:row>10</xdr:row>
      <xdr:rowOff>99060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583680" y="312420"/>
          <a:ext cx="4869180" cy="1615440"/>
        </a:xfrm>
        <a:prstGeom prst="rect">
          <a:avLst/>
        </a:prstGeom>
        <a:noFill/>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548640</xdr:colOff>
      <xdr:row>0</xdr:row>
      <xdr:rowOff>0</xdr:rowOff>
    </xdr:from>
    <xdr:to>
      <xdr:col>18</xdr:col>
      <xdr:colOff>297180</xdr:colOff>
      <xdr:row>27</xdr:row>
      <xdr:rowOff>121920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11365" y="0"/>
          <a:ext cx="5234940" cy="5265420"/>
        </a:xfrm>
        <a:prstGeom prst="rect">
          <a:avLst/>
        </a:prstGeom>
        <a:noFill/>
      </xdr:spPr>
    </xdr:pic>
    <xdr:clientData/>
  </xdr:twoCellAnchor>
  <xdr:twoCellAnchor editAs="oneCell">
    <xdr:from>
      <xdr:col>8</xdr:col>
      <xdr:colOff>205740</xdr:colOff>
      <xdr:row>29</xdr:row>
      <xdr:rowOff>68580</xdr:rowOff>
    </xdr:from>
    <xdr:to>
      <xdr:col>17</xdr:col>
      <xdr:colOff>137160</xdr:colOff>
      <xdr:row>45</xdr:row>
      <xdr:rowOff>144780</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158865" y="5593080"/>
          <a:ext cx="5417820" cy="3314700"/>
        </a:xfrm>
        <a:prstGeom prst="rect">
          <a:avLst/>
        </a:prstGeom>
        <a:noFill/>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151848</xdr:colOff>
      <xdr:row>141</xdr:row>
      <xdr:rowOff>55217</xdr:rowOff>
    </xdr:from>
    <xdr:to>
      <xdr:col>7</xdr:col>
      <xdr:colOff>986696</xdr:colOff>
      <xdr:row>149</xdr:row>
      <xdr:rowOff>9112</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2512391" y="31984674"/>
          <a:ext cx="7847457" cy="1499981"/>
        </a:xfrm>
        <a:prstGeom prst="rect">
          <a:avLst/>
        </a:prstGeom>
        <a:noFill/>
      </xdr:spPr>
    </xdr:pic>
    <xdr:clientData/>
  </xdr:twoCellAnchor>
  <xdr:twoCellAnchor editAs="oneCell">
    <xdr:from>
      <xdr:col>5</xdr:col>
      <xdr:colOff>0</xdr:colOff>
      <xdr:row>145</xdr:row>
      <xdr:rowOff>151848</xdr:rowOff>
    </xdr:from>
    <xdr:to>
      <xdr:col>6</xdr:col>
      <xdr:colOff>936686</xdr:colOff>
      <xdr:row>152</xdr:row>
      <xdr:rowOff>0</xdr:rowOff>
    </xdr:to>
    <xdr:pic>
      <xdr:nvPicPr>
        <xdr:cNvPr id="1027"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4017065" y="32854348"/>
          <a:ext cx="3877012" cy="1200978"/>
        </a:xfrm>
        <a:prstGeom prst="rect">
          <a:avLst/>
        </a:prstGeom>
        <a:noFill/>
      </xdr:spPr>
    </xdr:pic>
    <xdr:clientData/>
  </xdr:twoCellAnchor>
</xdr:wsDr>
</file>

<file path=xl/drawings/drawing17.xml><?xml version="1.0" encoding="utf-8"?>
<xdr:wsDr xmlns:xdr="http://schemas.openxmlformats.org/drawingml/2006/spreadsheetDrawing" xmlns:a="http://schemas.openxmlformats.org/drawingml/2006/main">
  <xdr:oneCellAnchor>
    <xdr:from>
      <xdr:col>8</xdr:col>
      <xdr:colOff>0</xdr:colOff>
      <xdr:row>3</xdr:row>
      <xdr:rowOff>0</xdr:rowOff>
    </xdr:from>
    <xdr:ext cx="5143500" cy="2251710"/>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181725" y="571500"/>
          <a:ext cx="5143500" cy="2251710"/>
        </a:xfrm>
        <a:prstGeom prst="rect">
          <a:avLst/>
        </a:prstGeom>
        <a:noFill/>
      </xdr:spPr>
    </xdr:pic>
    <xdr:clientData/>
  </xdr:oneCellAnchor>
  <xdr:oneCellAnchor>
    <xdr:from>
      <xdr:col>10</xdr:col>
      <xdr:colOff>0</xdr:colOff>
      <xdr:row>18</xdr:row>
      <xdr:rowOff>0</xdr:rowOff>
    </xdr:from>
    <xdr:ext cx="2309414" cy="624840"/>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7400925" y="4162425"/>
          <a:ext cx="2309414" cy="624840"/>
        </a:xfrm>
        <a:prstGeom prst="rect">
          <a:avLst/>
        </a:prstGeom>
        <a:noFill/>
      </xdr:spPr>
    </xdr:pic>
    <xdr:clientData/>
  </xdr:oneCellAnchor>
</xdr:wsDr>
</file>

<file path=xl/drawings/drawing18.xml><?xml version="1.0" encoding="utf-8"?>
<xdr:wsDr xmlns:xdr="http://schemas.openxmlformats.org/drawingml/2006/spreadsheetDrawing" xmlns:a="http://schemas.openxmlformats.org/drawingml/2006/main">
  <xdr:twoCellAnchor editAs="oneCell">
    <xdr:from>
      <xdr:col>21</xdr:col>
      <xdr:colOff>231569</xdr:colOff>
      <xdr:row>1</xdr:row>
      <xdr:rowOff>156603</xdr:rowOff>
    </xdr:from>
    <xdr:to>
      <xdr:col>27</xdr:col>
      <xdr:colOff>487769</xdr:colOff>
      <xdr:row>5</xdr:row>
      <xdr:rowOff>88114</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7902712" y="338032"/>
          <a:ext cx="3884772" cy="657225"/>
        </a:xfrm>
        <a:prstGeom prst="rect">
          <a:avLst/>
        </a:prstGeom>
        <a:noFill/>
      </xdr:spPr>
    </xdr:pic>
    <xdr:clientData/>
  </xdr:twoCellAnchor>
  <xdr:twoCellAnchor editAs="oneCell">
    <xdr:from>
      <xdr:col>20</xdr:col>
      <xdr:colOff>167086</xdr:colOff>
      <xdr:row>6</xdr:row>
      <xdr:rowOff>173355</xdr:rowOff>
    </xdr:from>
    <xdr:to>
      <xdr:col>28</xdr:col>
      <xdr:colOff>585896</xdr:colOff>
      <xdr:row>24</xdr:row>
      <xdr:rowOff>89535</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7296846" y="1270635"/>
          <a:ext cx="5295612" cy="3421380"/>
        </a:xfrm>
        <a:prstGeom prst="rect">
          <a:avLst/>
        </a:prstGeom>
        <a:noFill/>
      </xdr:spPr>
    </xdr:pic>
    <xdr:clientData/>
  </xdr:twoCellAnchor>
  <xdr:twoCellAnchor editAs="oneCell">
    <xdr:from>
      <xdr:col>15</xdr:col>
      <xdr:colOff>275499</xdr:colOff>
      <xdr:row>50</xdr:row>
      <xdr:rowOff>45575</xdr:rowOff>
    </xdr:from>
    <xdr:to>
      <xdr:col>20</xdr:col>
      <xdr:colOff>135620</xdr:colOff>
      <xdr:row>63</xdr:row>
      <xdr:rowOff>88479</xdr:rowOff>
    </xdr:to>
    <xdr:pic>
      <xdr:nvPicPr>
        <xdr:cNvPr id="4"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14318070" y="9431480"/>
          <a:ext cx="2883930" cy="2413570"/>
        </a:xfrm>
        <a:prstGeom prst="rect">
          <a:avLst/>
        </a:prstGeom>
        <a:noFill/>
      </xdr:spPr>
    </xdr:pic>
    <xdr:clientData/>
  </xdr:twoCellAnchor>
  <xdr:twoCellAnchor editAs="oneCell">
    <xdr:from>
      <xdr:col>15</xdr:col>
      <xdr:colOff>37012</xdr:colOff>
      <xdr:row>25</xdr:row>
      <xdr:rowOff>88295</xdr:rowOff>
    </xdr:from>
    <xdr:to>
      <xdr:col>18</xdr:col>
      <xdr:colOff>354945</xdr:colOff>
      <xdr:row>35</xdr:row>
      <xdr:rowOff>43241</xdr:rowOff>
    </xdr:to>
    <xdr:pic>
      <xdr:nvPicPr>
        <xdr:cNvPr id="5"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14079583" y="4841724"/>
          <a:ext cx="2132220" cy="1769231"/>
        </a:xfrm>
        <a:prstGeom prst="rect">
          <a:avLst/>
        </a:prstGeom>
        <a:noFill/>
      </xdr:spPr>
    </xdr:pic>
    <xdr:clientData/>
  </xdr:twoCellAnchor>
  <xdr:twoCellAnchor editAs="oneCell">
    <xdr:from>
      <xdr:col>16</xdr:col>
      <xdr:colOff>162801</xdr:colOff>
      <xdr:row>83</xdr:row>
      <xdr:rowOff>176954</xdr:rowOff>
    </xdr:from>
    <xdr:to>
      <xdr:col>19</xdr:col>
      <xdr:colOff>521043</xdr:colOff>
      <xdr:row>89</xdr:row>
      <xdr:rowOff>95969</xdr:rowOff>
    </xdr:to>
    <xdr:pic>
      <xdr:nvPicPr>
        <xdr:cNvPr id="6" name="Picture 7"/>
        <xdr:cNvPicPr>
          <a:picLocks noChangeAspect="1" noChangeArrowheads="1"/>
        </xdr:cNvPicPr>
      </xdr:nvPicPr>
      <xdr:blipFill>
        <a:blip xmlns:r="http://schemas.openxmlformats.org/officeDocument/2006/relationships" r:embed="rId5" cstate="print"/>
        <a:srcRect/>
        <a:stretch>
          <a:fillRect/>
        </a:stretch>
      </xdr:blipFill>
      <xdr:spPr bwMode="auto">
        <a:xfrm>
          <a:off x="14810134" y="13965525"/>
          <a:ext cx="2172527" cy="1234017"/>
        </a:xfrm>
        <a:prstGeom prst="rect">
          <a:avLst/>
        </a:prstGeom>
        <a:noFill/>
      </xdr:spPr>
    </xdr:pic>
    <xdr:clientData/>
  </xdr:twoCellAnchor>
  <xdr:twoCellAnchor editAs="oneCell">
    <xdr:from>
      <xdr:col>15</xdr:col>
      <xdr:colOff>542774</xdr:colOff>
      <xdr:row>90</xdr:row>
      <xdr:rowOff>4386</xdr:rowOff>
    </xdr:from>
    <xdr:to>
      <xdr:col>19</xdr:col>
      <xdr:colOff>126608</xdr:colOff>
      <xdr:row>92</xdr:row>
      <xdr:rowOff>32961</xdr:rowOff>
    </xdr:to>
    <xdr:pic>
      <xdr:nvPicPr>
        <xdr:cNvPr id="7"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14585345" y="15062957"/>
          <a:ext cx="2002881" cy="391432"/>
        </a:xfrm>
        <a:prstGeom prst="rect">
          <a:avLst/>
        </a:prstGeom>
        <a:noFill/>
      </xdr:spPr>
    </xdr:pic>
    <xdr:clientData/>
  </xdr:twoCellAnchor>
  <xdr:twoCellAnchor editAs="oneCell">
    <xdr:from>
      <xdr:col>11</xdr:col>
      <xdr:colOff>407800</xdr:colOff>
      <xdr:row>95</xdr:row>
      <xdr:rowOff>135920</xdr:rowOff>
    </xdr:from>
    <xdr:to>
      <xdr:col>18</xdr:col>
      <xdr:colOff>164675</xdr:colOff>
      <xdr:row>102</xdr:row>
      <xdr:rowOff>60476</xdr:rowOff>
    </xdr:to>
    <xdr:pic>
      <xdr:nvPicPr>
        <xdr:cNvPr id="9" name="Picture 3"/>
        <xdr:cNvPicPr>
          <a:picLocks noChangeAspect="1" noChangeArrowheads="1"/>
        </xdr:cNvPicPr>
      </xdr:nvPicPr>
      <xdr:blipFill>
        <a:blip xmlns:r="http://schemas.openxmlformats.org/officeDocument/2006/relationships" r:embed="rId7" cstate="print"/>
        <a:srcRect/>
        <a:stretch>
          <a:fillRect/>
        </a:stretch>
      </xdr:blipFill>
      <xdr:spPr bwMode="auto">
        <a:xfrm>
          <a:off x="12031324" y="16101634"/>
          <a:ext cx="3990210" cy="1194555"/>
        </a:xfrm>
        <a:prstGeom prst="rect">
          <a:avLst/>
        </a:prstGeom>
        <a:noFill/>
      </xdr:spPr>
    </xdr:pic>
    <xdr:clientData/>
  </xdr:twoCellAnchor>
  <xdr:twoCellAnchor editAs="oneCell">
    <xdr:from>
      <xdr:col>11</xdr:col>
      <xdr:colOff>68035</xdr:colOff>
      <xdr:row>27</xdr:row>
      <xdr:rowOff>72118</xdr:rowOff>
    </xdr:from>
    <xdr:to>
      <xdr:col>19</xdr:col>
      <xdr:colOff>166309</xdr:colOff>
      <xdr:row>43</xdr:row>
      <xdr:rowOff>164495</xdr:rowOff>
    </xdr:to>
    <xdr:pic>
      <xdr:nvPicPr>
        <xdr:cNvPr id="2049" name="Picture 1"/>
        <xdr:cNvPicPr>
          <a:picLocks noChangeAspect="1" noChangeArrowheads="1"/>
        </xdr:cNvPicPr>
      </xdr:nvPicPr>
      <xdr:blipFill>
        <a:blip xmlns:r="http://schemas.openxmlformats.org/officeDocument/2006/relationships" r:embed="rId8" cstate="print"/>
        <a:srcRect/>
        <a:stretch>
          <a:fillRect/>
        </a:stretch>
      </xdr:blipFill>
      <xdr:spPr bwMode="auto">
        <a:xfrm>
          <a:off x="11691559" y="5188404"/>
          <a:ext cx="4936369" cy="3079901"/>
        </a:xfrm>
        <a:prstGeom prst="rect">
          <a:avLst/>
        </a:prstGeom>
        <a:noFill/>
      </xdr:spPr>
    </xdr:pic>
    <xdr:clientData/>
  </xdr:twoCellAnchor>
  <xdr:twoCellAnchor editAs="oneCell">
    <xdr:from>
      <xdr:col>14</xdr:col>
      <xdr:colOff>164495</xdr:colOff>
      <xdr:row>65</xdr:row>
      <xdr:rowOff>7256</xdr:rowOff>
    </xdr:from>
    <xdr:to>
      <xdr:col>20</xdr:col>
      <xdr:colOff>296031</xdr:colOff>
      <xdr:row>74</xdr:row>
      <xdr:rowOff>18315</xdr:rowOff>
    </xdr:to>
    <xdr:pic>
      <xdr:nvPicPr>
        <xdr:cNvPr id="3073" name="Picture 1"/>
        <xdr:cNvPicPr>
          <a:picLocks noChangeAspect="1" noChangeArrowheads="1"/>
        </xdr:cNvPicPr>
      </xdr:nvPicPr>
      <xdr:blipFill>
        <a:blip xmlns:r="http://schemas.openxmlformats.org/officeDocument/2006/relationships" r:embed="rId9" cstate="print"/>
        <a:srcRect/>
        <a:stretch>
          <a:fillRect/>
        </a:stretch>
      </xdr:blipFill>
      <xdr:spPr bwMode="auto">
        <a:xfrm>
          <a:off x="13602305" y="12138780"/>
          <a:ext cx="3760107" cy="1714652"/>
        </a:xfrm>
        <a:prstGeom prst="rect">
          <a:avLst/>
        </a:prstGeom>
        <a:noFill/>
      </xdr:spPr>
    </xdr:pic>
    <xdr:clientData/>
  </xdr:twoCellAnchor>
  <xdr:twoCellAnchor editAs="oneCell">
    <xdr:from>
      <xdr:col>7</xdr:col>
      <xdr:colOff>548396</xdr:colOff>
      <xdr:row>77</xdr:row>
      <xdr:rowOff>91190</xdr:rowOff>
    </xdr:from>
    <xdr:to>
      <xdr:col>11</xdr:col>
      <xdr:colOff>197338</xdr:colOff>
      <xdr:row>100</xdr:row>
      <xdr:rowOff>131807</xdr:rowOff>
    </xdr:to>
    <xdr:pic>
      <xdr:nvPicPr>
        <xdr:cNvPr id="1025" name="Picture 1"/>
        <xdr:cNvPicPr>
          <a:picLocks noChangeAspect="1" noChangeArrowheads="1"/>
        </xdr:cNvPicPr>
      </xdr:nvPicPr>
      <xdr:blipFill>
        <a:blip xmlns:r="http://schemas.openxmlformats.org/officeDocument/2006/relationships" r:embed="rId10" cstate="print"/>
        <a:srcRect/>
        <a:stretch>
          <a:fillRect/>
        </a:stretch>
      </xdr:blipFill>
      <xdr:spPr bwMode="auto">
        <a:xfrm>
          <a:off x="9185109" y="13511808"/>
          <a:ext cx="6295038" cy="4834630"/>
        </a:xfrm>
        <a:prstGeom prst="rect">
          <a:avLst/>
        </a:prstGeom>
        <a:noFill/>
      </xdr:spPr>
    </xdr:pic>
    <xdr:clientData/>
  </xdr:twoCellAnchor>
  <xdr:twoCellAnchor editAs="oneCell">
    <xdr:from>
      <xdr:col>4</xdr:col>
      <xdr:colOff>867693</xdr:colOff>
      <xdr:row>100</xdr:row>
      <xdr:rowOff>115822</xdr:rowOff>
    </xdr:from>
    <xdr:to>
      <xdr:col>9</xdr:col>
      <xdr:colOff>739943</xdr:colOff>
      <xdr:row>135</xdr:row>
      <xdr:rowOff>1815</xdr:rowOff>
    </xdr:to>
    <xdr:pic>
      <xdr:nvPicPr>
        <xdr:cNvPr id="1026" name="Picture 2"/>
        <xdr:cNvPicPr>
          <a:picLocks noChangeAspect="1" noChangeArrowheads="1"/>
        </xdr:cNvPicPr>
      </xdr:nvPicPr>
      <xdr:blipFill>
        <a:blip xmlns:r="http://schemas.openxmlformats.org/officeDocument/2006/relationships" r:embed="rId11" cstate="print"/>
        <a:srcRect/>
        <a:stretch>
          <a:fillRect/>
        </a:stretch>
      </xdr:blipFill>
      <xdr:spPr bwMode="auto">
        <a:xfrm>
          <a:off x="4110474" y="18309642"/>
          <a:ext cx="7106969" cy="6628408"/>
        </a:xfrm>
        <a:prstGeom prst="rect">
          <a:avLst/>
        </a:prstGeom>
        <a:noFill/>
      </xdr:spPr>
    </xdr:pic>
    <xdr:clientData/>
  </xdr:twoCellAnchor>
  <xdr:twoCellAnchor editAs="oneCell">
    <xdr:from>
      <xdr:col>1</xdr:col>
      <xdr:colOff>434835</xdr:colOff>
      <xdr:row>78</xdr:row>
      <xdr:rowOff>101297</xdr:rowOff>
    </xdr:from>
    <xdr:to>
      <xdr:col>2</xdr:col>
      <xdr:colOff>381001</xdr:colOff>
      <xdr:row>80</xdr:row>
      <xdr:rowOff>63682</xdr:rowOff>
    </xdr:to>
    <xdr:pic>
      <xdr:nvPicPr>
        <xdr:cNvPr id="11" name="Picture 1"/>
        <xdr:cNvPicPr>
          <a:picLocks noChangeAspect="1" noChangeArrowheads="1"/>
        </xdr:cNvPicPr>
      </xdr:nvPicPr>
      <xdr:blipFill>
        <a:blip xmlns:r="http://schemas.openxmlformats.org/officeDocument/2006/relationships" r:embed="rId12" cstate="print"/>
        <a:srcRect/>
        <a:stretch>
          <a:fillRect/>
        </a:stretch>
      </xdr:blipFill>
      <xdr:spPr bwMode="auto">
        <a:xfrm>
          <a:off x="1048668" y="15351880"/>
          <a:ext cx="560000" cy="343385"/>
        </a:xfrm>
        <a:prstGeom prst="rect">
          <a:avLst/>
        </a:prstGeom>
        <a:noFill/>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9</xdr:col>
      <xdr:colOff>194164</xdr:colOff>
      <xdr:row>0</xdr:row>
      <xdr:rowOff>0</xdr:rowOff>
    </xdr:from>
    <xdr:to>
      <xdr:col>34</xdr:col>
      <xdr:colOff>89192</xdr:colOff>
      <xdr:row>17</xdr:row>
      <xdr:rowOff>61048</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7615381" y="0"/>
          <a:ext cx="15217854" cy="3158744"/>
        </a:xfrm>
        <a:prstGeom prst="rect">
          <a:avLst/>
        </a:prstGeom>
        <a:noFill/>
      </xdr:spPr>
    </xdr:pic>
    <xdr:clientData/>
  </xdr:twoCellAnchor>
  <xdr:twoCellAnchor editAs="oneCell">
    <xdr:from>
      <xdr:col>14</xdr:col>
      <xdr:colOff>49695</xdr:colOff>
      <xdr:row>7</xdr:row>
      <xdr:rowOff>135834</xdr:rowOff>
    </xdr:from>
    <xdr:to>
      <xdr:col>23</xdr:col>
      <xdr:colOff>389602</xdr:colOff>
      <xdr:row>11</xdr:row>
      <xdr:rowOff>126310</xdr:rowOff>
    </xdr:to>
    <xdr:pic>
      <xdr:nvPicPr>
        <xdr:cNvPr id="1027"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10535478" y="1411356"/>
          <a:ext cx="5856124" cy="719345"/>
        </a:xfrm>
        <a:prstGeom prst="rect">
          <a:avLst/>
        </a:prstGeom>
        <a:noFill/>
      </xdr:spPr>
    </xdr:pic>
    <xdr:clientData/>
  </xdr:twoCellAnchor>
  <xdr:twoCellAnchor editAs="oneCell">
    <xdr:from>
      <xdr:col>17</xdr:col>
      <xdr:colOff>358222</xdr:colOff>
      <xdr:row>21</xdr:row>
      <xdr:rowOff>50523</xdr:rowOff>
    </xdr:from>
    <xdr:to>
      <xdr:col>23</xdr:col>
      <xdr:colOff>477074</xdr:colOff>
      <xdr:row>26</xdr:row>
      <xdr:rowOff>314739</xdr:rowOff>
    </xdr:to>
    <xdr:pic>
      <xdr:nvPicPr>
        <xdr:cNvPr id="1028"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12682744" y="3877088"/>
          <a:ext cx="3796330" cy="1423781"/>
        </a:xfrm>
        <a:prstGeom prst="rect">
          <a:avLst/>
        </a:prstGeom>
        <a:noFill/>
      </xdr:spPr>
    </xdr:pic>
    <xdr:clientData/>
  </xdr:twoCellAnchor>
  <xdr:twoCellAnchor editAs="oneCell">
    <xdr:from>
      <xdr:col>6</xdr:col>
      <xdr:colOff>96472</xdr:colOff>
      <xdr:row>25</xdr:row>
      <xdr:rowOff>163906</xdr:rowOff>
    </xdr:from>
    <xdr:to>
      <xdr:col>12</xdr:col>
      <xdr:colOff>115522</xdr:colOff>
      <xdr:row>29</xdr:row>
      <xdr:rowOff>21735</xdr:rowOff>
    </xdr:to>
    <xdr:pic>
      <xdr:nvPicPr>
        <xdr:cNvPr id="1030" name="Picture 6"/>
        <xdr:cNvPicPr>
          <a:picLocks noChangeAspect="1" noChangeArrowheads="1"/>
        </xdr:cNvPicPr>
      </xdr:nvPicPr>
      <xdr:blipFill>
        <a:blip xmlns:r="http://schemas.openxmlformats.org/officeDocument/2006/relationships" r:embed="rId4" cstate="print"/>
        <a:srcRect/>
        <a:stretch>
          <a:fillRect/>
        </a:stretch>
      </xdr:blipFill>
      <xdr:spPr bwMode="auto">
        <a:xfrm>
          <a:off x="5528164" y="4960598"/>
          <a:ext cx="3653204" cy="1069214"/>
        </a:xfrm>
        <a:prstGeom prst="rect">
          <a:avLst/>
        </a:prstGeom>
        <a:noFill/>
      </xdr:spPr>
    </xdr:pic>
    <xdr:clientData/>
  </xdr:twoCellAnchor>
  <xdr:twoCellAnchor editAs="oneCell">
    <xdr:from>
      <xdr:col>6</xdr:col>
      <xdr:colOff>394433</xdr:colOff>
      <xdr:row>28</xdr:row>
      <xdr:rowOff>184883</xdr:rowOff>
    </xdr:from>
    <xdr:to>
      <xdr:col>15</xdr:col>
      <xdr:colOff>346808</xdr:colOff>
      <xdr:row>36</xdr:row>
      <xdr:rowOff>114301</xdr:rowOff>
    </xdr:to>
    <xdr:pic>
      <xdr:nvPicPr>
        <xdr:cNvPr id="1031" name="Picture 7"/>
        <xdr:cNvPicPr>
          <a:picLocks noChangeAspect="1" noChangeArrowheads="1"/>
        </xdr:cNvPicPr>
      </xdr:nvPicPr>
      <xdr:blipFill>
        <a:blip xmlns:r="http://schemas.openxmlformats.org/officeDocument/2006/relationships" r:embed="rId5" cstate="print"/>
        <a:srcRect/>
        <a:stretch>
          <a:fillRect/>
        </a:stretch>
      </xdr:blipFill>
      <xdr:spPr bwMode="auto">
        <a:xfrm>
          <a:off x="5826125" y="5968268"/>
          <a:ext cx="5403606" cy="1570648"/>
        </a:xfrm>
        <a:prstGeom prst="rect">
          <a:avLst/>
        </a:prstGeom>
        <a:noFill/>
      </xdr:spPr>
    </xdr:pic>
    <xdr:clientData/>
  </xdr:twoCellAnchor>
  <xdr:twoCellAnchor editAs="oneCell">
    <xdr:from>
      <xdr:col>0</xdr:col>
      <xdr:colOff>175846</xdr:colOff>
      <xdr:row>55</xdr:row>
      <xdr:rowOff>17828</xdr:rowOff>
    </xdr:from>
    <xdr:to>
      <xdr:col>8</xdr:col>
      <xdr:colOff>492857</xdr:colOff>
      <xdr:row>64</xdr:row>
      <xdr:rowOff>17829</xdr:rowOff>
    </xdr:to>
    <xdr:pic>
      <xdr:nvPicPr>
        <xdr:cNvPr id="1032" name="Picture 8"/>
        <xdr:cNvPicPr>
          <a:picLocks noChangeAspect="1" noChangeArrowheads="1"/>
        </xdr:cNvPicPr>
      </xdr:nvPicPr>
      <xdr:blipFill>
        <a:blip xmlns:r="http://schemas.openxmlformats.org/officeDocument/2006/relationships" r:embed="rId6" cstate="print"/>
        <a:srcRect/>
        <a:stretch>
          <a:fillRect/>
        </a:stretch>
      </xdr:blipFill>
      <xdr:spPr bwMode="auto">
        <a:xfrm>
          <a:off x="175846" y="10969136"/>
          <a:ext cx="7077319" cy="1670539"/>
        </a:xfrm>
        <a:prstGeom prst="rect">
          <a:avLst/>
        </a:prstGeom>
        <a:noFill/>
      </xdr:spPr>
    </xdr:pic>
    <xdr:clientData/>
  </xdr:twoCellAnchor>
  <xdr:twoCellAnchor editAs="oneCell">
    <xdr:from>
      <xdr:col>2</xdr:col>
      <xdr:colOff>967154</xdr:colOff>
      <xdr:row>34</xdr:row>
      <xdr:rowOff>34294</xdr:rowOff>
    </xdr:from>
    <xdr:to>
      <xdr:col>8</xdr:col>
      <xdr:colOff>586154</xdr:colOff>
      <xdr:row>53</xdr:row>
      <xdr:rowOff>33802</xdr:rowOff>
    </xdr:to>
    <xdr:pic>
      <xdr:nvPicPr>
        <xdr:cNvPr id="2049" name="Picture 1"/>
        <xdr:cNvPicPr>
          <a:picLocks noChangeAspect="1" noChangeArrowheads="1"/>
        </xdr:cNvPicPr>
      </xdr:nvPicPr>
      <xdr:blipFill>
        <a:blip xmlns:r="http://schemas.openxmlformats.org/officeDocument/2006/relationships" r:embed="rId7" cstate="print"/>
        <a:srcRect/>
        <a:stretch>
          <a:fillRect/>
        </a:stretch>
      </xdr:blipFill>
      <xdr:spPr bwMode="auto">
        <a:xfrm>
          <a:off x="2178539" y="7087679"/>
          <a:ext cx="5167923" cy="3526200"/>
        </a:xfrm>
        <a:prstGeom prst="rect">
          <a:avLst/>
        </a:prstGeom>
        <a:noFill/>
      </xdr:spPr>
    </xdr:pic>
    <xdr:clientData/>
  </xdr:twoCellAnchor>
  <xdr:twoCellAnchor editAs="oneCell">
    <xdr:from>
      <xdr:col>2</xdr:col>
      <xdr:colOff>0</xdr:colOff>
      <xdr:row>64</xdr:row>
      <xdr:rowOff>4129</xdr:rowOff>
    </xdr:from>
    <xdr:to>
      <xdr:col>7</xdr:col>
      <xdr:colOff>312616</xdr:colOff>
      <xdr:row>84</xdr:row>
      <xdr:rowOff>7620</xdr:rowOff>
    </xdr:to>
    <xdr:pic>
      <xdr:nvPicPr>
        <xdr:cNvPr id="2050" name="Picture 2"/>
        <xdr:cNvPicPr>
          <a:picLocks noChangeAspect="1" noChangeArrowheads="1"/>
        </xdr:cNvPicPr>
      </xdr:nvPicPr>
      <xdr:blipFill>
        <a:blip xmlns:r="http://schemas.openxmlformats.org/officeDocument/2006/relationships" r:embed="rId8" cstate="print"/>
        <a:srcRect/>
        <a:stretch>
          <a:fillRect/>
        </a:stretch>
      </xdr:blipFill>
      <xdr:spPr bwMode="auto">
        <a:xfrm>
          <a:off x="1211385" y="12625975"/>
          <a:ext cx="5255846" cy="3715799"/>
        </a:xfrm>
        <a:prstGeom prst="rect">
          <a:avLst/>
        </a:prstGeom>
        <a:noFill/>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10</xdr:col>
      <xdr:colOff>373808</xdr:colOff>
      <xdr:row>10</xdr:row>
      <xdr:rowOff>86711</xdr:rowOff>
    </xdr:from>
    <xdr:to>
      <xdr:col>19</xdr:col>
      <xdr:colOff>459402</xdr:colOff>
      <xdr:row>48</xdr:row>
      <xdr:rowOff>153279</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315757" y="1894847"/>
          <a:ext cx="5548747" cy="6937483"/>
        </a:xfrm>
        <a:prstGeom prst="rect">
          <a:avLst/>
        </a:prstGeom>
        <a:noFill/>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11</xdr:col>
      <xdr:colOff>486532</xdr:colOff>
      <xdr:row>45</xdr:row>
      <xdr:rowOff>61209</xdr:rowOff>
    </xdr:from>
    <xdr:to>
      <xdr:col>18</xdr:col>
      <xdr:colOff>101594</xdr:colOff>
      <xdr:row>72</xdr:row>
      <xdr:rowOff>51685</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0052500" y="9780806"/>
          <a:ext cx="4910142" cy="5316282"/>
        </a:xfrm>
        <a:prstGeom prst="rect">
          <a:avLst/>
        </a:prstGeom>
        <a:noFill/>
      </xdr:spPr>
    </xdr:pic>
    <xdr:clientData/>
  </xdr:twoCellAnchor>
  <xdr:twoCellAnchor editAs="oneCell">
    <xdr:from>
      <xdr:col>6</xdr:col>
      <xdr:colOff>610576</xdr:colOff>
      <xdr:row>6</xdr:row>
      <xdr:rowOff>268655</xdr:rowOff>
    </xdr:from>
    <xdr:to>
      <xdr:col>13</xdr:col>
      <xdr:colOff>1091946</xdr:colOff>
      <xdr:row>11</xdr:row>
      <xdr:rowOff>232753</xdr:rowOff>
    </xdr:to>
    <xdr:pic>
      <xdr:nvPicPr>
        <xdr:cNvPr id="1025"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5849326" y="1807309"/>
          <a:ext cx="5683485" cy="1471002"/>
        </a:xfrm>
        <a:prstGeom prst="rect">
          <a:avLst/>
        </a:prstGeom>
        <a:noFill/>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9</xdr:col>
      <xdr:colOff>447675</xdr:colOff>
      <xdr:row>1</xdr:row>
      <xdr:rowOff>123825</xdr:rowOff>
    </xdr:from>
    <xdr:to>
      <xdr:col>17</xdr:col>
      <xdr:colOff>538478</xdr:colOff>
      <xdr:row>33</xdr:row>
      <xdr:rowOff>171220</xdr:rowOff>
    </xdr:to>
    <xdr:pic>
      <xdr:nvPicPr>
        <xdr:cNvPr id="512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601200" y="304800"/>
          <a:ext cx="6015352" cy="5990995"/>
        </a:xfrm>
        <a:prstGeom prst="rect">
          <a:avLst/>
        </a:prstGeom>
        <a:noFill/>
      </xdr:spPr>
    </xdr:pic>
    <xdr:clientData/>
  </xdr:twoCellAnchor>
  <xdr:twoCellAnchor editAs="oneCell">
    <xdr:from>
      <xdr:col>9</xdr:col>
      <xdr:colOff>110405</xdr:colOff>
      <xdr:row>41</xdr:row>
      <xdr:rowOff>171450</xdr:rowOff>
    </xdr:from>
    <xdr:to>
      <xdr:col>17</xdr:col>
      <xdr:colOff>404987</xdr:colOff>
      <xdr:row>56</xdr:row>
      <xdr:rowOff>38100</xdr:rowOff>
    </xdr:to>
    <xdr:pic>
      <xdr:nvPicPr>
        <xdr:cNvPr id="5122"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8768630" y="7829550"/>
          <a:ext cx="6171506" cy="2914650"/>
        </a:xfrm>
        <a:prstGeom prst="rect">
          <a:avLst/>
        </a:prstGeom>
        <a:noFill/>
      </xdr:spPr>
    </xdr:pic>
    <xdr:clientData/>
  </xdr:twoCellAnchor>
  <xdr:twoCellAnchor editAs="oneCell">
    <xdr:from>
      <xdr:col>5</xdr:col>
      <xdr:colOff>0</xdr:colOff>
      <xdr:row>38</xdr:row>
      <xdr:rowOff>0</xdr:rowOff>
    </xdr:from>
    <xdr:to>
      <xdr:col>6</xdr:col>
      <xdr:colOff>1022477</xdr:colOff>
      <xdr:row>40</xdr:row>
      <xdr:rowOff>190500</xdr:rowOff>
    </xdr:to>
    <xdr:pic>
      <xdr:nvPicPr>
        <xdr:cNvPr id="1025"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4297680" y="6652260"/>
          <a:ext cx="2327402" cy="586740"/>
        </a:xfrm>
        <a:prstGeom prst="rect">
          <a:avLst/>
        </a:prstGeom>
        <a:noFill/>
      </xdr:spPr>
    </xdr:pic>
    <xdr:clientData/>
  </xdr:twoCellAnchor>
  <xdr:twoCellAnchor editAs="oneCell">
    <xdr:from>
      <xdr:col>2</xdr:col>
      <xdr:colOff>0</xdr:colOff>
      <xdr:row>22</xdr:row>
      <xdr:rowOff>0</xdr:rowOff>
    </xdr:from>
    <xdr:to>
      <xdr:col>5</xdr:col>
      <xdr:colOff>716532</xdr:colOff>
      <xdr:row>25</xdr:row>
      <xdr:rowOff>140887</xdr:rowOff>
    </xdr:to>
    <xdr:pic>
      <xdr:nvPicPr>
        <xdr:cNvPr id="6"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1219200" y="4133850"/>
          <a:ext cx="4404691" cy="683812"/>
        </a:xfrm>
        <a:prstGeom prst="rect">
          <a:avLst/>
        </a:prstGeom>
        <a:noFill/>
      </xdr:spPr>
    </xdr:pic>
    <xdr:clientData/>
  </xdr:twoCellAnchor>
  <xdr:twoCellAnchor editAs="oneCell">
    <xdr:from>
      <xdr:col>2</xdr:col>
      <xdr:colOff>0</xdr:colOff>
      <xdr:row>26</xdr:row>
      <xdr:rowOff>0</xdr:rowOff>
    </xdr:from>
    <xdr:to>
      <xdr:col>4</xdr:col>
      <xdr:colOff>502438</xdr:colOff>
      <xdr:row>27</xdr:row>
      <xdr:rowOff>46962</xdr:rowOff>
    </xdr:to>
    <xdr:pic>
      <xdr:nvPicPr>
        <xdr:cNvPr id="7"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1219200" y="4857750"/>
          <a:ext cx="2969413" cy="227937"/>
        </a:xfrm>
        <a:prstGeom prst="rect">
          <a:avLst/>
        </a:prstGeom>
        <a:noFill/>
      </xdr:spPr>
    </xdr:pic>
    <xdr:clientData/>
  </xdr:twoCellAnchor>
  <xdr:twoCellAnchor editAs="oneCell">
    <xdr:from>
      <xdr:col>2</xdr:col>
      <xdr:colOff>0</xdr:colOff>
      <xdr:row>30</xdr:row>
      <xdr:rowOff>0</xdr:rowOff>
    </xdr:from>
    <xdr:to>
      <xdr:col>4</xdr:col>
      <xdr:colOff>266700</xdr:colOff>
      <xdr:row>32</xdr:row>
      <xdr:rowOff>38100</xdr:rowOff>
    </xdr:to>
    <xdr:pic>
      <xdr:nvPicPr>
        <xdr:cNvPr id="2050"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1219200" y="5631180"/>
          <a:ext cx="2735580" cy="403860"/>
        </a:xfrm>
        <a:prstGeom prst="rect">
          <a:avLst/>
        </a:prstGeom>
        <a:noFill/>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11</xdr:col>
      <xdr:colOff>452459</xdr:colOff>
      <xdr:row>8</xdr:row>
      <xdr:rowOff>175260</xdr:rowOff>
    </xdr:from>
    <xdr:to>
      <xdr:col>16</xdr:col>
      <xdr:colOff>198121</xdr:colOff>
      <xdr:row>11</xdr:row>
      <xdr:rowOff>62747</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156279" y="1638300"/>
          <a:ext cx="3829981" cy="655320"/>
        </a:xfrm>
        <a:prstGeom prst="rect">
          <a:avLst/>
        </a:prstGeom>
        <a:noFill/>
      </xdr:spPr>
    </xdr:pic>
    <xdr:clientData/>
  </xdr:twoCellAnchor>
  <xdr:twoCellAnchor editAs="oneCell">
    <xdr:from>
      <xdr:col>14</xdr:col>
      <xdr:colOff>79456</xdr:colOff>
      <xdr:row>30</xdr:row>
      <xdr:rowOff>171450</xdr:rowOff>
    </xdr:from>
    <xdr:to>
      <xdr:col>24</xdr:col>
      <xdr:colOff>109648</xdr:colOff>
      <xdr:row>49</xdr:row>
      <xdr:rowOff>11431</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3216336" y="5703570"/>
          <a:ext cx="6126192" cy="3413760"/>
        </a:xfrm>
        <a:prstGeom prst="rect">
          <a:avLst/>
        </a:prstGeom>
        <a:noFill/>
      </xdr:spPr>
    </xdr:pic>
    <xdr:clientData/>
  </xdr:twoCellAnchor>
  <xdr:twoCellAnchor editAs="oneCell">
    <xdr:from>
      <xdr:col>5</xdr:col>
      <xdr:colOff>11368</xdr:colOff>
      <xdr:row>38</xdr:row>
      <xdr:rowOff>30479</xdr:rowOff>
    </xdr:from>
    <xdr:to>
      <xdr:col>6</xdr:col>
      <xdr:colOff>1270635</xdr:colOff>
      <xdr:row>48</xdr:row>
      <xdr:rowOff>99060</xdr:rowOff>
    </xdr:to>
    <xdr:pic>
      <xdr:nvPicPr>
        <xdr:cNvPr id="4"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3983293" y="7269479"/>
          <a:ext cx="2800412" cy="1983106"/>
        </a:xfrm>
        <a:prstGeom prst="rect">
          <a:avLst/>
        </a:prstGeom>
        <a:noFill/>
      </xdr:spPr>
    </xdr:pic>
    <xdr:clientData/>
  </xdr:twoCellAnchor>
  <xdr:twoCellAnchor editAs="oneCell">
    <xdr:from>
      <xdr:col>5</xdr:col>
      <xdr:colOff>472440</xdr:colOff>
      <xdr:row>49</xdr:row>
      <xdr:rowOff>76200</xdr:rowOff>
    </xdr:from>
    <xdr:to>
      <xdr:col>7</xdr:col>
      <xdr:colOff>564708</xdr:colOff>
      <xdr:row>59</xdr:row>
      <xdr:rowOff>28575</xdr:rowOff>
    </xdr:to>
    <xdr:pic>
      <xdr:nvPicPr>
        <xdr:cNvPr id="5"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4444365" y="9420225"/>
          <a:ext cx="3027872" cy="1876425"/>
        </a:xfrm>
        <a:prstGeom prst="rect">
          <a:avLst/>
        </a:prstGeom>
        <a:noFill/>
      </xdr:spPr>
    </xdr:pic>
    <xdr:clientData/>
  </xdr:twoCellAnchor>
  <xdr:twoCellAnchor editAs="oneCell">
    <xdr:from>
      <xdr:col>5</xdr:col>
      <xdr:colOff>320039</xdr:colOff>
      <xdr:row>59</xdr:row>
      <xdr:rowOff>7620</xdr:rowOff>
    </xdr:from>
    <xdr:to>
      <xdr:col>7</xdr:col>
      <xdr:colOff>300214</xdr:colOff>
      <xdr:row>65</xdr:row>
      <xdr:rowOff>150494</xdr:rowOff>
    </xdr:to>
    <xdr:pic>
      <xdr:nvPicPr>
        <xdr:cNvPr id="6" name="Picture 7"/>
        <xdr:cNvPicPr>
          <a:picLocks noChangeAspect="1" noChangeArrowheads="1"/>
        </xdr:cNvPicPr>
      </xdr:nvPicPr>
      <xdr:blipFill>
        <a:blip xmlns:r="http://schemas.openxmlformats.org/officeDocument/2006/relationships" r:embed="rId5" cstate="print"/>
        <a:srcRect/>
        <a:stretch>
          <a:fillRect/>
        </a:stretch>
      </xdr:blipFill>
      <xdr:spPr bwMode="auto">
        <a:xfrm>
          <a:off x="4291964" y="11266170"/>
          <a:ext cx="2892919" cy="1304925"/>
        </a:xfrm>
        <a:prstGeom prst="rect">
          <a:avLst/>
        </a:prstGeom>
        <a:noFill/>
      </xdr:spPr>
    </xdr:pic>
    <xdr:clientData/>
  </xdr:twoCellAnchor>
  <xdr:twoCellAnchor editAs="oneCell">
    <xdr:from>
      <xdr:col>8</xdr:col>
      <xdr:colOff>0</xdr:colOff>
      <xdr:row>67</xdr:row>
      <xdr:rowOff>0</xdr:rowOff>
    </xdr:from>
    <xdr:to>
      <xdr:col>9</xdr:col>
      <xdr:colOff>1118235</xdr:colOff>
      <xdr:row>69</xdr:row>
      <xdr:rowOff>28575</xdr:rowOff>
    </xdr:to>
    <xdr:pic>
      <xdr:nvPicPr>
        <xdr:cNvPr id="7"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5800725" y="12792075"/>
          <a:ext cx="3152775" cy="447675"/>
        </a:xfrm>
        <a:prstGeom prst="rect">
          <a:avLst/>
        </a:prstGeom>
        <a:noFill/>
      </xdr:spPr>
    </xdr:pic>
    <xdr:clientData/>
  </xdr:twoCellAnchor>
  <xdr:twoCellAnchor editAs="oneCell">
    <xdr:from>
      <xdr:col>7</xdr:col>
      <xdr:colOff>994912</xdr:colOff>
      <xdr:row>57</xdr:row>
      <xdr:rowOff>157251</xdr:rowOff>
    </xdr:from>
    <xdr:to>
      <xdr:col>10</xdr:col>
      <xdr:colOff>159695</xdr:colOff>
      <xdr:row>63</xdr:row>
      <xdr:rowOff>95429</xdr:rowOff>
    </xdr:to>
    <xdr:pic>
      <xdr:nvPicPr>
        <xdr:cNvPr id="8"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9606950" y="10969025"/>
          <a:ext cx="4441274" cy="1059612"/>
        </a:xfrm>
        <a:prstGeom prst="rect">
          <a:avLst/>
        </a:prstGeom>
        <a:noFill/>
      </xdr:spPr>
    </xdr:pic>
    <xdr:clientData/>
  </xdr:twoCellAnchor>
  <xdr:twoCellAnchor editAs="oneCell">
    <xdr:from>
      <xdr:col>6</xdr:col>
      <xdr:colOff>76200</xdr:colOff>
      <xdr:row>74</xdr:row>
      <xdr:rowOff>123825</xdr:rowOff>
    </xdr:from>
    <xdr:to>
      <xdr:col>8</xdr:col>
      <xdr:colOff>66675</xdr:colOff>
      <xdr:row>77</xdr:row>
      <xdr:rowOff>123825</xdr:rowOff>
    </xdr:to>
    <xdr:pic>
      <xdr:nvPicPr>
        <xdr:cNvPr id="9" name="Picture 3"/>
        <xdr:cNvPicPr>
          <a:picLocks noChangeAspect="1" noChangeArrowheads="1"/>
        </xdr:cNvPicPr>
      </xdr:nvPicPr>
      <xdr:blipFill>
        <a:blip xmlns:r="http://schemas.openxmlformats.org/officeDocument/2006/relationships" r:embed="rId8" cstate="print"/>
        <a:srcRect/>
        <a:stretch>
          <a:fillRect/>
        </a:stretch>
      </xdr:blipFill>
      <xdr:spPr bwMode="auto">
        <a:xfrm>
          <a:off x="4657725" y="14268450"/>
          <a:ext cx="2543175" cy="571500"/>
        </a:xfrm>
        <a:prstGeom prst="rect">
          <a:avLst/>
        </a:prstGeom>
        <a:noFill/>
      </xdr:spPr>
    </xdr:pic>
    <xdr:clientData/>
  </xdr:twoCellAnchor>
  <xdr:twoCellAnchor editAs="oneCell">
    <xdr:from>
      <xdr:col>2</xdr:col>
      <xdr:colOff>716855</xdr:colOff>
      <xdr:row>103</xdr:row>
      <xdr:rowOff>144</xdr:rowOff>
    </xdr:from>
    <xdr:to>
      <xdr:col>4</xdr:col>
      <xdr:colOff>1016480</xdr:colOff>
      <xdr:row>110</xdr:row>
      <xdr:rowOff>172672</xdr:rowOff>
    </xdr:to>
    <xdr:pic>
      <xdr:nvPicPr>
        <xdr:cNvPr id="10" name="Picture 4"/>
        <xdr:cNvPicPr>
          <a:picLocks noChangeAspect="1" noChangeArrowheads="1"/>
        </xdr:cNvPicPr>
      </xdr:nvPicPr>
      <xdr:blipFill>
        <a:blip xmlns:r="http://schemas.openxmlformats.org/officeDocument/2006/relationships" r:embed="rId9" cstate="print"/>
        <a:srcRect/>
        <a:stretch>
          <a:fillRect/>
        </a:stretch>
      </xdr:blipFill>
      <xdr:spPr bwMode="auto">
        <a:xfrm>
          <a:off x="1924553" y="19812144"/>
          <a:ext cx="5222539" cy="1480868"/>
        </a:xfrm>
        <a:prstGeom prst="rect">
          <a:avLst/>
        </a:prstGeom>
        <a:noFill/>
      </xdr:spPr>
    </xdr:pic>
    <xdr:clientData/>
  </xdr:twoCellAnchor>
  <xdr:twoCellAnchor editAs="oneCell">
    <xdr:from>
      <xdr:col>15</xdr:col>
      <xdr:colOff>253365</xdr:colOff>
      <xdr:row>8</xdr:row>
      <xdr:rowOff>152400</xdr:rowOff>
    </xdr:from>
    <xdr:to>
      <xdr:col>25</xdr:col>
      <xdr:colOff>0</xdr:colOff>
      <xdr:row>28</xdr:row>
      <xdr:rowOff>161808</xdr:rowOff>
    </xdr:to>
    <xdr:pic>
      <xdr:nvPicPr>
        <xdr:cNvPr id="2049" name="Picture 1"/>
        <xdr:cNvPicPr>
          <a:picLocks noChangeAspect="1" noChangeArrowheads="1"/>
        </xdr:cNvPicPr>
      </xdr:nvPicPr>
      <xdr:blipFill>
        <a:blip xmlns:r="http://schemas.openxmlformats.org/officeDocument/2006/relationships" r:embed="rId10" cstate="print"/>
        <a:srcRect/>
        <a:stretch>
          <a:fillRect/>
        </a:stretch>
      </xdr:blipFill>
      <xdr:spPr bwMode="auto">
        <a:xfrm>
          <a:off x="13999845" y="1615440"/>
          <a:ext cx="5842635" cy="3886200"/>
        </a:xfrm>
        <a:prstGeom prst="rect">
          <a:avLst/>
        </a:prstGeom>
        <a:noFill/>
      </xdr:spPr>
    </xdr:pic>
    <xdr:clientData/>
  </xdr:twoCellAnchor>
  <xdr:twoCellAnchor editAs="oneCell">
    <xdr:from>
      <xdr:col>15</xdr:col>
      <xdr:colOff>173355</xdr:colOff>
      <xdr:row>0</xdr:row>
      <xdr:rowOff>171450</xdr:rowOff>
    </xdr:from>
    <xdr:to>
      <xdr:col>21</xdr:col>
      <xdr:colOff>240030</xdr:colOff>
      <xdr:row>10</xdr:row>
      <xdr:rowOff>177165</xdr:rowOff>
    </xdr:to>
    <xdr:pic>
      <xdr:nvPicPr>
        <xdr:cNvPr id="2050" name="Picture 2"/>
        <xdr:cNvPicPr>
          <a:picLocks noChangeAspect="1" noChangeArrowheads="1"/>
        </xdr:cNvPicPr>
      </xdr:nvPicPr>
      <xdr:blipFill>
        <a:blip xmlns:r="http://schemas.openxmlformats.org/officeDocument/2006/relationships" r:embed="rId11" cstate="print"/>
        <a:srcRect/>
        <a:stretch>
          <a:fillRect/>
        </a:stretch>
      </xdr:blipFill>
      <xdr:spPr bwMode="auto">
        <a:xfrm>
          <a:off x="13919835" y="171450"/>
          <a:ext cx="3724275" cy="1834515"/>
        </a:xfrm>
        <a:prstGeom prst="rect">
          <a:avLst/>
        </a:prstGeom>
        <a:noFill/>
      </xdr:spPr>
    </xdr:pic>
    <xdr:clientData/>
  </xdr:twoCellAnchor>
  <xdr:twoCellAnchor editAs="oneCell">
    <xdr:from>
      <xdr:col>6</xdr:col>
      <xdr:colOff>209550</xdr:colOff>
      <xdr:row>12</xdr:row>
      <xdr:rowOff>180975</xdr:rowOff>
    </xdr:from>
    <xdr:to>
      <xdr:col>8</xdr:col>
      <xdr:colOff>588645</xdr:colOff>
      <xdr:row>14</xdr:row>
      <xdr:rowOff>123824</xdr:rowOff>
    </xdr:to>
    <xdr:pic>
      <xdr:nvPicPr>
        <xdr:cNvPr id="2051" name="Picture 3"/>
        <xdr:cNvPicPr>
          <a:picLocks noChangeAspect="1" noChangeArrowheads="1"/>
        </xdr:cNvPicPr>
      </xdr:nvPicPr>
      <xdr:blipFill>
        <a:blip xmlns:r="http://schemas.openxmlformats.org/officeDocument/2006/relationships" r:embed="rId12" cstate="print"/>
        <a:srcRect/>
        <a:stretch>
          <a:fillRect/>
        </a:stretch>
      </xdr:blipFill>
      <xdr:spPr bwMode="auto">
        <a:xfrm>
          <a:off x="5524500" y="2514600"/>
          <a:ext cx="2847975" cy="323850"/>
        </a:xfrm>
        <a:prstGeom prst="rect">
          <a:avLst/>
        </a:prstGeom>
        <a:noFill/>
      </xdr:spPr>
    </xdr:pic>
    <xdr:clientData/>
  </xdr:twoCellAnchor>
  <xdr:twoCellAnchor editAs="oneCell">
    <xdr:from>
      <xdr:col>6</xdr:col>
      <xdr:colOff>790575</xdr:colOff>
      <xdr:row>16</xdr:row>
      <xdr:rowOff>19050</xdr:rowOff>
    </xdr:from>
    <xdr:to>
      <xdr:col>8</xdr:col>
      <xdr:colOff>1746885</xdr:colOff>
      <xdr:row>18</xdr:row>
      <xdr:rowOff>104774</xdr:rowOff>
    </xdr:to>
    <xdr:pic>
      <xdr:nvPicPr>
        <xdr:cNvPr id="2052" name="Picture 4"/>
        <xdr:cNvPicPr>
          <a:picLocks noChangeAspect="1" noChangeArrowheads="1"/>
        </xdr:cNvPicPr>
      </xdr:nvPicPr>
      <xdr:blipFill>
        <a:blip xmlns:r="http://schemas.openxmlformats.org/officeDocument/2006/relationships" r:embed="rId13" cstate="print"/>
        <a:srcRect/>
        <a:stretch>
          <a:fillRect/>
        </a:stretch>
      </xdr:blipFill>
      <xdr:spPr bwMode="auto">
        <a:xfrm>
          <a:off x="6105525" y="3114675"/>
          <a:ext cx="3381375" cy="466725"/>
        </a:xfrm>
        <a:prstGeom prst="rect">
          <a:avLst/>
        </a:prstGeom>
        <a:noFill/>
      </xdr:spPr>
    </xdr:pic>
    <xdr:clientData/>
  </xdr:twoCellAnchor>
  <xdr:twoCellAnchor editAs="oneCell">
    <xdr:from>
      <xdr:col>7</xdr:col>
      <xdr:colOff>0</xdr:colOff>
      <xdr:row>11</xdr:row>
      <xdr:rowOff>104775</xdr:rowOff>
    </xdr:from>
    <xdr:to>
      <xdr:col>10</xdr:col>
      <xdr:colOff>200024</xdr:colOff>
      <xdr:row>16</xdr:row>
      <xdr:rowOff>66676</xdr:rowOff>
    </xdr:to>
    <xdr:pic>
      <xdr:nvPicPr>
        <xdr:cNvPr id="2053" name="Picture 5"/>
        <xdr:cNvPicPr>
          <a:picLocks noChangeAspect="1" noChangeArrowheads="1"/>
        </xdr:cNvPicPr>
      </xdr:nvPicPr>
      <xdr:blipFill>
        <a:blip xmlns:r="http://schemas.openxmlformats.org/officeDocument/2006/relationships" r:embed="rId14" cstate="print"/>
        <a:srcRect/>
        <a:stretch>
          <a:fillRect/>
        </a:stretch>
      </xdr:blipFill>
      <xdr:spPr bwMode="auto">
        <a:xfrm>
          <a:off x="6181725" y="2247900"/>
          <a:ext cx="5362575" cy="914400"/>
        </a:xfrm>
        <a:prstGeom prst="rect">
          <a:avLst/>
        </a:prstGeom>
        <a:noFill/>
      </xdr:spPr>
    </xdr:pic>
    <xdr:clientData/>
  </xdr:twoCellAnchor>
  <xdr:twoCellAnchor editAs="oneCell">
    <xdr:from>
      <xdr:col>9</xdr:col>
      <xdr:colOff>447675</xdr:colOff>
      <xdr:row>23</xdr:row>
      <xdr:rowOff>76200</xdr:rowOff>
    </xdr:from>
    <xdr:to>
      <xdr:col>10</xdr:col>
      <xdr:colOff>3346991</xdr:colOff>
      <xdr:row>31</xdr:row>
      <xdr:rowOff>19050</xdr:rowOff>
    </xdr:to>
    <xdr:pic>
      <xdr:nvPicPr>
        <xdr:cNvPr id="1025" name="Picture 1"/>
        <xdr:cNvPicPr>
          <a:picLocks noChangeAspect="1" noChangeArrowheads="1"/>
        </xdr:cNvPicPr>
      </xdr:nvPicPr>
      <xdr:blipFill>
        <a:blip xmlns:r="http://schemas.openxmlformats.org/officeDocument/2006/relationships" r:embed="rId15" cstate="print"/>
        <a:srcRect/>
        <a:stretch>
          <a:fillRect/>
        </a:stretch>
      </xdr:blipFill>
      <xdr:spPr bwMode="auto">
        <a:xfrm>
          <a:off x="8467725" y="4505325"/>
          <a:ext cx="4867275" cy="1466850"/>
        </a:xfrm>
        <a:prstGeom prst="rect">
          <a:avLst/>
        </a:prstGeom>
        <a:noFill/>
      </xdr:spPr>
    </xdr:pic>
    <xdr:clientData/>
  </xdr:twoCellAnchor>
  <xdr:twoCellAnchor editAs="oneCell">
    <xdr:from>
      <xdr:col>5</xdr:col>
      <xdr:colOff>45720</xdr:colOff>
      <xdr:row>72</xdr:row>
      <xdr:rowOff>58715</xdr:rowOff>
    </xdr:from>
    <xdr:to>
      <xdr:col>8</xdr:col>
      <xdr:colOff>1104900</xdr:colOff>
      <xdr:row>92</xdr:row>
      <xdr:rowOff>55128</xdr:rowOff>
    </xdr:to>
    <xdr:pic>
      <xdr:nvPicPr>
        <xdr:cNvPr id="11" name="Picture 1"/>
        <xdr:cNvPicPr>
          <a:picLocks noChangeAspect="1" noChangeArrowheads="1"/>
        </xdr:cNvPicPr>
      </xdr:nvPicPr>
      <xdr:blipFill>
        <a:blip xmlns:r="http://schemas.openxmlformats.org/officeDocument/2006/relationships" r:embed="rId16" cstate="print"/>
        <a:srcRect/>
        <a:stretch>
          <a:fillRect/>
        </a:stretch>
      </xdr:blipFill>
      <xdr:spPr bwMode="auto">
        <a:xfrm>
          <a:off x="5295900" y="13431815"/>
          <a:ext cx="5173980" cy="3934165"/>
        </a:xfrm>
        <a:prstGeom prst="rect">
          <a:avLst/>
        </a:prstGeom>
        <a:noFill/>
      </xdr:spPr>
    </xdr:pic>
    <xdr:clientData/>
  </xdr:twoCellAnchor>
  <xdr:twoCellAnchor editAs="oneCell">
    <xdr:from>
      <xdr:col>5</xdr:col>
      <xdr:colOff>214919</xdr:colOff>
      <xdr:row>0</xdr:row>
      <xdr:rowOff>60960</xdr:rowOff>
    </xdr:from>
    <xdr:to>
      <xdr:col>8</xdr:col>
      <xdr:colOff>1584960</xdr:colOff>
      <xdr:row>3</xdr:row>
      <xdr:rowOff>129540</xdr:rowOff>
    </xdr:to>
    <xdr:pic>
      <xdr:nvPicPr>
        <xdr:cNvPr id="12" name="Picture 2"/>
        <xdr:cNvPicPr>
          <a:picLocks noChangeAspect="1" noChangeArrowheads="1"/>
        </xdr:cNvPicPr>
      </xdr:nvPicPr>
      <xdr:blipFill>
        <a:blip xmlns:r="http://schemas.openxmlformats.org/officeDocument/2006/relationships" r:embed="rId17" cstate="print"/>
        <a:srcRect/>
        <a:stretch>
          <a:fillRect/>
        </a:stretch>
      </xdr:blipFill>
      <xdr:spPr bwMode="auto">
        <a:xfrm>
          <a:off x="5015519" y="60960"/>
          <a:ext cx="5484841" cy="617220"/>
        </a:xfrm>
        <a:prstGeom prst="rect">
          <a:avLst/>
        </a:prstGeom>
        <a:noFill/>
      </xdr:spPr>
    </xdr:pic>
    <xdr:clientData/>
  </xdr:twoCellAnchor>
  <xdr:twoCellAnchor editAs="oneCell">
    <xdr:from>
      <xdr:col>5</xdr:col>
      <xdr:colOff>320040</xdr:colOff>
      <xdr:row>93</xdr:row>
      <xdr:rowOff>30480</xdr:rowOff>
    </xdr:from>
    <xdr:to>
      <xdr:col>7</xdr:col>
      <xdr:colOff>1094121</xdr:colOff>
      <xdr:row>99</xdr:row>
      <xdr:rowOff>225777</xdr:rowOff>
    </xdr:to>
    <xdr:pic>
      <xdr:nvPicPr>
        <xdr:cNvPr id="3073" name="Picture 1"/>
        <xdr:cNvPicPr>
          <a:picLocks noChangeAspect="1" noChangeArrowheads="1"/>
        </xdr:cNvPicPr>
      </xdr:nvPicPr>
      <xdr:blipFill>
        <a:blip xmlns:r="http://schemas.openxmlformats.org/officeDocument/2006/relationships" r:embed="rId18" cstate="print"/>
        <a:srcRect/>
        <a:stretch>
          <a:fillRect/>
        </a:stretch>
      </xdr:blipFill>
      <xdr:spPr bwMode="auto">
        <a:xfrm>
          <a:off x="6012180" y="17335500"/>
          <a:ext cx="3707780" cy="1524000"/>
        </a:xfrm>
        <a:prstGeom prst="rect">
          <a:avLst/>
        </a:prstGeom>
        <a:noFill/>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70</xdr:col>
      <xdr:colOff>277253</xdr:colOff>
      <xdr:row>5</xdr:row>
      <xdr:rowOff>8916</xdr:rowOff>
    </xdr:from>
    <xdr:to>
      <xdr:col>79</xdr:col>
      <xdr:colOff>25794</xdr:colOff>
      <xdr:row>19</xdr:row>
      <xdr:rowOff>13629</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360798" y="1209643"/>
          <a:ext cx="5255722" cy="4790304"/>
        </a:xfrm>
        <a:prstGeom prst="rect">
          <a:avLst/>
        </a:prstGeom>
        <a:noFill/>
      </xdr:spPr>
    </xdr:pic>
    <xdr:clientData/>
  </xdr:twoCellAnchor>
  <xdr:twoCellAnchor editAs="oneCell">
    <xdr:from>
      <xdr:col>56</xdr:col>
      <xdr:colOff>370209</xdr:colOff>
      <xdr:row>29</xdr:row>
      <xdr:rowOff>108215</xdr:rowOff>
    </xdr:from>
    <xdr:to>
      <xdr:col>62</xdr:col>
      <xdr:colOff>197722</xdr:colOff>
      <xdr:row>45</xdr:row>
      <xdr:rowOff>172536</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0681473" y="6443945"/>
          <a:ext cx="5421673" cy="3317806"/>
        </a:xfrm>
        <a:prstGeom prst="rect">
          <a:avLst/>
        </a:prstGeom>
        <a:noFill/>
      </xdr:spPr>
    </xdr:pic>
    <xdr:clientData/>
  </xdr:twoCellAnchor>
  <xdr:twoCellAnchor editAs="oneCell">
    <xdr:from>
      <xdr:col>20</xdr:col>
      <xdr:colOff>974046</xdr:colOff>
      <xdr:row>30</xdr:row>
      <xdr:rowOff>52539</xdr:rowOff>
    </xdr:from>
    <xdr:to>
      <xdr:col>23</xdr:col>
      <xdr:colOff>493467</xdr:colOff>
      <xdr:row>49</xdr:row>
      <xdr:rowOff>76309</xdr:rowOff>
    </xdr:to>
    <xdr:pic>
      <xdr:nvPicPr>
        <xdr:cNvPr id="4097"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17368591" y="8134357"/>
          <a:ext cx="6995103" cy="3920361"/>
        </a:xfrm>
        <a:prstGeom prst="rect">
          <a:avLst/>
        </a:prstGeom>
        <a:noFill/>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9</xdr:col>
      <xdr:colOff>582934</xdr:colOff>
      <xdr:row>44</xdr:row>
      <xdr:rowOff>72412</xdr:rowOff>
    </xdr:from>
    <xdr:to>
      <xdr:col>13</xdr:col>
      <xdr:colOff>580791</xdr:colOff>
      <xdr:row>77</xdr:row>
      <xdr:rowOff>82826</xdr:rowOff>
    </xdr:to>
    <xdr:pic>
      <xdr:nvPicPr>
        <xdr:cNvPr id="2" name="Picture 6"/>
        <xdr:cNvPicPr>
          <a:picLocks noChangeAspect="1" noChangeArrowheads="1"/>
        </xdr:cNvPicPr>
      </xdr:nvPicPr>
      <xdr:blipFill>
        <a:blip xmlns:r="http://schemas.openxmlformats.org/officeDocument/2006/relationships" r:embed="rId1" cstate="print"/>
        <a:srcRect/>
        <a:stretch>
          <a:fillRect/>
        </a:stretch>
      </xdr:blipFill>
      <xdr:spPr bwMode="auto">
        <a:xfrm>
          <a:off x="11930108" y="9970129"/>
          <a:ext cx="3186661" cy="6843567"/>
        </a:xfrm>
        <a:prstGeom prst="rect">
          <a:avLst/>
        </a:prstGeom>
        <a:noFill/>
      </xdr:spPr>
    </xdr:pic>
    <xdr:clientData/>
  </xdr:twoCellAnchor>
  <xdr:twoCellAnchor editAs="oneCell">
    <xdr:from>
      <xdr:col>22</xdr:col>
      <xdr:colOff>82968</xdr:colOff>
      <xdr:row>69</xdr:row>
      <xdr:rowOff>23200</xdr:rowOff>
    </xdr:from>
    <xdr:to>
      <xdr:col>28</xdr:col>
      <xdr:colOff>207522</xdr:colOff>
      <xdr:row>112</xdr:row>
      <xdr:rowOff>25418</xdr:rowOff>
    </xdr:to>
    <xdr:pic>
      <xdr:nvPicPr>
        <xdr:cNvPr id="3" name="Picture 7"/>
        <xdr:cNvPicPr>
          <a:picLocks noChangeAspect="1" noChangeArrowheads="1"/>
        </xdr:cNvPicPr>
      </xdr:nvPicPr>
      <xdr:blipFill>
        <a:blip xmlns:r="http://schemas.openxmlformats.org/officeDocument/2006/relationships" r:embed="rId2" cstate="print"/>
        <a:srcRect/>
        <a:stretch>
          <a:fillRect/>
        </a:stretch>
      </xdr:blipFill>
      <xdr:spPr bwMode="auto">
        <a:xfrm>
          <a:off x="22879468" y="14158300"/>
          <a:ext cx="3782154" cy="8193718"/>
        </a:xfrm>
        <a:prstGeom prst="rect">
          <a:avLst/>
        </a:prstGeom>
        <a:noFill/>
      </xdr:spPr>
    </xdr:pic>
    <xdr:clientData/>
  </xdr:twoCellAnchor>
  <xdr:twoCellAnchor editAs="oneCell">
    <xdr:from>
      <xdr:col>15</xdr:col>
      <xdr:colOff>1362602</xdr:colOff>
      <xdr:row>45</xdr:row>
      <xdr:rowOff>139879</xdr:rowOff>
    </xdr:from>
    <xdr:to>
      <xdr:col>18</xdr:col>
      <xdr:colOff>1088498</xdr:colOff>
      <xdr:row>48</xdr:row>
      <xdr:rowOff>168454</xdr:rowOff>
    </xdr:to>
    <xdr:pic>
      <xdr:nvPicPr>
        <xdr:cNvPr id="4" name="Picture 8"/>
        <xdr:cNvPicPr>
          <a:picLocks noChangeAspect="1" noChangeArrowheads="1"/>
        </xdr:cNvPicPr>
      </xdr:nvPicPr>
      <xdr:blipFill>
        <a:blip xmlns:r="http://schemas.openxmlformats.org/officeDocument/2006/relationships" r:embed="rId3" cstate="print"/>
        <a:srcRect/>
        <a:stretch>
          <a:fillRect/>
        </a:stretch>
      </xdr:blipFill>
      <xdr:spPr bwMode="auto">
        <a:xfrm>
          <a:off x="18507602" y="9513873"/>
          <a:ext cx="2751748" cy="586136"/>
        </a:xfrm>
        <a:prstGeom prst="rect">
          <a:avLst/>
        </a:prstGeom>
        <a:noFill/>
      </xdr:spPr>
    </xdr:pic>
    <xdr:clientData/>
  </xdr:twoCellAnchor>
  <xdr:twoCellAnchor editAs="oneCell">
    <xdr:from>
      <xdr:col>18</xdr:col>
      <xdr:colOff>3128</xdr:colOff>
      <xdr:row>116</xdr:row>
      <xdr:rowOff>127745</xdr:rowOff>
    </xdr:from>
    <xdr:to>
      <xdr:col>21</xdr:col>
      <xdr:colOff>294767</xdr:colOff>
      <xdr:row>147</xdr:row>
      <xdr:rowOff>166993</xdr:rowOff>
    </xdr:to>
    <xdr:pic>
      <xdr:nvPicPr>
        <xdr:cNvPr id="5" name="Picture 9"/>
        <xdr:cNvPicPr>
          <a:picLocks noChangeAspect="1" noChangeArrowheads="1"/>
        </xdr:cNvPicPr>
      </xdr:nvPicPr>
      <xdr:blipFill>
        <a:blip xmlns:r="http://schemas.openxmlformats.org/officeDocument/2006/relationships" r:embed="rId4" cstate="print"/>
        <a:srcRect/>
        <a:stretch>
          <a:fillRect/>
        </a:stretch>
      </xdr:blipFill>
      <xdr:spPr bwMode="auto">
        <a:xfrm>
          <a:off x="18024428" y="22406720"/>
          <a:ext cx="3244389" cy="5944748"/>
        </a:xfrm>
        <a:prstGeom prst="rect">
          <a:avLst/>
        </a:prstGeom>
        <a:noFill/>
      </xdr:spPr>
    </xdr:pic>
    <xdr:clientData/>
  </xdr:twoCellAnchor>
  <xdr:twoCellAnchor editAs="oneCell">
    <xdr:from>
      <xdr:col>5</xdr:col>
      <xdr:colOff>548640</xdr:colOff>
      <xdr:row>34</xdr:row>
      <xdr:rowOff>129540</xdr:rowOff>
    </xdr:from>
    <xdr:to>
      <xdr:col>6</xdr:col>
      <xdr:colOff>573806</xdr:colOff>
      <xdr:row>36</xdr:row>
      <xdr:rowOff>60960</xdr:rowOff>
    </xdr:to>
    <xdr:pic>
      <xdr:nvPicPr>
        <xdr:cNvPr id="6"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5242560" y="7330440"/>
          <a:ext cx="2288306" cy="297180"/>
        </a:xfrm>
        <a:prstGeom prst="rect">
          <a:avLst/>
        </a:prstGeom>
        <a:noFill/>
      </xdr:spPr>
    </xdr:pic>
    <xdr:clientData/>
  </xdr:twoCellAnchor>
  <xdr:twoCellAnchor editAs="oneCell">
    <xdr:from>
      <xdr:col>2</xdr:col>
      <xdr:colOff>420885</xdr:colOff>
      <xdr:row>178</xdr:row>
      <xdr:rowOff>94876</xdr:rowOff>
    </xdr:from>
    <xdr:to>
      <xdr:col>7</xdr:col>
      <xdr:colOff>265837</xdr:colOff>
      <xdr:row>194</xdr:row>
      <xdr:rowOff>113926</xdr:rowOff>
    </xdr:to>
    <xdr:pic>
      <xdr:nvPicPr>
        <xdr:cNvPr id="7"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1653532" y="34328847"/>
          <a:ext cx="7520981" cy="3007285"/>
        </a:xfrm>
        <a:prstGeom prst="rect">
          <a:avLst/>
        </a:prstGeom>
        <a:noFill/>
      </xdr:spPr>
    </xdr:pic>
    <xdr:clientData/>
  </xdr:twoCellAnchor>
  <xdr:twoCellAnchor>
    <xdr:from>
      <xdr:col>16</xdr:col>
      <xdr:colOff>0</xdr:colOff>
      <xdr:row>6</xdr:row>
      <xdr:rowOff>0</xdr:rowOff>
    </xdr:from>
    <xdr:to>
      <xdr:col>16</xdr:col>
      <xdr:colOff>95250</xdr:colOff>
      <xdr:row>6</xdr:row>
      <xdr:rowOff>123825</xdr:rowOff>
    </xdr:to>
    <xdr:pic>
      <xdr:nvPicPr>
        <xdr:cNvPr id="8" name="Picture 21" descr="http://xoomer.virgilio.it/vtomezzo/sunriset/formulas/e.gif"/>
        <xdr:cNvPicPr>
          <a:picLocks noChangeAspect="1" noChangeArrowheads="1"/>
        </xdr:cNvPicPr>
      </xdr:nvPicPr>
      <xdr:blipFill>
        <a:blip xmlns:r="http://schemas.openxmlformats.org/officeDocument/2006/relationships" r:embed="rId7" cstate="print"/>
        <a:srcRect/>
        <a:stretch>
          <a:fillRect/>
        </a:stretch>
      </xdr:blipFill>
      <xdr:spPr bwMode="auto">
        <a:xfrm>
          <a:off x="16802100" y="1143000"/>
          <a:ext cx="95250" cy="123825"/>
        </a:xfrm>
        <a:prstGeom prst="rect">
          <a:avLst/>
        </a:prstGeom>
        <a:noFill/>
      </xdr:spPr>
    </xdr:pic>
    <xdr:clientData/>
  </xdr:twoCellAnchor>
  <xdr:twoCellAnchor>
    <xdr:from>
      <xdr:col>5</xdr:col>
      <xdr:colOff>2476500</xdr:colOff>
      <xdr:row>29</xdr:row>
      <xdr:rowOff>47625</xdr:rowOff>
    </xdr:from>
    <xdr:to>
      <xdr:col>5</xdr:col>
      <xdr:colOff>2581275</xdr:colOff>
      <xdr:row>29</xdr:row>
      <xdr:rowOff>180975</xdr:rowOff>
    </xdr:to>
    <xdr:pic>
      <xdr:nvPicPr>
        <xdr:cNvPr id="9" name="Picture 32" descr="http://xoomer.virgilio.it/vtomezzo/sunriset/formulas/la.gif"/>
        <xdr:cNvPicPr>
          <a:picLocks noChangeAspect="1" noChangeArrowheads="1"/>
        </xdr:cNvPicPr>
      </xdr:nvPicPr>
      <xdr:blipFill>
        <a:blip xmlns:r="http://schemas.openxmlformats.org/officeDocument/2006/relationships" r:embed="rId8" cstate="print"/>
        <a:srcRect/>
        <a:stretch>
          <a:fillRect/>
        </a:stretch>
      </xdr:blipFill>
      <xdr:spPr bwMode="auto">
        <a:xfrm>
          <a:off x="5638800" y="5753100"/>
          <a:ext cx="0" cy="133350"/>
        </a:xfrm>
        <a:prstGeom prst="rect">
          <a:avLst/>
        </a:prstGeom>
        <a:noFill/>
      </xdr:spPr>
    </xdr:pic>
    <xdr:clientData/>
  </xdr:twoCellAnchor>
  <xdr:twoCellAnchor>
    <xdr:from>
      <xdr:col>6</xdr:col>
      <xdr:colOff>419100</xdr:colOff>
      <xdr:row>29</xdr:row>
      <xdr:rowOff>28575</xdr:rowOff>
    </xdr:from>
    <xdr:to>
      <xdr:col>6</xdr:col>
      <xdr:colOff>504825</xdr:colOff>
      <xdr:row>29</xdr:row>
      <xdr:rowOff>171450</xdr:rowOff>
    </xdr:to>
    <xdr:pic>
      <xdr:nvPicPr>
        <xdr:cNvPr id="10" name="Picture 23" descr="http://xoomer.virgilio.it/vtomezzo/sunriset/formulas/d.gif"/>
        <xdr:cNvPicPr>
          <a:picLocks noChangeAspect="1" noChangeArrowheads="1"/>
        </xdr:cNvPicPr>
      </xdr:nvPicPr>
      <xdr:blipFill>
        <a:blip xmlns:r="http://schemas.openxmlformats.org/officeDocument/2006/relationships" r:embed="rId9" cstate="print"/>
        <a:srcRect/>
        <a:stretch>
          <a:fillRect/>
        </a:stretch>
      </xdr:blipFill>
      <xdr:spPr bwMode="auto">
        <a:xfrm>
          <a:off x="6057900" y="5734050"/>
          <a:ext cx="85725" cy="142875"/>
        </a:xfrm>
        <a:prstGeom prst="rect">
          <a:avLst/>
        </a:prstGeom>
        <a:noFill/>
      </xdr:spPr>
    </xdr:pic>
    <xdr:clientData/>
  </xdr:twoCellAnchor>
  <xdr:twoCellAnchor>
    <xdr:from>
      <xdr:col>5</xdr:col>
      <xdr:colOff>1038225</xdr:colOff>
      <xdr:row>30</xdr:row>
      <xdr:rowOff>57150</xdr:rowOff>
    </xdr:from>
    <xdr:to>
      <xdr:col>5</xdr:col>
      <xdr:colOff>1143000</xdr:colOff>
      <xdr:row>31</xdr:row>
      <xdr:rowOff>0</xdr:rowOff>
    </xdr:to>
    <xdr:pic>
      <xdr:nvPicPr>
        <xdr:cNvPr id="11" name="Picture 32" descr="http://xoomer.virgilio.it/vtomezzo/sunriset/formulas/la.gif"/>
        <xdr:cNvPicPr>
          <a:picLocks noChangeAspect="1" noChangeArrowheads="1"/>
        </xdr:cNvPicPr>
      </xdr:nvPicPr>
      <xdr:blipFill>
        <a:blip xmlns:r="http://schemas.openxmlformats.org/officeDocument/2006/relationships" r:embed="rId8" cstate="print"/>
        <a:srcRect/>
        <a:stretch>
          <a:fillRect/>
        </a:stretch>
      </xdr:blipFill>
      <xdr:spPr bwMode="auto">
        <a:xfrm>
          <a:off x="5610225" y="5953125"/>
          <a:ext cx="28575" cy="133350"/>
        </a:xfrm>
        <a:prstGeom prst="rect">
          <a:avLst/>
        </a:prstGeom>
        <a:noFill/>
      </xdr:spPr>
    </xdr:pic>
    <xdr:clientData/>
  </xdr:twoCellAnchor>
  <xdr:twoCellAnchor>
    <xdr:from>
      <xdr:col>5</xdr:col>
      <xdr:colOff>1714500</xdr:colOff>
      <xdr:row>30</xdr:row>
      <xdr:rowOff>66675</xdr:rowOff>
    </xdr:from>
    <xdr:to>
      <xdr:col>5</xdr:col>
      <xdr:colOff>1800225</xdr:colOff>
      <xdr:row>31</xdr:row>
      <xdr:rowOff>19050</xdr:rowOff>
    </xdr:to>
    <xdr:pic>
      <xdr:nvPicPr>
        <xdr:cNvPr id="12" name="Picture 11" descr="http://xoomer.virgilio.it/vtomezzo/sunriset/formulas/d.gif"/>
        <xdr:cNvPicPr>
          <a:picLocks noChangeAspect="1" noChangeArrowheads="1"/>
        </xdr:cNvPicPr>
      </xdr:nvPicPr>
      <xdr:blipFill>
        <a:blip xmlns:r="http://schemas.openxmlformats.org/officeDocument/2006/relationships" r:embed="rId9" cstate="print"/>
        <a:srcRect/>
        <a:stretch>
          <a:fillRect/>
        </a:stretch>
      </xdr:blipFill>
      <xdr:spPr bwMode="auto">
        <a:xfrm>
          <a:off x="5638800" y="5962650"/>
          <a:ext cx="0" cy="142875"/>
        </a:xfrm>
        <a:prstGeom prst="rect">
          <a:avLst/>
        </a:prstGeom>
        <a:noFill/>
      </xdr:spPr>
    </xdr:pic>
    <xdr:clientData/>
  </xdr:twoCellAnchor>
  <xdr:twoCellAnchor editAs="oneCell">
    <xdr:from>
      <xdr:col>7</xdr:col>
      <xdr:colOff>695325</xdr:colOff>
      <xdr:row>24</xdr:row>
      <xdr:rowOff>114300</xdr:rowOff>
    </xdr:from>
    <xdr:to>
      <xdr:col>13</xdr:col>
      <xdr:colOff>173298</xdr:colOff>
      <xdr:row>28</xdr:row>
      <xdr:rowOff>38100</xdr:rowOff>
    </xdr:to>
    <xdr:pic>
      <xdr:nvPicPr>
        <xdr:cNvPr id="1025" name="Picture 1"/>
        <xdr:cNvPicPr>
          <a:picLocks noChangeAspect="1" noChangeArrowheads="1"/>
        </xdr:cNvPicPr>
      </xdr:nvPicPr>
      <xdr:blipFill>
        <a:blip xmlns:r="http://schemas.openxmlformats.org/officeDocument/2006/relationships" r:embed="rId10" cstate="print"/>
        <a:srcRect/>
        <a:stretch>
          <a:fillRect/>
        </a:stretch>
      </xdr:blipFill>
      <xdr:spPr bwMode="auto">
        <a:xfrm>
          <a:off x="9877425" y="5429250"/>
          <a:ext cx="5231073" cy="685800"/>
        </a:xfrm>
        <a:prstGeom prst="rect">
          <a:avLst/>
        </a:prstGeom>
        <a:noFill/>
      </xdr:spPr>
    </xdr:pic>
    <xdr:clientData/>
  </xdr:twoCellAnchor>
  <xdr:twoCellAnchor editAs="oneCell">
    <xdr:from>
      <xdr:col>8</xdr:col>
      <xdr:colOff>0</xdr:colOff>
      <xdr:row>12</xdr:row>
      <xdr:rowOff>0</xdr:rowOff>
    </xdr:from>
    <xdr:to>
      <xdr:col>9</xdr:col>
      <xdr:colOff>571500</xdr:colOff>
      <xdr:row>13</xdr:row>
      <xdr:rowOff>9525</xdr:rowOff>
    </xdr:to>
    <xdr:pic>
      <xdr:nvPicPr>
        <xdr:cNvPr id="1026" name="Picture 2"/>
        <xdr:cNvPicPr>
          <a:picLocks noChangeAspect="1" noChangeArrowheads="1"/>
        </xdr:cNvPicPr>
      </xdr:nvPicPr>
      <xdr:blipFill>
        <a:blip xmlns:r="http://schemas.openxmlformats.org/officeDocument/2006/relationships" r:embed="rId11" cstate="print"/>
        <a:srcRect/>
        <a:stretch>
          <a:fillRect/>
        </a:stretch>
      </xdr:blipFill>
      <xdr:spPr bwMode="auto">
        <a:xfrm>
          <a:off x="10315575" y="2447925"/>
          <a:ext cx="1590675" cy="371475"/>
        </a:xfrm>
        <a:prstGeom prst="rect">
          <a:avLst/>
        </a:prstGeom>
        <a:noFill/>
      </xdr:spPr>
    </xdr:pic>
    <xdr:clientData/>
  </xdr:twoCellAnchor>
  <xdr:twoCellAnchor editAs="oneCell">
    <xdr:from>
      <xdr:col>5</xdr:col>
      <xdr:colOff>1846103</xdr:colOff>
      <xdr:row>24</xdr:row>
      <xdr:rowOff>23559</xdr:rowOff>
    </xdr:from>
    <xdr:to>
      <xdr:col>8</xdr:col>
      <xdr:colOff>824794</xdr:colOff>
      <xdr:row>42</xdr:row>
      <xdr:rowOff>104620</xdr:rowOff>
    </xdr:to>
    <xdr:pic>
      <xdr:nvPicPr>
        <xdr:cNvPr id="1027" name="Picture 3"/>
        <xdr:cNvPicPr>
          <a:picLocks noChangeAspect="1" noChangeArrowheads="1"/>
        </xdr:cNvPicPr>
      </xdr:nvPicPr>
      <xdr:blipFill>
        <a:blip xmlns:r="http://schemas.openxmlformats.org/officeDocument/2006/relationships" r:embed="rId12" cstate="print"/>
        <a:srcRect/>
        <a:stretch>
          <a:fillRect/>
        </a:stretch>
      </xdr:blipFill>
      <xdr:spPr bwMode="auto">
        <a:xfrm>
          <a:off x="6418103" y="5560759"/>
          <a:ext cx="4719091" cy="3535461"/>
        </a:xfrm>
        <a:prstGeom prst="rect">
          <a:avLst/>
        </a:prstGeom>
        <a:noFill/>
      </xdr:spPr>
    </xdr:pic>
    <xdr:clientData/>
  </xdr:twoCellAnchor>
  <xdr:twoCellAnchor editAs="oneCell">
    <xdr:from>
      <xdr:col>8</xdr:col>
      <xdr:colOff>15958</xdr:colOff>
      <xdr:row>7</xdr:row>
      <xdr:rowOff>118756</xdr:rowOff>
    </xdr:from>
    <xdr:to>
      <xdr:col>13</xdr:col>
      <xdr:colOff>882769</xdr:colOff>
      <xdr:row>15</xdr:row>
      <xdr:rowOff>163182</xdr:rowOff>
    </xdr:to>
    <xdr:pic>
      <xdr:nvPicPr>
        <xdr:cNvPr id="13" name="Picture 1"/>
        <xdr:cNvPicPr>
          <a:picLocks noChangeAspect="1" noChangeArrowheads="1"/>
        </xdr:cNvPicPr>
      </xdr:nvPicPr>
      <xdr:blipFill>
        <a:blip xmlns:r="http://schemas.openxmlformats.org/officeDocument/2006/relationships" r:embed="rId13" cstate="print"/>
        <a:srcRect/>
        <a:stretch>
          <a:fillRect/>
        </a:stretch>
      </xdr:blipFill>
      <xdr:spPr bwMode="auto">
        <a:xfrm>
          <a:off x="10600138" y="1589416"/>
          <a:ext cx="5187351" cy="1690346"/>
        </a:xfrm>
        <a:prstGeom prst="rect">
          <a:avLst/>
        </a:prstGeom>
        <a:noFill/>
      </xdr:spPr>
    </xdr:pic>
    <xdr:clientData/>
  </xdr:twoCellAnchor>
  <xdr:twoCellAnchor editAs="oneCell">
    <xdr:from>
      <xdr:col>5</xdr:col>
      <xdr:colOff>368300</xdr:colOff>
      <xdr:row>43</xdr:row>
      <xdr:rowOff>38100</xdr:rowOff>
    </xdr:from>
    <xdr:to>
      <xdr:col>6</xdr:col>
      <xdr:colOff>257175</xdr:colOff>
      <xdr:row>46</xdr:row>
      <xdr:rowOff>104775</xdr:rowOff>
    </xdr:to>
    <xdr:pic>
      <xdr:nvPicPr>
        <xdr:cNvPr id="14" name="Picture 1"/>
        <xdr:cNvPicPr>
          <a:picLocks noChangeAspect="1" noChangeArrowheads="1"/>
        </xdr:cNvPicPr>
      </xdr:nvPicPr>
      <xdr:blipFill>
        <a:blip xmlns:r="http://schemas.openxmlformats.org/officeDocument/2006/relationships" r:embed="rId14" cstate="print"/>
        <a:srcRect/>
        <a:stretch>
          <a:fillRect/>
        </a:stretch>
      </xdr:blipFill>
      <xdr:spPr bwMode="auto">
        <a:xfrm>
          <a:off x="4940300" y="9220200"/>
          <a:ext cx="2085975" cy="638175"/>
        </a:xfrm>
        <a:prstGeom prst="rect">
          <a:avLst/>
        </a:prstGeom>
        <a:noFill/>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23</xdr:col>
      <xdr:colOff>228600</xdr:colOff>
      <xdr:row>1</xdr:row>
      <xdr:rowOff>9525</xdr:rowOff>
    </xdr:from>
    <xdr:to>
      <xdr:col>32</xdr:col>
      <xdr:colOff>447675</xdr:colOff>
      <xdr:row>20</xdr:row>
      <xdr:rowOff>87630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4563725" y="200025"/>
          <a:ext cx="5705475" cy="4248150"/>
        </a:xfrm>
        <a:prstGeom prst="rect">
          <a:avLst/>
        </a:prstGeom>
        <a:noFill/>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7</xdr:col>
      <xdr:colOff>1059180</xdr:colOff>
      <xdr:row>22</xdr:row>
      <xdr:rowOff>114300</xdr:rowOff>
    </xdr:from>
    <xdr:to>
      <xdr:col>14</xdr:col>
      <xdr:colOff>13335</xdr:colOff>
      <xdr:row>38</xdr:row>
      <xdr:rowOff>110490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964680" y="4724400"/>
          <a:ext cx="5116830" cy="3215640"/>
        </a:xfrm>
        <a:prstGeom prst="rect">
          <a:avLst/>
        </a:prstGeom>
        <a:noFill/>
      </xdr:spPr>
    </xdr:pic>
    <xdr:clientData/>
  </xdr:twoCellAnchor>
  <xdr:twoCellAnchor editAs="oneCell">
    <xdr:from>
      <xdr:col>9</xdr:col>
      <xdr:colOff>493395</xdr:colOff>
      <xdr:row>4</xdr:row>
      <xdr:rowOff>53340</xdr:rowOff>
    </xdr:from>
    <xdr:to>
      <xdr:col>16</xdr:col>
      <xdr:colOff>249555</xdr:colOff>
      <xdr:row>16</xdr:row>
      <xdr:rowOff>165735</xdr:rowOff>
    </xdr:to>
    <xdr:pic>
      <xdr:nvPicPr>
        <xdr:cNvPr id="3"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8789670" y="891540"/>
          <a:ext cx="4023360" cy="2731770"/>
        </a:xfrm>
        <a:prstGeom prst="rect">
          <a:avLst/>
        </a:prstGeom>
        <a:noFill/>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9</xdr:col>
      <xdr:colOff>548640</xdr:colOff>
      <xdr:row>0</xdr:row>
      <xdr:rowOff>0</xdr:rowOff>
    </xdr:from>
    <xdr:to>
      <xdr:col>18</xdr:col>
      <xdr:colOff>297180</xdr:colOff>
      <xdr:row>27</xdr:row>
      <xdr:rowOff>121920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11365" y="0"/>
          <a:ext cx="5234940" cy="5265420"/>
        </a:xfrm>
        <a:prstGeom prst="rect">
          <a:avLst/>
        </a:prstGeom>
        <a:noFill/>
      </xdr:spPr>
    </xdr:pic>
    <xdr:clientData/>
  </xdr:twoCellAnchor>
  <xdr:twoCellAnchor editAs="oneCell">
    <xdr:from>
      <xdr:col>8</xdr:col>
      <xdr:colOff>205740</xdr:colOff>
      <xdr:row>29</xdr:row>
      <xdr:rowOff>68580</xdr:rowOff>
    </xdr:from>
    <xdr:to>
      <xdr:col>17</xdr:col>
      <xdr:colOff>137160</xdr:colOff>
      <xdr:row>45</xdr:row>
      <xdr:rowOff>144780</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158865" y="5593080"/>
          <a:ext cx="5417820" cy="3314700"/>
        </a:xfrm>
        <a:prstGeom prst="rect">
          <a:avLst/>
        </a:prstGeom>
        <a:noFill/>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124744</xdr:colOff>
      <xdr:row>5</xdr:row>
      <xdr:rowOff>65690</xdr:rowOff>
    </xdr:from>
    <xdr:to>
      <xdr:col>8</xdr:col>
      <xdr:colOff>416669</xdr:colOff>
      <xdr:row>16</xdr:row>
      <xdr:rowOff>126649</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24744" y="985345"/>
          <a:ext cx="5126684" cy="2084201"/>
        </a:xfrm>
        <a:prstGeom prst="rect">
          <a:avLst/>
        </a:prstGeom>
        <a:noFill/>
      </xdr:spPr>
    </xdr:pic>
    <xdr:clientData/>
  </xdr:twoCellAnchor>
  <xdr:twoCellAnchor editAs="oneCell">
    <xdr:from>
      <xdr:col>0</xdr:col>
      <xdr:colOff>0</xdr:colOff>
      <xdr:row>16</xdr:row>
      <xdr:rowOff>101327</xdr:rowOff>
    </xdr:from>
    <xdr:to>
      <xdr:col>7</xdr:col>
      <xdr:colOff>334797</xdr:colOff>
      <xdr:row>26</xdr:row>
      <xdr:rowOff>1218</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2961179"/>
          <a:ext cx="4615167" cy="1687298"/>
        </a:xfrm>
        <a:prstGeom prst="rect">
          <a:avLst/>
        </a:prstGeom>
        <a:noFill/>
      </xdr:spPr>
    </xdr:pic>
    <xdr:clientData/>
  </xdr:twoCellAnchor>
  <xdr:twoCellAnchor editAs="oneCell">
    <xdr:from>
      <xdr:col>27</xdr:col>
      <xdr:colOff>575263</xdr:colOff>
      <xdr:row>2</xdr:row>
      <xdr:rowOff>47037</xdr:rowOff>
    </xdr:from>
    <xdr:to>
      <xdr:col>36</xdr:col>
      <xdr:colOff>291441</xdr:colOff>
      <xdr:row>17</xdr:row>
      <xdr:rowOff>161337</xdr:rowOff>
    </xdr:to>
    <xdr:pic>
      <xdr:nvPicPr>
        <xdr:cNvPr id="4"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7480374" y="404518"/>
          <a:ext cx="5219512" cy="2795412"/>
        </a:xfrm>
        <a:prstGeom prst="rect">
          <a:avLst/>
        </a:prstGeom>
        <a:noFill/>
      </xdr:spPr>
    </xdr:pic>
    <xdr:clientData/>
  </xdr:twoCellAnchor>
  <xdr:twoCellAnchor editAs="oneCell">
    <xdr:from>
      <xdr:col>26</xdr:col>
      <xdr:colOff>507035</xdr:colOff>
      <xdr:row>19</xdr:row>
      <xdr:rowOff>171450</xdr:rowOff>
    </xdr:from>
    <xdr:to>
      <xdr:col>35</xdr:col>
      <xdr:colOff>162254</xdr:colOff>
      <xdr:row>39</xdr:row>
      <xdr:rowOff>94780</xdr:rowOff>
    </xdr:to>
    <xdr:pic>
      <xdr:nvPicPr>
        <xdr:cNvPr id="5"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16800665" y="3567524"/>
          <a:ext cx="5158552" cy="3639256"/>
        </a:xfrm>
        <a:prstGeom prst="rect">
          <a:avLst/>
        </a:prstGeom>
        <a:noFill/>
      </xdr:spPr>
    </xdr:pic>
    <xdr:clientData/>
  </xdr:twoCellAnchor>
  <xdr:twoCellAnchor editAs="oneCell">
    <xdr:from>
      <xdr:col>7</xdr:col>
      <xdr:colOff>459452</xdr:colOff>
      <xdr:row>28</xdr:row>
      <xdr:rowOff>27367</xdr:rowOff>
    </xdr:from>
    <xdr:to>
      <xdr:col>10</xdr:col>
      <xdr:colOff>1593216</xdr:colOff>
      <xdr:row>29</xdr:row>
      <xdr:rowOff>118808</xdr:rowOff>
    </xdr:to>
    <xdr:pic>
      <xdr:nvPicPr>
        <xdr:cNvPr id="6"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4739822" y="5032108"/>
          <a:ext cx="2998783" cy="270181"/>
        </a:xfrm>
        <a:prstGeom prst="rect">
          <a:avLst/>
        </a:prstGeom>
        <a:noFill/>
      </xdr:spPr>
    </xdr:pic>
    <xdr:clientData/>
  </xdr:twoCellAnchor>
  <xdr:twoCellAnchor editAs="oneCell">
    <xdr:from>
      <xdr:col>0</xdr:col>
      <xdr:colOff>487680</xdr:colOff>
      <xdr:row>31</xdr:row>
      <xdr:rowOff>57151</xdr:rowOff>
    </xdr:from>
    <xdr:to>
      <xdr:col>10</xdr:col>
      <xdr:colOff>1237682</xdr:colOff>
      <xdr:row>55</xdr:row>
      <xdr:rowOff>5457</xdr:rowOff>
    </xdr:to>
    <xdr:pic>
      <xdr:nvPicPr>
        <xdr:cNvPr id="1025" name="Picture 1"/>
        <xdr:cNvPicPr>
          <a:picLocks noChangeAspect="1" noChangeArrowheads="1"/>
        </xdr:cNvPicPr>
      </xdr:nvPicPr>
      <xdr:blipFill>
        <a:blip xmlns:r="http://schemas.openxmlformats.org/officeDocument/2006/relationships" r:embed="rId6" cstate="print"/>
        <a:srcRect/>
        <a:stretch>
          <a:fillRect/>
        </a:stretch>
      </xdr:blipFill>
      <xdr:spPr bwMode="auto">
        <a:xfrm>
          <a:off x="487680" y="5726431"/>
          <a:ext cx="6875824" cy="4652010"/>
        </a:xfrm>
        <a:prstGeom prst="rect">
          <a:avLst/>
        </a:prstGeom>
        <a:noFill/>
      </xdr:spPr>
    </xdr:pic>
    <xdr:clientData/>
  </xdr:twoCellAnchor>
  <xdr:twoCellAnchor editAs="oneCell">
    <xdr:from>
      <xdr:col>9</xdr:col>
      <xdr:colOff>77634</xdr:colOff>
      <xdr:row>65</xdr:row>
      <xdr:rowOff>36313</xdr:rowOff>
    </xdr:from>
    <xdr:to>
      <xdr:col>11</xdr:col>
      <xdr:colOff>416234</xdr:colOff>
      <xdr:row>92</xdr:row>
      <xdr:rowOff>112889</xdr:rowOff>
    </xdr:to>
    <xdr:pic>
      <xdr:nvPicPr>
        <xdr:cNvPr id="7" name="Picture 1"/>
        <xdr:cNvPicPr>
          <a:picLocks noChangeAspect="1" noChangeArrowheads="1"/>
        </xdr:cNvPicPr>
      </xdr:nvPicPr>
      <xdr:blipFill>
        <a:blip xmlns:r="http://schemas.openxmlformats.org/officeDocument/2006/relationships" r:embed="rId7" cstate="print"/>
        <a:srcRect/>
        <a:stretch>
          <a:fillRect/>
        </a:stretch>
      </xdr:blipFill>
      <xdr:spPr bwMode="auto">
        <a:xfrm>
          <a:off x="5580967" y="11654461"/>
          <a:ext cx="2909174" cy="4902576"/>
        </a:xfrm>
        <a:prstGeom prst="rect">
          <a:avLst/>
        </a:prstGeom>
        <a:noFill/>
      </xdr:spPr>
    </xdr:pic>
    <xdr:clientData/>
  </xdr:twoCellAnchor>
  <xdr:twoCellAnchor editAs="oneCell">
    <xdr:from>
      <xdr:col>16</xdr:col>
      <xdr:colOff>149766</xdr:colOff>
      <xdr:row>82</xdr:row>
      <xdr:rowOff>151458</xdr:rowOff>
    </xdr:from>
    <xdr:to>
      <xdr:col>21</xdr:col>
      <xdr:colOff>225778</xdr:colOff>
      <xdr:row>112</xdr:row>
      <xdr:rowOff>122128</xdr:rowOff>
    </xdr:to>
    <xdr:pic>
      <xdr:nvPicPr>
        <xdr:cNvPr id="8" name="Picture 2"/>
        <xdr:cNvPicPr>
          <a:picLocks noChangeAspect="1" noChangeArrowheads="1"/>
        </xdr:cNvPicPr>
      </xdr:nvPicPr>
      <xdr:blipFill>
        <a:blip xmlns:r="http://schemas.openxmlformats.org/officeDocument/2006/relationships" r:embed="rId8" cstate="print"/>
        <a:srcRect/>
        <a:stretch>
          <a:fillRect/>
        </a:stretch>
      </xdr:blipFill>
      <xdr:spPr bwMode="auto">
        <a:xfrm>
          <a:off x="10328581" y="14808199"/>
          <a:ext cx="3133419" cy="5332892"/>
        </a:xfrm>
        <a:prstGeom prst="rect">
          <a:avLst/>
        </a:prstGeom>
        <a:noFill/>
      </xdr:spPr>
    </xdr:pic>
    <xdr:clientData/>
  </xdr:twoCellAnchor>
  <xdr:twoCellAnchor editAs="oneCell">
    <xdr:from>
      <xdr:col>11</xdr:col>
      <xdr:colOff>573852</xdr:colOff>
      <xdr:row>3</xdr:row>
      <xdr:rowOff>163618</xdr:rowOff>
    </xdr:from>
    <xdr:to>
      <xdr:col>21</xdr:col>
      <xdr:colOff>282223</xdr:colOff>
      <xdr:row>14</xdr:row>
      <xdr:rowOff>67563</xdr:rowOff>
    </xdr:to>
    <xdr:pic>
      <xdr:nvPicPr>
        <xdr:cNvPr id="11" name="Picture 1"/>
        <xdr:cNvPicPr>
          <a:picLocks noChangeAspect="1" noChangeArrowheads="1"/>
        </xdr:cNvPicPr>
      </xdr:nvPicPr>
      <xdr:blipFill>
        <a:blip xmlns:r="http://schemas.openxmlformats.org/officeDocument/2006/relationships" r:embed="rId9" cstate="print"/>
        <a:srcRect/>
        <a:stretch>
          <a:fillRect/>
        </a:stretch>
      </xdr:blipFill>
      <xdr:spPr bwMode="auto">
        <a:xfrm>
          <a:off x="7695259" y="699840"/>
          <a:ext cx="5823186" cy="1870093"/>
        </a:xfrm>
        <a:prstGeom prst="rect">
          <a:avLst/>
        </a:prstGeom>
        <a:noFill/>
      </xdr:spPr>
    </xdr:pic>
    <xdr:clientData/>
  </xdr:twoCellAnchor>
  <xdr:twoCellAnchor editAs="oneCell">
    <xdr:from>
      <xdr:col>24</xdr:col>
      <xdr:colOff>242240</xdr:colOff>
      <xdr:row>16</xdr:row>
      <xdr:rowOff>136862</xdr:rowOff>
    </xdr:from>
    <xdr:to>
      <xdr:col>34</xdr:col>
      <xdr:colOff>559653</xdr:colOff>
      <xdr:row>28</xdr:row>
      <xdr:rowOff>55802</xdr:rowOff>
    </xdr:to>
    <xdr:pic>
      <xdr:nvPicPr>
        <xdr:cNvPr id="12" name="Picture 1"/>
        <xdr:cNvPicPr>
          <a:picLocks noChangeAspect="1" noChangeArrowheads="1"/>
        </xdr:cNvPicPr>
      </xdr:nvPicPr>
      <xdr:blipFill>
        <a:blip xmlns:r="http://schemas.openxmlformats.org/officeDocument/2006/relationships" r:embed="rId9" cstate="print"/>
        <a:srcRect/>
        <a:stretch>
          <a:fillRect/>
        </a:stretch>
      </xdr:blipFill>
      <xdr:spPr bwMode="auto">
        <a:xfrm>
          <a:off x="16540573" y="3147232"/>
          <a:ext cx="6432228" cy="2176718"/>
        </a:xfrm>
        <a:prstGeom prst="rect">
          <a:avLst/>
        </a:prstGeom>
        <a:noFill/>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7</xdr:col>
      <xdr:colOff>647700</xdr:colOff>
      <xdr:row>7</xdr:row>
      <xdr:rowOff>45719</xdr:rowOff>
    </xdr:from>
    <xdr:to>
      <xdr:col>14</xdr:col>
      <xdr:colOff>175260</xdr:colOff>
      <xdr:row>24</xdr:row>
      <xdr:rowOff>170198</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669280" y="1325879"/>
          <a:ext cx="4503420" cy="3233439"/>
        </a:xfrm>
        <a:prstGeom prst="rect">
          <a:avLst/>
        </a:prstGeom>
        <a:noFill/>
      </xdr:spPr>
    </xdr:pic>
    <xdr:clientData/>
  </xdr:twoCellAnchor>
  <xdr:twoCellAnchor editAs="oneCell">
    <xdr:from>
      <xdr:col>9</xdr:col>
      <xdr:colOff>38099</xdr:colOff>
      <xdr:row>22</xdr:row>
      <xdr:rowOff>45720</xdr:rowOff>
    </xdr:from>
    <xdr:to>
      <xdr:col>15</xdr:col>
      <xdr:colOff>345732</xdr:colOff>
      <xdr:row>32</xdr:row>
      <xdr:rowOff>137160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278879" y="4069080"/>
          <a:ext cx="4292893" cy="1920240"/>
        </a:xfrm>
        <a:prstGeom prst="rect">
          <a:avLst/>
        </a:prstGeom>
        <a:noFill/>
      </xdr:spPr>
    </xdr:pic>
    <xdr:clientData/>
  </xdr:twoCellAnchor>
  <xdr:twoCellAnchor editAs="oneCell">
    <xdr:from>
      <xdr:col>8</xdr:col>
      <xdr:colOff>236220</xdr:colOff>
      <xdr:row>22</xdr:row>
      <xdr:rowOff>15240</xdr:rowOff>
    </xdr:from>
    <xdr:to>
      <xdr:col>16</xdr:col>
      <xdr:colOff>313218</xdr:colOff>
      <xdr:row>54</xdr:row>
      <xdr:rowOff>121920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6248400" y="4038600"/>
          <a:ext cx="5281458" cy="5958840"/>
        </a:xfrm>
        <a:prstGeom prst="rect">
          <a:avLst/>
        </a:prstGeom>
        <a:noFill/>
      </xdr:spPr>
    </xdr:pic>
    <xdr:clientData/>
  </xdr:twoCellAnchor>
  <xdr:twoCellAnchor editAs="oneCell">
    <xdr:from>
      <xdr:col>4</xdr:col>
      <xdr:colOff>845820</xdr:colOff>
      <xdr:row>77</xdr:row>
      <xdr:rowOff>76200</xdr:rowOff>
    </xdr:from>
    <xdr:to>
      <xdr:col>10</xdr:col>
      <xdr:colOff>68580</xdr:colOff>
      <xdr:row>90</xdr:row>
      <xdr:rowOff>213360</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3284220" y="14157960"/>
          <a:ext cx="4015740" cy="2606040"/>
        </a:xfrm>
        <a:prstGeom prst="rect">
          <a:avLst/>
        </a:prstGeom>
        <a:noFill/>
      </xdr:spPr>
    </xdr:pic>
    <xdr:clientData/>
  </xdr:twoCellAnchor>
  <xdr:twoCellAnchor editAs="oneCell">
    <xdr:from>
      <xdr:col>8</xdr:col>
      <xdr:colOff>541020</xdr:colOff>
      <xdr:row>21</xdr:row>
      <xdr:rowOff>160020</xdr:rowOff>
    </xdr:from>
    <xdr:to>
      <xdr:col>12</xdr:col>
      <xdr:colOff>198120</xdr:colOff>
      <xdr:row>23</xdr:row>
      <xdr:rowOff>0</xdr:rowOff>
    </xdr:to>
    <xdr:pic>
      <xdr:nvPicPr>
        <xdr:cNvPr id="1031" name="Picture 7"/>
        <xdr:cNvPicPr>
          <a:picLocks noChangeAspect="1" noChangeArrowheads="1"/>
        </xdr:cNvPicPr>
      </xdr:nvPicPr>
      <xdr:blipFill>
        <a:blip xmlns:r="http://schemas.openxmlformats.org/officeDocument/2006/relationships" r:embed="rId5" cstate="print"/>
        <a:srcRect/>
        <a:stretch>
          <a:fillRect/>
        </a:stretch>
      </xdr:blipFill>
      <xdr:spPr bwMode="auto">
        <a:xfrm>
          <a:off x="6553200" y="4000500"/>
          <a:ext cx="2095500" cy="205740"/>
        </a:xfrm>
        <a:prstGeom prst="rect">
          <a:avLst/>
        </a:prstGeom>
        <a:noFill/>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7</xdr:col>
      <xdr:colOff>647700</xdr:colOff>
      <xdr:row>7</xdr:row>
      <xdr:rowOff>45719</xdr:rowOff>
    </xdr:from>
    <xdr:to>
      <xdr:col>13</xdr:col>
      <xdr:colOff>441960</xdr:colOff>
      <xdr:row>24</xdr:row>
      <xdr:rowOff>170198</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669280" y="1325879"/>
          <a:ext cx="4503420" cy="3233439"/>
        </a:xfrm>
        <a:prstGeom prst="rect">
          <a:avLst/>
        </a:prstGeom>
        <a:noFill/>
      </xdr:spPr>
    </xdr:pic>
    <xdr:clientData/>
  </xdr:twoCellAnchor>
  <xdr:twoCellAnchor editAs="oneCell">
    <xdr:from>
      <xdr:col>9</xdr:col>
      <xdr:colOff>38099</xdr:colOff>
      <xdr:row>22</xdr:row>
      <xdr:rowOff>45720</xdr:rowOff>
    </xdr:from>
    <xdr:to>
      <xdr:col>15</xdr:col>
      <xdr:colOff>18072</xdr:colOff>
      <xdr:row>32</xdr:row>
      <xdr:rowOff>137160</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659879" y="4069080"/>
          <a:ext cx="4292893" cy="1920240"/>
        </a:xfrm>
        <a:prstGeom prst="rect">
          <a:avLst/>
        </a:prstGeom>
        <a:noFill/>
      </xdr:spPr>
    </xdr:pic>
    <xdr:clientData/>
  </xdr:twoCellAnchor>
  <xdr:twoCellAnchor editAs="oneCell">
    <xdr:from>
      <xdr:col>8</xdr:col>
      <xdr:colOff>236220</xdr:colOff>
      <xdr:row>22</xdr:row>
      <xdr:rowOff>15240</xdr:rowOff>
    </xdr:from>
    <xdr:to>
      <xdr:col>15</xdr:col>
      <xdr:colOff>595158</xdr:colOff>
      <xdr:row>54</xdr:row>
      <xdr:rowOff>121920</xdr:rowOff>
    </xdr:to>
    <xdr:pic>
      <xdr:nvPicPr>
        <xdr:cNvPr id="4"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6248400" y="4038600"/>
          <a:ext cx="5281458" cy="5958840"/>
        </a:xfrm>
        <a:prstGeom prst="rect">
          <a:avLst/>
        </a:prstGeom>
        <a:noFill/>
      </xdr:spPr>
    </xdr:pic>
    <xdr:clientData/>
  </xdr:twoCellAnchor>
  <xdr:twoCellAnchor editAs="oneCell">
    <xdr:from>
      <xdr:col>4</xdr:col>
      <xdr:colOff>845820</xdr:colOff>
      <xdr:row>77</xdr:row>
      <xdr:rowOff>76200</xdr:rowOff>
    </xdr:from>
    <xdr:to>
      <xdr:col>8</xdr:col>
      <xdr:colOff>388620</xdr:colOff>
      <xdr:row>90</xdr:row>
      <xdr:rowOff>213360</xdr:rowOff>
    </xdr:to>
    <xdr:pic>
      <xdr:nvPicPr>
        <xdr:cNvPr id="5"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3284220" y="14157960"/>
          <a:ext cx="4015740" cy="2606040"/>
        </a:xfrm>
        <a:prstGeom prst="rect">
          <a:avLst/>
        </a:prstGeom>
        <a:noFill/>
      </xdr:spPr>
    </xdr:pic>
    <xdr:clientData/>
  </xdr:twoCellAnchor>
  <xdr:twoCellAnchor editAs="oneCell">
    <xdr:from>
      <xdr:col>8</xdr:col>
      <xdr:colOff>541020</xdr:colOff>
      <xdr:row>21</xdr:row>
      <xdr:rowOff>160020</xdr:rowOff>
    </xdr:from>
    <xdr:to>
      <xdr:col>12</xdr:col>
      <xdr:colOff>198120</xdr:colOff>
      <xdr:row>23</xdr:row>
      <xdr:rowOff>0</xdr:rowOff>
    </xdr:to>
    <xdr:pic>
      <xdr:nvPicPr>
        <xdr:cNvPr id="6" name="Picture 7"/>
        <xdr:cNvPicPr>
          <a:picLocks noChangeAspect="1" noChangeArrowheads="1"/>
        </xdr:cNvPicPr>
      </xdr:nvPicPr>
      <xdr:blipFill>
        <a:blip xmlns:r="http://schemas.openxmlformats.org/officeDocument/2006/relationships" r:embed="rId5" cstate="print"/>
        <a:srcRect/>
        <a:stretch>
          <a:fillRect/>
        </a:stretch>
      </xdr:blipFill>
      <xdr:spPr bwMode="auto">
        <a:xfrm>
          <a:off x="6553200" y="4000500"/>
          <a:ext cx="2095500" cy="205740"/>
        </a:xfrm>
        <a:prstGeom prst="rect">
          <a:avLst/>
        </a:prstGeom>
        <a:noFill/>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arth29-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ay%20of%20the%20week%2024-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ABD-2012/latif%202012/Falak/Moon%2020-5.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5"/>
      <sheetName val="Sheet6"/>
      <sheetName val="Sheet1"/>
      <sheetName val="Fi-F"/>
      <sheetName val="Rp-Rm"/>
      <sheetName val="Distance"/>
      <sheetName val="Calander day"/>
      <sheetName val="L"/>
      <sheetName val="B"/>
      <sheetName val="R"/>
      <sheetName val="venus"/>
      <sheetName val="Sheet3"/>
      <sheetName val="Ven-L"/>
      <sheetName val="Ven-B"/>
      <sheetName val="Ven-R"/>
      <sheetName val="Ven-Cal"/>
      <sheetName val="Dy-Venu"/>
      <sheetName val="CLAC"/>
      <sheetName val="Sun-Coor"/>
      <sheetName val="meeus"/>
      <sheetName val="dy-t"/>
      <sheetName val="orbitals-ven"/>
      <sheetName val="D-num"/>
      <sheetName val="EQ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2">
          <cell r="D12" t="str">
            <v>JD=</v>
          </cell>
        </row>
      </sheetData>
      <sheetData sheetId="20"/>
      <sheetData sheetId="21"/>
      <sheetData sheetId="22"/>
      <sheetData sheetId="23"/>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Fi-F"/>
      <sheetName val="Rp-Rm"/>
      <sheetName val="Distance"/>
      <sheetName val="Calander day"/>
      <sheetName val="meeus"/>
    </sheetNames>
    <sheetDataSet>
      <sheetData sheetId="0" refreshError="1"/>
      <sheetData sheetId="1" refreshError="1"/>
      <sheetData sheetId="2" refreshError="1"/>
      <sheetData sheetId="3" refreshError="1">
        <row r="49">
          <cell r="C49" t="str">
            <v>Day=</v>
          </cell>
        </row>
      </sheetData>
      <sheetData sheetId="4" refreshError="1">
        <row r="12">
          <cell r="D12" t="str">
            <v>JD=</v>
          </cell>
        </row>
      </sheetData>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EQT"/>
      <sheetName val="Sheet5"/>
      <sheetName val="ShMOON RISE"/>
      <sheetName val="Moon FQ"/>
      <sheetName val="Sheet2"/>
      <sheetName val="Moon LQ"/>
      <sheetName val="MEEUS"/>
      <sheetName val="Moon new"/>
      <sheetName val="eclipse nm"/>
      <sheetName val="monn full"/>
      <sheetName val="sidereal"/>
      <sheetName val="D-1"/>
      <sheetName val="D+1"/>
      <sheetName val="moon form"/>
      <sheetName val="moon form 2"/>
      <sheetName val="moon Form 3"/>
      <sheetName val="M4"/>
      <sheetName val="m5"/>
      <sheetName val="D"/>
      <sheetName val="D-D"/>
      <sheetName val="Eclipse FM"/>
      <sheetName val="Sheet1"/>
      <sheetName val="pr"/>
      <sheetName val="prigee-"/>
      <sheetName val="apogee"/>
      <sheetName val="parall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4">
          <cell r="M4">
            <v>0</v>
          </cell>
        </row>
      </sheetData>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hyperlink" Target="http://aa.usno.navy.mil/faq/docs/calendars.php" TargetMode="External"/><Relationship Id="rId2" Type="http://schemas.openxmlformats.org/officeDocument/2006/relationships/hyperlink" Target="http://aa.usno.navy.mil/faq/docs/UT.php" TargetMode="External"/><Relationship Id="rId1" Type="http://schemas.openxmlformats.org/officeDocument/2006/relationships/hyperlink" Target="http://en.wikipedia.org/wiki/Julian_day" TargetMode="External"/><Relationship Id="rId6" Type="http://schemas.openxmlformats.org/officeDocument/2006/relationships/drawing" Target="../drawings/drawing3.xml"/><Relationship Id="rId5" Type="http://schemas.openxmlformats.org/officeDocument/2006/relationships/hyperlink" Target="http://aa.usno.navy.mil/data/docs/JulianDate.php" TargetMode="External"/><Relationship Id="rId4" Type="http://schemas.openxmlformats.org/officeDocument/2006/relationships/hyperlink" Target="http://aa.usno.navy.mil/software/docs/floppy.php"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7.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9.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0.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1.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5.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dimension ref="G10:R375"/>
  <sheetViews>
    <sheetView topLeftCell="F1" workbookViewId="0">
      <selection activeCell="G27" sqref="G27"/>
    </sheetView>
  </sheetViews>
  <sheetFormatPr defaultRowHeight="15"/>
  <sheetData>
    <row r="10" spans="7:18">
      <c r="Q10" t="s">
        <v>1</v>
      </c>
      <c r="R10" t="s">
        <v>0</v>
      </c>
    </row>
    <row r="11" spans="7:18">
      <c r="G11">
        <v>1</v>
      </c>
      <c r="H11">
        <f>G11-81</f>
        <v>-80</v>
      </c>
      <c r="I11">
        <f>(360/365)*H11</f>
        <v>-78.904109589041099</v>
      </c>
      <c r="J11">
        <f>9.87*SIN(2*PI()*I11/180)</f>
        <v>-3.7279776165631331</v>
      </c>
      <c r="K11">
        <f>-7.53*COS(I11*PI()/180)</f>
        <v>-1.4491604122403499</v>
      </c>
      <c r="L11">
        <f>-1.5*SIN(I11*PI()/180)</f>
        <v>1.4719597054074141</v>
      </c>
      <c r="M11">
        <f>J11+K11+L11</f>
        <v>-3.7051783233960691</v>
      </c>
      <c r="Q11">
        <v>1</v>
      </c>
      <c r="R11">
        <v>-3.7051783233960691</v>
      </c>
    </row>
    <row r="12" spans="7:18">
      <c r="G12">
        <v>2</v>
      </c>
      <c r="H12">
        <f t="shared" ref="H12:H75" si="0">G12-81</f>
        <v>-79</v>
      </c>
      <c r="I12">
        <f t="shared" ref="I12:I75" si="1">(360/365)*H12</f>
        <v>-77.917808219178085</v>
      </c>
      <c r="J12">
        <f t="shared" ref="J12:J75" si="2">9.87*SIN(2*PI()*I12/180)</f>
        <v>-4.0403433135101823</v>
      </c>
      <c r="K12">
        <f t="shared" ref="K12:K75" si="3">-7.53*COS(I12*PI()/180)</f>
        <v>-1.576139284101755</v>
      </c>
      <c r="L12">
        <f t="shared" ref="L12:L75" si="4">-1.5*SIN(I12*PI()/180)</f>
        <v>1.4667725122584852</v>
      </c>
      <c r="M12">
        <f t="shared" ref="M12:M75" si="5">J12+K12+L12</f>
        <v>-4.1497100853534521</v>
      </c>
      <c r="Q12">
        <v>2</v>
      </c>
      <c r="R12">
        <v>-4.1497100853534521</v>
      </c>
    </row>
    <row r="13" spans="7:18">
      <c r="G13">
        <v>3</v>
      </c>
      <c r="H13">
        <f t="shared" si="0"/>
        <v>-78</v>
      </c>
      <c r="I13">
        <f t="shared" si="1"/>
        <v>-76.93150684931507</v>
      </c>
      <c r="J13">
        <f t="shared" si="2"/>
        <v>-4.3479204015393851</v>
      </c>
      <c r="K13">
        <f t="shared" si="3"/>
        <v>-1.7026511118774108</v>
      </c>
      <c r="L13">
        <f t="shared" si="4"/>
        <v>1.4611506827586307</v>
      </c>
      <c r="M13">
        <f t="shared" si="5"/>
        <v>-4.589420830658165</v>
      </c>
      <c r="Q13">
        <v>3</v>
      </c>
      <c r="R13">
        <v>-4.589420830658165</v>
      </c>
    </row>
    <row r="14" spans="7:18">
      <c r="G14">
        <v>4</v>
      </c>
      <c r="H14">
        <f t="shared" si="0"/>
        <v>-77</v>
      </c>
      <c r="I14">
        <f t="shared" si="1"/>
        <v>-75.945205479452056</v>
      </c>
      <c r="J14">
        <f t="shared" si="2"/>
        <v>-4.650344340741035</v>
      </c>
      <c r="K14">
        <f t="shared" si="3"/>
        <v>-1.8286584073823953</v>
      </c>
      <c r="L14">
        <f t="shared" si="4"/>
        <v>1.4550958827772607</v>
      </c>
      <c r="M14">
        <f t="shared" si="5"/>
        <v>-5.02390686534617</v>
      </c>
      <c r="Q14">
        <v>4</v>
      </c>
      <c r="R14">
        <v>-5.02390686534617</v>
      </c>
    </row>
    <row r="15" spans="7:18">
      <c r="G15">
        <v>5</v>
      </c>
      <c r="H15">
        <f t="shared" si="0"/>
        <v>-76</v>
      </c>
      <c r="I15">
        <f t="shared" si="1"/>
        <v>-74.958904109589042</v>
      </c>
      <c r="J15">
        <f t="shared" si="2"/>
        <v>-4.9472566987098068</v>
      </c>
      <c r="K15">
        <f t="shared" si="3"/>
        <v>-1.9541238319355931</v>
      </c>
      <c r="L15">
        <f t="shared" si="4"/>
        <v>1.4486099064822824</v>
      </c>
      <c r="M15">
        <f t="shared" si="5"/>
        <v>-5.4527706241631178</v>
      </c>
      <c r="Q15">
        <v>5</v>
      </c>
      <c r="R15">
        <v>-5.4527706241631178</v>
      </c>
    </row>
    <row r="16" spans="7:18">
      <c r="G16">
        <v>6</v>
      </c>
      <c r="H16">
        <f t="shared" si="0"/>
        <v>-75</v>
      </c>
      <c r="I16">
        <f t="shared" si="1"/>
        <v>-73.972602739726028</v>
      </c>
      <c r="J16">
        <f t="shared" si="2"/>
        <v>-5.2383055753582823</v>
      </c>
      <c r="K16">
        <f t="shared" si="3"/>
        <v>-2.0790102074239405</v>
      </c>
      <c r="L16">
        <f t="shared" si="4"/>
        <v>1.441694675808451</v>
      </c>
      <c r="M16">
        <f t="shared" si="5"/>
        <v>-5.8756211069737718</v>
      </c>
      <c r="Q16">
        <v>6</v>
      </c>
      <c r="R16">
        <v>-5.8756211069737718</v>
      </c>
    </row>
    <row r="17" spans="7:18">
      <c r="G17">
        <v>7</v>
      </c>
      <c r="H17">
        <f t="shared" si="0"/>
        <v>-74</v>
      </c>
      <c r="I17">
        <f t="shared" si="1"/>
        <v>-72.986301369863014</v>
      </c>
      <c r="J17">
        <f t="shared" si="2"/>
        <v>-5.5231460199884461</v>
      </c>
      <c r="K17">
        <f t="shared" si="3"/>
        <v>-2.2032805273191149</v>
      </c>
      <c r="L17">
        <f t="shared" si="4"/>
        <v>1.4343522398878585</v>
      </c>
      <c r="M17">
        <f t="shared" si="5"/>
        <v>-6.2920743074197025</v>
      </c>
      <c r="Q17">
        <v>7</v>
      </c>
      <c r="R17">
        <v>-6.2920743074197025</v>
      </c>
    </row>
    <row r="18" spans="7:18">
      <c r="G18">
        <v>8</v>
      </c>
      <c r="H18">
        <f t="shared" si="0"/>
        <v>-73</v>
      </c>
      <c r="I18">
        <f t="shared" si="1"/>
        <v>-72</v>
      </c>
      <c r="J18">
        <f t="shared" si="2"/>
        <v>-5.8014404401267106</v>
      </c>
      <c r="K18">
        <f t="shared" si="3"/>
        <v>-2.3268979676433545</v>
      </c>
      <c r="L18">
        <f t="shared" si="4"/>
        <v>1.4265847744427302</v>
      </c>
      <c r="M18">
        <f t="shared" si="5"/>
        <v>-6.7017536333273355</v>
      </c>
      <c r="Q18">
        <v>8</v>
      </c>
      <c r="R18">
        <v>-6.7017536333273355</v>
      </c>
    </row>
    <row r="19" spans="7:18">
      <c r="G19">
        <v>9</v>
      </c>
      <c r="H19">
        <f t="shared" si="0"/>
        <v>-72</v>
      </c>
      <c r="I19">
        <f t="shared" si="1"/>
        <v>-71.013698630136986</v>
      </c>
      <c r="J19">
        <f t="shared" si="2"/>
        <v>-6.0728590016380428</v>
      </c>
      <c r="K19">
        <f t="shared" si="3"/>
        <v>-2.4498258978812104</v>
      </c>
      <c r="L19">
        <f t="shared" si="4"/>
        <v>1.4183945811407139</v>
      </c>
      <c r="M19">
        <f t="shared" si="5"/>
        <v>-7.1042903183785402</v>
      </c>
      <c r="Q19">
        <v>9</v>
      </c>
      <c r="R19">
        <v>-7.1042903183785402</v>
      </c>
    </row>
    <row r="20" spans="7:18">
      <c r="G20">
        <v>10</v>
      </c>
      <c r="H20">
        <f t="shared" si="0"/>
        <v>-71</v>
      </c>
      <c r="I20">
        <f t="shared" si="1"/>
        <v>-70.027397260273972</v>
      </c>
      <c r="J20">
        <f t="shared" si="2"/>
        <v>-6.3370800196448833</v>
      </c>
      <c r="K20">
        <f t="shared" si="3"/>
        <v>-2.5720278918339528</v>
      </c>
      <c r="L20">
        <f t="shared" si="4"/>
        <v>1.4097840869128431</v>
      </c>
      <c r="M20">
        <f t="shared" si="5"/>
        <v>-7.4993238245659928</v>
      </c>
      <c r="Q20">
        <v>10</v>
      </c>
      <c r="R20">
        <v>-7.4993238245659928</v>
      </c>
    </row>
    <row r="21" spans="7:18">
      <c r="G21">
        <v>11</v>
      </c>
      <c r="H21">
        <f t="shared" si="0"/>
        <v>-70</v>
      </c>
      <c r="I21">
        <f t="shared" si="1"/>
        <v>-69.041095890410958</v>
      </c>
      <c r="J21">
        <f t="shared" si="2"/>
        <v>-6.5937903397875752</v>
      </c>
      <c r="K21">
        <f t="shared" si="3"/>
        <v>-2.6934677384134349</v>
      </c>
      <c r="L21">
        <f t="shared" si="4"/>
        <v>1.4007558432343878</v>
      </c>
      <c r="M21">
        <f t="shared" si="5"/>
        <v>-7.8865022349666223</v>
      </c>
      <c r="Q21">
        <v>11</v>
      </c>
      <c r="R21">
        <v>-7.8865022349666223</v>
      </c>
    </row>
    <row r="22" spans="7:18">
      <c r="G22">
        <v>12</v>
      </c>
      <c r="H22">
        <f t="shared" si="0"/>
        <v>-69</v>
      </c>
      <c r="I22">
        <f t="shared" si="1"/>
        <v>-68.054794520547944</v>
      </c>
      <c r="J22">
        <f t="shared" si="2"/>
        <v>-6.8426857093744688</v>
      </c>
      <c r="K22">
        <f t="shared" si="3"/>
        <v>-2.8141094523722323</v>
      </c>
      <c r="L22">
        <f t="shared" si="4"/>
        <v>1.391312525368795</v>
      </c>
      <c r="M22">
        <f t="shared" si="5"/>
        <v>-8.2654826363779055</v>
      </c>
      <c r="Q22">
        <v>12</v>
      </c>
      <c r="R22">
        <v>-8.2654826363779055</v>
      </c>
    </row>
    <row r="23" spans="7:18">
      <c r="G23">
        <v>13</v>
      </c>
      <c r="H23">
        <f t="shared" si="0"/>
        <v>-68</v>
      </c>
      <c r="I23">
        <f t="shared" si="1"/>
        <v>-67.06849315068493</v>
      </c>
      <c r="J23">
        <f t="shared" si="2"/>
        <v>-7.0834711379817445</v>
      </c>
      <c r="K23">
        <f t="shared" si="3"/>
        <v>-2.9339172849668333</v>
      </c>
      <c r="L23">
        <f t="shared" si="4"/>
        <v>1.3814569315749519</v>
      </c>
      <c r="M23">
        <f t="shared" si="5"/>
        <v>-8.6359314913736256</v>
      </c>
      <c r="Q23">
        <v>13</v>
      </c>
      <c r="R23">
        <v>-8.6359314913736256</v>
      </c>
    </row>
    <row r="24" spans="7:18">
      <c r="G24">
        <v>14</v>
      </c>
      <c r="H24">
        <f t="shared" si="0"/>
        <v>-67</v>
      </c>
      <c r="I24">
        <f t="shared" si="1"/>
        <v>-66.082191780821915</v>
      </c>
      <c r="J24">
        <f t="shared" si="2"/>
        <v>-7.3158612470756417</v>
      </c>
      <c r="K24">
        <f t="shared" si="3"/>
        <v>-3.0528557345507803</v>
      </c>
      <c r="L24">
        <f t="shared" si="4"/>
        <v>1.3711919822780005</v>
      </c>
      <c r="M24">
        <f t="shared" si="5"/>
        <v>-8.9975249993484212</v>
      </c>
      <c r="Q24">
        <v>14</v>
      </c>
      <c r="R24">
        <v>-8.9975249993484212</v>
      </c>
    </row>
    <row r="25" spans="7:18">
      <c r="G25">
        <v>15</v>
      </c>
      <c r="H25">
        <f t="shared" si="0"/>
        <v>-66</v>
      </c>
      <c r="I25">
        <f t="shared" si="1"/>
        <v>-65.095890410958901</v>
      </c>
      <c r="J25">
        <f t="shared" si="2"/>
        <v>-7.5395806082426562</v>
      </c>
      <c r="K25">
        <f t="shared" si="3"/>
        <v>-3.1708895570945548</v>
      </c>
      <c r="L25">
        <f t="shared" si="4"/>
        <v>1.3605207192039539</v>
      </c>
      <c r="M25">
        <f t="shared" si="5"/>
        <v>-9.3499494461332571</v>
      </c>
      <c r="Q25">
        <v>15</v>
      </c>
      <c r="R25">
        <v>-9.3499494461332571</v>
      </c>
    </row>
    <row r="26" spans="7:18">
      <c r="G26">
        <v>16</v>
      </c>
      <c r="H26">
        <f t="shared" si="0"/>
        <v>-65</v>
      </c>
      <c r="I26">
        <f t="shared" si="1"/>
        <v>-64.109589041095887</v>
      </c>
      <c r="J26">
        <f t="shared" si="2"/>
        <v>-7.7543640696269094</v>
      </c>
      <c r="K26">
        <f t="shared" si="3"/>
        <v>-3.2879837766291611</v>
      </c>
      <c r="L26">
        <f t="shared" si="4"/>
        <v>1.3494463044783651</v>
      </c>
      <c r="M26">
        <f t="shared" si="5"/>
        <v>-9.6929015417777062</v>
      </c>
      <c r="Q26">
        <v>16</v>
      </c>
      <c r="R26">
        <v>-9.6929015417777062</v>
      </c>
    </row>
    <row r="27" spans="7:18">
      <c r="G27">
        <v>17</v>
      </c>
      <c r="H27">
        <f t="shared" si="0"/>
        <v>-64</v>
      </c>
      <c r="I27">
        <f t="shared" si="1"/>
        <v>-63.123287671232873</v>
      </c>
      <c r="J27">
        <f t="shared" si="2"/>
        <v>-7.9599570701877242</v>
      </c>
      <c r="K27">
        <f t="shared" si="3"/>
        <v>-3.4041036956102517</v>
      </c>
      <c r="L27">
        <f t="shared" si="4"/>
        <v>1.3379720196893228</v>
      </c>
      <c r="M27">
        <f t="shared" si="5"/>
        <v>-10.026088746108654</v>
      </c>
      <c r="Q27">
        <v>17</v>
      </c>
      <c r="R27">
        <v>-10.026088746108654</v>
      </c>
    </row>
    <row r="28" spans="7:18">
      <c r="G28">
        <v>18</v>
      </c>
      <c r="H28">
        <f t="shared" si="0"/>
        <v>-63</v>
      </c>
      <c r="I28">
        <f t="shared" si="1"/>
        <v>-62.136986301369859</v>
      </c>
      <c r="J28">
        <f t="shared" si="2"/>
        <v>-8.1561159414049875</v>
      </c>
      <c r="K28">
        <f t="shared" si="3"/>
        <v>-3.5192149051997568</v>
      </c>
      <c r="L28">
        <f t="shared" si="4"/>
        <v>1.3261012649150454</v>
      </c>
      <c r="M28">
        <f t="shared" si="5"/>
        <v>-10.349229581689698</v>
      </c>
      <c r="Q28">
        <v>18</v>
      </c>
      <c r="R28">
        <v>-10.349229581689698</v>
      </c>
    </row>
    <row r="29" spans="7:18">
      <c r="G29">
        <v>19</v>
      </c>
      <c r="H29">
        <f t="shared" si="0"/>
        <v>-62</v>
      </c>
      <c r="I29">
        <f t="shared" si="1"/>
        <v>-61.150684931506845</v>
      </c>
      <c r="J29">
        <f t="shared" si="2"/>
        <v>-8.3426081960747336</v>
      </c>
      <c r="K29">
        <f t="shared" si="3"/>
        <v>-3.6332832954619754</v>
      </c>
      <c r="L29">
        <f t="shared" si="4"/>
        <v>1.3138375577163643</v>
      </c>
      <c r="M29">
        <f t="shared" si="5"/>
        <v>-10.662053933820344</v>
      </c>
      <c r="Q29">
        <v>19</v>
      </c>
      <c r="R29">
        <v>-10.662053933820344</v>
      </c>
    </row>
    <row r="30" spans="7:18">
      <c r="G30">
        <v>20</v>
      </c>
      <c r="H30">
        <f t="shared" si="0"/>
        <v>-61</v>
      </c>
      <c r="I30">
        <f t="shared" si="1"/>
        <v>-60.164383561643831</v>
      </c>
      <c r="J30">
        <f t="shared" si="2"/>
        <v>-8.5192128038526249</v>
      </c>
      <c r="K30">
        <f t="shared" si="3"/>
        <v>-3.7462750654710706</v>
      </c>
      <c r="L30">
        <f t="shared" si="4"/>
        <v>1.3011845320943953</v>
      </c>
      <c r="M30">
        <f t="shared" si="5"/>
        <v>-10.9643033372293</v>
      </c>
      <c r="Q30">
        <v>20</v>
      </c>
      <c r="R30">
        <v>-10.9643033372293</v>
      </c>
    </row>
    <row r="31" spans="7:18">
      <c r="G31">
        <v>21</v>
      </c>
      <c r="H31">
        <f t="shared" si="0"/>
        <v>-60</v>
      </c>
      <c r="I31">
        <f t="shared" si="1"/>
        <v>-59.178082191780817</v>
      </c>
      <c r="J31">
        <f t="shared" si="2"/>
        <v>-8.6857204532187975</v>
      </c>
      <c r="K31">
        <f t="shared" si="3"/>
        <v>-3.8581567333270308</v>
      </c>
      <c r="L31">
        <f t="shared" si="4"/>
        <v>1.2881459374137043</v>
      </c>
      <c r="M31">
        <f t="shared" si="5"/>
        <v>-11.255731249132124</v>
      </c>
      <c r="Q31">
        <v>21</v>
      </c>
      <c r="R31">
        <v>-11.255731249132124</v>
      </c>
    </row>
    <row r="32" spans="7:18">
      <c r="G32">
        <v>22</v>
      </c>
      <c r="H32">
        <f t="shared" si="0"/>
        <v>-59</v>
      </c>
      <c r="I32">
        <f t="shared" si="1"/>
        <v>-58.191780821917803</v>
      </c>
      <c r="J32">
        <f t="shared" si="2"/>
        <v>-8.8419337995535514</v>
      </c>
      <c r="K32">
        <f t="shared" si="3"/>
        <v>-3.9688951460770632</v>
      </c>
      <c r="L32">
        <f t="shared" si="4"/>
        <v>1.2747256372912918</v>
      </c>
      <c r="M32">
        <f t="shared" si="5"/>
        <v>-11.536103308339323</v>
      </c>
      <c r="Q32">
        <v>22</v>
      </c>
      <c r="R32">
        <v>-11.536103308339323</v>
      </c>
    </row>
    <row r="33" spans="7:18">
      <c r="G33">
        <v>23</v>
      </c>
      <c r="H33">
        <f t="shared" si="0"/>
        <v>-58</v>
      </c>
      <c r="I33">
        <f t="shared" si="1"/>
        <v>-57.205479452054789</v>
      </c>
      <c r="J33">
        <f t="shared" si="2"/>
        <v>-8.9876676990299149</v>
      </c>
      <c r="K33">
        <f t="shared" si="3"/>
        <v>-4.0784574895395407</v>
      </c>
      <c r="L33">
        <f t="shared" si="4"/>
        <v>1.2609276084517171</v>
      </c>
      <c r="M33">
        <f t="shared" si="5"/>
        <v>-11.805197580117738</v>
      </c>
      <c r="Q33">
        <v>23</v>
      </c>
      <c r="R33">
        <v>-11.805197580117738</v>
      </c>
    </row>
    <row r="34" spans="7:18">
      <c r="G34">
        <v>24</v>
      </c>
      <c r="H34">
        <f t="shared" si="0"/>
        <v>-57</v>
      </c>
      <c r="I34">
        <f t="shared" si="1"/>
        <v>-56.219178082191775</v>
      </c>
      <c r="J34">
        <f t="shared" si="2"/>
        <v>-9.1227494280458306</v>
      </c>
      <c r="K34">
        <f t="shared" si="3"/>
        <v>-4.1868112980275463</v>
      </c>
      <c r="L34">
        <f t="shared" si="4"/>
        <v>1.2467559395487118</v>
      </c>
      <c r="M34">
        <f t="shared" si="5"/>
        <v>-12.062804786524666</v>
      </c>
      <c r="Q34">
        <v>24</v>
      </c>
      <c r="R34">
        <v>-12.062804786524666</v>
      </c>
    </row>
    <row r="35" spans="7:18">
      <c r="G35">
        <v>25</v>
      </c>
      <c r="H35">
        <f t="shared" si="0"/>
        <v>-56</v>
      </c>
      <c r="I35">
        <f t="shared" si="1"/>
        <v>-55.232876712328761</v>
      </c>
      <c r="J35">
        <f t="shared" si="2"/>
        <v>-9.2470188879359085</v>
      </c>
      <c r="K35">
        <f t="shared" si="3"/>
        <v>-4.2939244639691578</v>
      </c>
      <c r="L35">
        <f t="shared" si="4"/>
        <v>1.2322148299536213</v>
      </c>
      <c r="M35">
        <f t="shared" si="5"/>
        <v>-12.308728521951446</v>
      </c>
      <c r="Q35">
        <v>25</v>
      </c>
      <c r="R35">
        <v>-12.308728521951446</v>
      </c>
    </row>
    <row r="36" spans="7:18">
      <c r="G36">
        <v>26</v>
      </c>
      <c r="H36">
        <f t="shared" si="0"/>
        <v>-55</v>
      </c>
      <c r="I36">
        <f t="shared" si="1"/>
        <v>-54.246575342465754</v>
      </c>
      <c r="J36">
        <f t="shared" si="2"/>
        <v>-9.3603287947201341</v>
      </c>
      <c r="K36">
        <f t="shared" si="3"/>
        <v>-4.3997652474216142</v>
      </c>
      <c r="L36">
        <f t="shared" si="4"/>
        <v>1.2173085885110415</v>
      </c>
      <c r="M36">
        <f t="shared" si="5"/>
        <v>-12.542785453630707</v>
      </c>
      <c r="Q36">
        <v>26</v>
      </c>
      <c r="R36">
        <v>-12.542785453630707</v>
      </c>
    </row>
    <row r="37" spans="7:18">
      <c r="G37">
        <v>27</v>
      </c>
      <c r="H37">
        <f t="shared" si="0"/>
        <v>-54</v>
      </c>
      <c r="I37">
        <f t="shared" si="1"/>
        <v>-53.260273972602739</v>
      </c>
      <c r="J37">
        <f t="shared" si="2"/>
        <v>-9.462544853664614</v>
      </c>
      <c r="K37">
        <f t="shared" si="3"/>
        <v>-4.50430228547655</v>
      </c>
      <c r="L37">
        <f t="shared" si="4"/>
        <v>1.2020416322620149</v>
      </c>
      <c r="M37">
        <f t="shared" si="5"/>
        <v>-12.764805506879149</v>
      </c>
      <c r="Q37">
        <v>27</v>
      </c>
      <c r="R37">
        <v>-12.764805506879149</v>
      </c>
    </row>
    <row r="38" spans="7:18">
      <c r="G38">
        <v>28</v>
      </c>
      <c r="H38">
        <f t="shared" si="0"/>
        <v>-53</v>
      </c>
      <c r="I38">
        <f t="shared" si="1"/>
        <v>-52.273972602739725</v>
      </c>
      <c r="J38">
        <f t="shared" si="2"/>
        <v>-9.5535459184475133</v>
      </c>
      <c r="K38">
        <f t="shared" si="3"/>
        <v>-4.6075046015534946</v>
      </c>
      <c r="L38">
        <f t="shared" si="4"/>
        <v>1.1864184851351658</v>
      </c>
      <c r="M38">
        <f t="shared" si="5"/>
        <v>-12.974632034865843</v>
      </c>
      <c r="Q38">
        <v>28</v>
      </c>
      <c r="R38">
        <v>-12.974632034865843</v>
      </c>
    </row>
    <row r="39" spans="7:18">
      <c r="G39">
        <v>29</v>
      </c>
      <c r="H39">
        <f t="shared" si="0"/>
        <v>-52</v>
      </c>
      <c r="I39">
        <f t="shared" si="1"/>
        <v>-51.287671232876711</v>
      </c>
      <c r="J39">
        <f t="shared" si="2"/>
        <v>-9.6332241347414751</v>
      </c>
      <c r="K39">
        <f t="shared" si="3"/>
        <v>-4.7093416145789053</v>
      </c>
      <c r="L39">
        <f t="shared" si="4"/>
        <v>1.1704437766061633</v>
      </c>
      <c r="M39">
        <f t="shared" si="5"/>
        <v>-13.172121972714217</v>
      </c>
      <c r="Q39">
        <v>29</v>
      </c>
      <c r="R39">
        <v>-13.172121972714217</v>
      </c>
    </row>
    <row r="40" spans="7:18">
      <c r="G40">
        <v>30</v>
      </c>
      <c r="H40">
        <f t="shared" si="0"/>
        <v>-51</v>
      </c>
      <c r="I40">
        <f t="shared" si="1"/>
        <v>-50.301369863013697</v>
      </c>
      <c r="J40">
        <f t="shared" si="2"/>
        <v>-9.7014850680424232</v>
      </c>
      <c r="K40">
        <f t="shared" si="3"/>
        <v>-4.8097831480480009</v>
      </c>
      <c r="L40">
        <f t="shared" si="4"/>
        <v>1.1541222403259068</v>
      </c>
      <c r="M40">
        <f t="shared" si="5"/>
        <v>-13.357145975764517</v>
      </c>
      <c r="Q40">
        <v>30</v>
      </c>
      <c r="R40">
        <v>-13.357145975764517</v>
      </c>
    </row>
    <row r="41" spans="7:18">
      <c r="G41">
        <v>31</v>
      </c>
      <c r="H41">
        <f t="shared" si="0"/>
        <v>-50</v>
      </c>
      <c r="I41">
        <f t="shared" si="1"/>
        <v>-49.315068493150683</v>
      </c>
      <c r="J41">
        <f t="shared" si="2"/>
        <v>-9.7582478155931991</v>
      </c>
      <c r="K41">
        <f t="shared" si="3"/>
        <v>-4.9087994389667067</v>
      </c>
      <c r="L41">
        <f t="shared" si="4"/>
        <v>1.1374587127178437</v>
      </c>
      <c r="M41">
        <f t="shared" si="5"/>
        <v>-13.529588541842061</v>
      </c>
      <c r="Q41">
        <v>31</v>
      </c>
      <c r="R41">
        <v>-13.529588541842061</v>
      </c>
    </row>
    <row r="42" spans="7:18">
      <c r="G42">
        <v>32</v>
      </c>
      <c r="H42">
        <f t="shared" si="0"/>
        <v>-49</v>
      </c>
      <c r="I42">
        <f t="shared" si="1"/>
        <v>-48.328767123287669</v>
      </c>
      <c r="J42">
        <f t="shared" si="2"/>
        <v>-9.8034451022693787</v>
      </c>
      <c r="K42">
        <f t="shared" si="3"/>
        <v>-5.006361146671078</v>
      </c>
      <c r="L42">
        <f t="shared" si="4"/>
        <v>1.1204581315448328</v>
      </c>
      <c r="M42">
        <f t="shared" si="5"/>
        <v>-13.689348117395625</v>
      </c>
      <c r="Q42">
        <v>32</v>
      </c>
      <c r="R42">
        <v>-13.689348117395625</v>
      </c>
    </row>
    <row r="43" spans="7:18">
      <c r="G43">
        <v>33</v>
      </c>
      <c r="H43">
        <f t="shared" si="0"/>
        <v>-48</v>
      </c>
      <c r="I43">
        <f t="shared" si="1"/>
        <v>-47.342465753424655</v>
      </c>
      <c r="J43">
        <f t="shared" si="2"/>
        <v>-9.8370233603136583</v>
      </c>
      <c r="K43">
        <f t="shared" si="3"/>
        <v>-5.1024393615215686</v>
      </c>
      <c r="L43">
        <f t="shared" si="4"/>
        <v>1.1031255344459783</v>
      </c>
      <c r="M43">
        <f t="shared" si="5"/>
        <v>-13.836337187389249</v>
      </c>
      <c r="Q43">
        <v>33</v>
      </c>
      <c r="R43">
        <v>-13.836337187389249</v>
      </c>
    </row>
    <row r="44" spans="7:18">
      <c r="G44">
        <v>34</v>
      </c>
      <c r="H44">
        <f t="shared" si="0"/>
        <v>-47</v>
      </c>
      <c r="I44">
        <f t="shared" si="1"/>
        <v>-46.356164383561641</v>
      </c>
      <c r="J44">
        <f t="shared" si="2"/>
        <v>-9.8589427928242817</v>
      </c>
      <c r="K44">
        <f t="shared" si="3"/>
        <v>-5.197005613469579</v>
      </c>
      <c r="L44">
        <f t="shared" si="4"/>
        <v>1.0854660574438686</v>
      </c>
      <c r="M44">
        <f t="shared" si="5"/>
        <v>-13.970482348849993</v>
      </c>
      <c r="Q44">
        <v>34</v>
      </c>
      <c r="R44">
        <v>-13.970482348849993</v>
      </c>
    </row>
    <row r="45" spans="7:18">
      <c r="G45">
        <v>35</v>
      </c>
      <c r="H45">
        <f t="shared" si="0"/>
        <v>-46</v>
      </c>
      <c r="I45">
        <f t="shared" si="1"/>
        <v>-45.369863013698627</v>
      </c>
      <c r="J45">
        <f t="shared" si="2"/>
        <v>-9.8691774209222629</v>
      </c>
      <c r="K45">
        <f t="shared" si="3"/>
        <v>-5.2900318804937516</v>
      </c>
      <c r="L45">
        <f t="shared" si="4"/>
        <v>1.0674849334226622</v>
      </c>
      <c r="M45">
        <f t="shared" si="5"/>
        <v>-14.091724367993352</v>
      </c>
      <c r="Q45">
        <v>35</v>
      </c>
      <c r="R45">
        <v>-14.091724367993352</v>
      </c>
    </row>
    <row r="46" spans="7:18">
      <c r="G46">
        <v>36</v>
      </c>
      <c r="H46">
        <f t="shared" si="0"/>
        <v>-45</v>
      </c>
      <c r="I46">
        <f t="shared" si="1"/>
        <v>-44.383561643835613</v>
      </c>
      <c r="J46">
        <f t="shared" si="2"/>
        <v>-9.8677151145415216</v>
      </c>
      <c r="K46">
        <f t="shared" si="3"/>
        <v>-5.3814905969034958</v>
      </c>
      <c r="L46">
        <f t="shared" si="4"/>
        <v>1.0491874905774707</v>
      </c>
      <c r="M46">
        <f t="shared" si="5"/>
        <v>-14.200018220867548</v>
      </c>
      <c r="Q46">
        <v>36</v>
      </c>
      <c r="R46">
        <v>-14.200018220867548</v>
      </c>
    </row>
    <row r="47" spans="7:18">
      <c r="G47">
        <v>37</v>
      </c>
      <c r="H47">
        <f t="shared" si="0"/>
        <v>-44</v>
      </c>
      <c r="I47">
        <f t="shared" si="1"/>
        <v>-43.397260273972599</v>
      </c>
      <c r="J47">
        <f t="shared" si="2"/>
        <v>-9.8545576068054181</v>
      </c>
      <c r="K47">
        <f t="shared" si="3"/>
        <v>-5.4713546615072994</v>
      </c>
      <c r="L47">
        <f t="shared" si="4"/>
        <v>1.0305791508355004</v>
      </c>
      <c r="M47">
        <f t="shared" si="5"/>
        <v>-14.295333117477217</v>
      </c>
      <c r="Q47">
        <v>37</v>
      </c>
      <c r="R47">
        <v>-14.295333117477217</v>
      </c>
    </row>
    <row r="48" spans="7:18">
      <c r="G48">
        <v>38</v>
      </c>
      <c r="H48">
        <f t="shared" si="0"/>
        <v>-43</v>
      </c>
      <c r="I48">
        <f t="shared" si="1"/>
        <v>-42.410958904109584</v>
      </c>
      <c r="J48">
        <f t="shared" si="2"/>
        <v>-9.8297204919726564</v>
      </c>
      <c r="K48">
        <f t="shared" si="3"/>
        <v>-5.5595974456433925</v>
      </c>
      <c r="L48">
        <f t="shared" si="4"/>
        <v>1.0116654282494182</v>
      </c>
      <c r="M48">
        <f t="shared" si="5"/>
        <v>-14.37765250936663</v>
      </c>
      <c r="Q48">
        <v>38</v>
      </c>
      <c r="R48">
        <v>-14.37765250936663</v>
      </c>
    </row>
    <row r="49" spans="7:18">
      <c r="G49">
        <v>39</v>
      </c>
      <c r="H49">
        <f t="shared" si="0"/>
        <v>-42</v>
      </c>
      <c r="I49">
        <f t="shared" si="1"/>
        <v>-41.42465753424657</v>
      </c>
      <c r="J49">
        <f t="shared" si="2"/>
        <v>-9.7932332069549908</v>
      </c>
      <c r="K49">
        <f t="shared" si="3"/>
        <v>-5.6461928010704012</v>
      </c>
      <c r="L49">
        <f t="shared" si="4"/>
        <v>0.99245192736341747</v>
      </c>
      <c r="M49">
        <f t="shared" si="5"/>
        <v>-14.446974080661976</v>
      </c>
      <c r="Q49">
        <v>39</v>
      </c>
      <c r="R49">
        <v>-14.446974080661976</v>
      </c>
    </row>
    <row r="50" spans="7:18">
      <c r="G50">
        <v>40</v>
      </c>
      <c r="H50">
        <f t="shared" si="0"/>
        <v>-41</v>
      </c>
      <c r="I50">
        <f t="shared" si="1"/>
        <v>-40.438356164383556</v>
      </c>
      <c r="J50">
        <f t="shared" si="2"/>
        <v>-9.7451389964286452</v>
      </c>
      <c r="K50">
        <f t="shared" si="3"/>
        <v>-5.7311150677156339</v>
      </c>
      <c r="L50">
        <f t="shared" si="4"/>
        <v>0.97294434155247211</v>
      </c>
      <c r="M50">
        <f t="shared" si="5"/>
        <v>-14.503309722591807</v>
      </c>
      <c r="Q50">
        <v>40</v>
      </c>
      <c r="R50">
        <v>-14.503309722591807</v>
      </c>
    </row>
    <row r="51" spans="7:18">
      <c r="G51">
        <v>41</v>
      </c>
      <c r="H51">
        <f t="shared" si="0"/>
        <v>-40</v>
      </c>
      <c r="I51">
        <f t="shared" si="1"/>
        <v>-39.452054794520549</v>
      </c>
      <c r="J51">
        <f t="shared" si="2"/>
        <v>-9.6854948615807839</v>
      </c>
      <c r="K51">
        <f t="shared" si="3"/>
        <v>-5.8143390812787068</v>
      </c>
      <c r="L51">
        <f t="shared" si="4"/>
        <v>0.95314845133526616</v>
      </c>
      <c r="M51">
        <f t="shared" si="5"/>
        <v>-14.546685491524224</v>
      </c>
      <c r="Q51">
        <v>41</v>
      </c>
      <c r="R51">
        <v>-14.546685491524224</v>
      </c>
    </row>
    <row r="52" spans="7:18">
      <c r="G52">
        <v>42</v>
      </c>
      <c r="H52">
        <f t="shared" si="0"/>
        <v>-39</v>
      </c>
      <c r="I52">
        <f t="shared" si="1"/>
        <v>-38.465753424657535</v>
      </c>
      <c r="J52">
        <f t="shared" si="2"/>
        <v>-9.6143714925517898</v>
      </c>
      <c r="K52">
        <f t="shared" si="3"/>
        <v>-5.8958401806882836</v>
      </c>
      <c r="L52">
        <f t="shared" si="4"/>
        <v>0.93307012266130118</v>
      </c>
      <c r="M52">
        <f t="shared" si="5"/>
        <v>-14.577141550578773</v>
      </c>
      <c r="Q52">
        <v>42</v>
      </c>
      <c r="R52">
        <v>-14.577141550578773</v>
      </c>
    </row>
    <row r="53" spans="7:18">
      <c r="G53">
        <v>43</v>
      </c>
      <c r="H53">
        <f t="shared" si="0"/>
        <v>-38</v>
      </c>
      <c r="I53">
        <f t="shared" si="1"/>
        <v>-37.479452054794521</v>
      </c>
      <c r="J53">
        <f t="shared" si="2"/>
        <v>-9.5318531846534178</v>
      </c>
      <c r="K53">
        <f t="shared" si="3"/>
        <v>-5.9755942154096697</v>
      </c>
      <c r="L53">
        <f t="shared" si="4"/>
        <v>0.91271530517268906</v>
      </c>
      <c r="M53">
        <f t="shared" si="5"/>
        <v>-14.594732094890398</v>
      </c>
      <c r="Q53">
        <v>43</v>
      </c>
      <c r="R53">
        <v>-14.594732094890398</v>
      </c>
    </row>
    <row r="54" spans="7:18">
      <c r="G54">
        <v>44</v>
      </c>
      <c r="H54">
        <f t="shared" si="0"/>
        <v>-37</v>
      </c>
      <c r="I54">
        <f t="shared" si="1"/>
        <v>-36.493150684931507</v>
      </c>
      <c r="J54">
        <f t="shared" si="2"/>
        <v>-9.438037738462107</v>
      </c>
      <c r="K54">
        <f t="shared" si="3"/>
        <v>-6.0535775526011451</v>
      </c>
      <c r="L54">
        <f t="shared" si="4"/>
        <v>0.89209003044114488</v>
      </c>
      <c r="M54">
        <f t="shared" si="5"/>
        <v>-14.599525260622107</v>
      </c>
      <c r="Q54">
        <v>44</v>
      </c>
      <c r="R54">
        <v>-14.599525260622107</v>
      </c>
    </row>
    <row r="55" spans="7:18">
      <c r="G55">
        <v>45</v>
      </c>
      <c r="H55">
        <f t="shared" si="0"/>
        <v>-36</v>
      </c>
      <c r="I55">
        <f t="shared" si="1"/>
        <v>-35.506849315068493</v>
      </c>
      <c r="J55">
        <f t="shared" si="2"/>
        <v>-9.3330363439058974</v>
      </c>
      <c r="K55">
        <f t="shared" si="3"/>
        <v>-6.1297670841168799</v>
      </c>
      <c r="L55">
        <f t="shared" si="4"/>
        <v>0.87120041018070138</v>
      </c>
      <c r="M55">
        <f t="shared" si="5"/>
        <v>-14.591603017842075</v>
      </c>
      <c r="Q55">
        <v>45</v>
      </c>
      <c r="R55">
        <v>-14.591603017842075</v>
      </c>
    </row>
    <row r="56" spans="7:18">
      <c r="G56">
        <v>46</v>
      </c>
      <c r="H56">
        <f t="shared" si="0"/>
        <v>-35</v>
      </c>
      <c r="I56">
        <f t="shared" si="1"/>
        <v>-34.520547945205479</v>
      </c>
      <c r="J56">
        <f t="shared" si="2"/>
        <v>-9.2169734484822712</v>
      </c>
      <c r="K56">
        <f t="shared" si="3"/>
        <v>-6.2041402333543827</v>
      </c>
      <c r="L56">
        <f t="shared" si="4"/>
        <v>0.85005263443667645</v>
      </c>
      <c r="M56">
        <f t="shared" si="5"/>
        <v>-14.571061047399978</v>
      </c>
      <c r="Q56">
        <v>46</v>
      </c>
      <c r="R56">
        <v>-14.571061047399978</v>
      </c>
    </row>
    <row r="57" spans="7:18">
      <c r="G57">
        <v>47</v>
      </c>
      <c r="H57">
        <f t="shared" si="0"/>
        <v>-34</v>
      </c>
      <c r="I57">
        <f t="shared" si="1"/>
        <v>-33.534246575342465</v>
      </c>
      <c r="J57">
        <f t="shared" si="2"/>
        <v>-9.0899866097631836</v>
      </c>
      <c r="K57">
        <f t="shared" si="3"/>
        <v>-6.2766749619444315</v>
      </c>
      <c r="L57">
        <f t="shared" si="4"/>
        <v>0.82865296975142944</v>
      </c>
      <c r="M57">
        <f t="shared" si="5"/>
        <v>-14.538008601956186</v>
      </c>
      <c r="Q57">
        <v>47</v>
      </c>
      <c r="R57">
        <v>-14.538008601956186</v>
      </c>
    </row>
    <row r="58" spans="7:18">
      <c r="G58">
        <v>48</v>
      </c>
      <c r="H58">
        <f t="shared" si="0"/>
        <v>-33</v>
      </c>
      <c r="I58">
        <f t="shared" si="1"/>
        <v>-32.547945205479451</v>
      </c>
      <c r="J58">
        <f t="shared" si="2"/>
        <v>-8.9522263323620166</v>
      </c>
      <c r="K58">
        <f t="shared" si="3"/>
        <v>-6.347349776281515</v>
      </c>
      <c r="L58">
        <f t="shared" si="4"/>
        <v>0.80700775730744945</v>
      </c>
      <c r="M58">
        <f t="shared" si="5"/>
        <v>-14.492568351336082</v>
      </c>
      <c r="Q58">
        <v>48</v>
      </c>
      <c r="R58">
        <v>-14.492568351336082</v>
      </c>
    </row>
    <row r="59" spans="7:18">
      <c r="G59">
        <v>49</v>
      </c>
      <c r="H59">
        <f t="shared" si="0"/>
        <v>-32</v>
      </c>
      <c r="I59">
        <f t="shared" si="1"/>
        <v>-31.561643835616437</v>
      </c>
      <c r="J59">
        <f t="shared" si="2"/>
        <v>-8.8038558895557433</v>
      </c>
      <c r="K59">
        <f t="shared" si="3"/>
        <v>-6.4161437338928593</v>
      </c>
      <c r="L59">
        <f t="shared" si="4"/>
        <v>0.78512341104832539</v>
      </c>
      <c r="M59">
        <f t="shared" si="5"/>
        <v>-14.434876212400278</v>
      </c>
      <c r="Q59">
        <v>49</v>
      </c>
      <c r="R59">
        <v>-14.434876212400278</v>
      </c>
    </row>
    <row r="60" spans="7:18">
      <c r="G60">
        <v>50</v>
      </c>
      <c r="H60">
        <f t="shared" si="0"/>
        <v>-31</v>
      </c>
      <c r="I60">
        <f t="shared" si="1"/>
        <v>-30.575342465753423</v>
      </c>
      <c r="J60">
        <f t="shared" si="2"/>
        <v>-8.6450511297736767</v>
      </c>
      <c r="K60">
        <f t="shared" si="3"/>
        <v>-6.4830364496441275</v>
      </c>
      <c r="L60">
        <f t="shared" si="4"/>
        <v>0.76300641577815664</v>
      </c>
      <c r="M60">
        <f t="shared" si="5"/>
        <v>-14.365081163639648</v>
      </c>
      <c r="Q60">
        <v>50</v>
      </c>
      <c r="R60">
        <v>-14.365081163639648</v>
      </c>
    </row>
    <row r="61" spans="7:18">
      <c r="G61">
        <v>51</v>
      </c>
      <c r="H61">
        <f t="shared" si="0"/>
        <v>-30</v>
      </c>
      <c r="I61">
        <f t="shared" si="1"/>
        <v>-29.589041095890408</v>
      </c>
      <c r="J61">
        <f t="shared" si="2"/>
        <v>-8.4760002681821742</v>
      </c>
      <c r="K61">
        <f t="shared" si="3"/>
        <v>-6.5480081017799812</v>
      </c>
      <c r="L61">
        <f t="shared" si="4"/>
        <v>0.74066332523996581</v>
      </c>
      <c r="M61">
        <f t="shared" si="5"/>
        <v>-14.283345044722189</v>
      </c>
      <c r="Q61">
        <v>51</v>
      </c>
      <c r="R61">
        <v>-14.283345044722189</v>
      </c>
    </row>
    <row r="62" spans="7:18">
      <c r="G62">
        <v>52</v>
      </c>
      <c r="H62">
        <f t="shared" si="0"/>
        <v>-29</v>
      </c>
      <c r="I62">
        <f t="shared" si="1"/>
        <v>-28.602739726027394</v>
      </c>
      <c r="J62">
        <f t="shared" si="2"/>
        <v>-8.2969036636122979</v>
      </c>
      <c r="K62">
        <f t="shared" si="3"/>
        <v>-6.6110394377976878</v>
      </c>
      <c r="L62">
        <f t="shared" si="4"/>
        <v>0.71810076017368263</v>
      </c>
      <c r="M62">
        <f t="shared" si="5"/>
        <v>-14.189842341236304</v>
      </c>
      <c r="Q62">
        <v>52</v>
      </c>
      <c r="R62">
        <v>-14.189842341236304</v>
      </c>
    </row>
    <row r="63" spans="7:18">
      <c r="G63">
        <v>53</v>
      </c>
      <c r="H63">
        <f t="shared" si="0"/>
        <v>-28</v>
      </c>
      <c r="I63">
        <f t="shared" si="1"/>
        <v>-27.61643835616438</v>
      </c>
      <c r="J63">
        <f t="shared" si="2"/>
        <v>-8.1079735810948268</v>
      </c>
      <c r="K63">
        <f t="shared" si="3"/>
        <v>-6.6721117801520586</v>
      </c>
      <c r="L63">
        <f t="shared" si="4"/>
        <v>0.6953254063542762</v>
      </c>
      <c r="M63">
        <f t="shared" si="5"/>
        <v>-14.084759954892609</v>
      </c>
      <c r="Q63">
        <v>53</v>
      </c>
      <c r="R63">
        <v>-14.084759954892609</v>
      </c>
    </row>
    <row r="64" spans="7:18">
      <c r="G64">
        <v>54</v>
      </c>
      <c r="H64">
        <f t="shared" si="0"/>
        <v>-27</v>
      </c>
      <c r="I64">
        <f t="shared" si="1"/>
        <v>-26.63013698630137</v>
      </c>
      <c r="J64">
        <f t="shared" si="2"/>
        <v>-7.9094339402840568</v>
      </c>
      <c r="K64">
        <f t="shared" si="3"/>
        <v>-6.7312070317900057</v>
      </c>
      <c r="L64">
        <f t="shared" si="4"/>
        <v>0.67234401261061594</v>
      </c>
      <c r="M64">
        <f t="shared" si="5"/>
        <v>-13.968296959463448</v>
      </c>
      <c r="Q64">
        <v>54</v>
      </c>
      <c r="R64">
        <v>-13.968296959463448</v>
      </c>
    </row>
    <row r="65" spans="7:18">
      <c r="G65">
        <v>55</v>
      </c>
      <c r="H65">
        <f t="shared" si="0"/>
        <v>-26</v>
      </c>
      <c r="I65">
        <f t="shared" si="1"/>
        <v>-25.643835616438356</v>
      </c>
      <c r="J65">
        <f t="shared" si="2"/>
        <v>-7.7015200500685532</v>
      </c>
      <c r="K65">
        <f t="shared" si="3"/>
        <v>-6.7883076815130874</v>
      </c>
      <c r="L65">
        <f t="shared" si="4"/>
        <v>0.64916338882564673</v>
      </c>
      <c r="M65">
        <f t="shared" si="5"/>
        <v>-13.840664342755995</v>
      </c>
      <c r="Q65">
        <v>55</v>
      </c>
      <c r="R65">
        <v>-13.840664342755995</v>
      </c>
    </row>
    <row r="66" spans="7:18">
      <c r="G66">
        <v>56</v>
      </c>
      <c r="H66">
        <f t="shared" si="0"/>
        <v>-25</v>
      </c>
      <c r="I66">
        <f t="shared" si="1"/>
        <v>-24.657534246575342</v>
      </c>
      <c r="J66">
        <f t="shared" si="2"/>
        <v>-7.4844783296834105</v>
      </c>
      <c r="K66">
        <f t="shared" si="3"/>
        <v>-6.8433968091664577</v>
      </c>
      <c r="L66">
        <f t="shared" si="4"/>
        <v>0.62579040391847518</v>
      </c>
      <c r="M66">
        <f t="shared" si="5"/>
        <v>-13.702084734931393</v>
      </c>
      <c r="Q66">
        <v>56</v>
      </c>
      <c r="R66">
        <v>-13.702084734931393</v>
      </c>
    </row>
    <row r="67" spans="7:18">
      <c r="G67">
        <v>57</v>
      </c>
      <c r="H67">
        <f t="shared" si="0"/>
        <v>-24</v>
      </c>
      <c r="I67">
        <f t="shared" si="1"/>
        <v>-23.671232876712327</v>
      </c>
      <c r="J67">
        <f t="shared" si="2"/>
        <v>-7.2585660166545365</v>
      </c>
      <c r="K67">
        <f t="shared" si="3"/>
        <v>-6.8964580906526729</v>
      </c>
      <c r="L67">
        <f t="shared" si="4"/>
        <v>0.60223198380895937</v>
      </c>
      <c r="M67">
        <f t="shared" si="5"/>
        <v>-13.55279212349825</v>
      </c>
      <c r="Q67">
        <v>57</v>
      </c>
      <c r="R67">
        <v>-13.55279212349825</v>
      </c>
    </row>
    <row r="68" spans="7:18">
      <c r="G68">
        <v>58</v>
      </c>
      <c r="H68">
        <f t="shared" si="0"/>
        <v>-23</v>
      </c>
      <c r="I68">
        <f t="shared" si="1"/>
        <v>-22.684931506849313</v>
      </c>
      <c r="J68">
        <f t="shared" si="2"/>
        <v>-7.0240508619211157</v>
      </c>
      <c r="K68">
        <f t="shared" si="3"/>
        <v>-6.9474758027688717</v>
      </c>
      <c r="L68">
        <f t="shared" si="4"/>
        <v>0.57849510936541071</v>
      </c>
      <c r="M68">
        <f t="shared" si="5"/>
        <v>-13.393031555324576</v>
      </c>
      <c r="Q68">
        <v>58</v>
      </c>
      <c r="R68">
        <v>-13.393031555324576</v>
      </c>
    </row>
    <row r="69" spans="7:18">
      <c r="G69">
        <v>59</v>
      </c>
      <c r="H69">
        <f t="shared" si="0"/>
        <v>-22</v>
      </c>
      <c r="I69">
        <f t="shared" si="1"/>
        <v>-21.698630136986299</v>
      </c>
      <c r="J69">
        <f t="shared" si="2"/>
        <v>-6.7812108124975934</v>
      </c>
      <c r="K69">
        <f t="shared" si="3"/>
        <v>-6.9964348278659028</v>
      </c>
      <c r="L69">
        <f t="shared" si="4"/>
        <v>0.55458681433600976</v>
      </c>
      <c r="M69">
        <f t="shared" si="5"/>
        <v>-13.223058826027486</v>
      </c>
      <c r="Q69">
        <v>59</v>
      </c>
      <c r="R69">
        <v>-13.223058826027486</v>
      </c>
    </row>
    <row r="70" spans="7:18">
      <c r="G70">
        <v>60</v>
      </c>
      <c r="H70">
        <f t="shared" si="0"/>
        <v>-21</v>
      </c>
      <c r="I70">
        <f t="shared" si="1"/>
        <v>-20.712328767123285</v>
      </c>
      <c r="J70">
        <f t="shared" si="2"/>
        <v>-6.5303336820512863</v>
      </c>
      <c r="K70">
        <f t="shared" si="3"/>
        <v>-7.0433206583280068</v>
      </c>
      <c r="L70">
        <f t="shared" si="4"/>
        <v>0.53051418326455735</v>
      </c>
      <c r="M70">
        <f t="shared" si="5"/>
        <v>-13.043140157114735</v>
      </c>
      <c r="Q70">
        <v>60</v>
      </c>
      <c r="R70">
        <v>-13.043140157114735</v>
      </c>
    </row>
    <row r="71" spans="7:18">
      <c r="G71">
        <v>61</v>
      </c>
      <c r="H71">
        <f t="shared" si="0"/>
        <v>-20</v>
      </c>
      <c r="I71">
        <f t="shared" si="1"/>
        <v>-19.726027397260275</v>
      </c>
      <c r="J71">
        <f t="shared" si="2"/>
        <v>-6.2717168097860512</v>
      </c>
      <c r="K71">
        <f t="shared" si="3"/>
        <v>-7.0881194008717392</v>
      </c>
      <c r="L71">
        <f t="shared" si="4"/>
        <v>0.50628434939116995</v>
      </c>
      <c r="M71">
        <f t="shared" si="5"/>
        <v>-12.85355186126662</v>
      </c>
      <c r="Q71">
        <v>61</v>
      </c>
      <c r="R71">
        <v>-12.85355186126662</v>
      </c>
    </row>
    <row r="72" spans="7:18">
      <c r="G72">
        <v>62</v>
      </c>
      <c r="H72">
        <f t="shared" si="0"/>
        <v>-19</v>
      </c>
      <c r="I72">
        <f t="shared" si="1"/>
        <v>-18.739726027397261</v>
      </c>
      <c r="J72">
        <f t="shared" si="2"/>
        <v>-6.0056667080362942</v>
      </c>
      <c r="K72">
        <f t="shared" si="3"/>
        <v>-7.1308177806628477</v>
      </c>
      <c r="L72">
        <f t="shared" si="4"/>
        <v>0.48190449253854661</v>
      </c>
      <c r="M72">
        <f t="shared" si="5"/>
        <v>-12.654579996160596</v>
      </c>
      <c r="Q72">
        <v>62</v>
      </c>
      <c r="R72">
        <v>-12.654579996160596</v>
      </c>
    </row>
    <row r="73" spans="7:18">
      <c r="G73">
        <v>63</v>
      </c>
      <c r="H73">
        <f t="shared" si="0"/>
        <v>-18</v>
      </c>
      <c r="I73">
        <f t="shared" si="1"/>
        <v>-17.753424657534246</v>
      </c>
      <c r="J73">
        <f t="shared" si="2"/>
        <v>-5.7324986989890148</v>
      </c>
      <c r="K73">
        <f t="shared" si="3"/>
        <v>-7.1714031452498928</v>
      </c>
      <c r="L73">
        <f t="shared" si="4"/>
        <v>0.45738183698443358</v>
      </c>
      <c r="M73">
        <f t="shared" si="5"/>
        <v>-12.446520007254474</v>
      </c>
      <c r="Q73">
        <v>63</v>
      </c>
      <c r="R73">
        <v>-12.446520007254474</v>
      </c>
    </row>
    <row r="74" spans="7:18">
      <c r="G74">
        <v>64</v>
      </c>
      <c r="H74">
        <f t="shared" si="0"/>
        <v>-17</v>
      </c>
      <c r="I74">
        <f t="shared" si="1"/>
        <v>-16.767123287671232</v>
      </c>
      <c r="J74">
        <f t="shared" si="2"/>
        <v>-5.4525365409644051</v>
      </c>
      <c r="K74">
        <f t="shared" si="3"/>
        <v>-7.2098634683134462</v>
      </c>
      <c r="L74">
        <f t="shared" si="4"/>
        <v>0.43272364932091345</v>
      </c>
      <c r="M74">
        <f t="shared" si="5"/>
        <v>-12.229676359956938</v>
      </c>
      <c r="Q74">
        <v>64</v>
      </c>
      <c r="R74">
        <v>-12.229676359956938</v>
      </c>
    </row>
    <row r="75" spans="7:18">
      <c r="G75">
        <v>65</v>
      </c>
      <c r="H75">
        <f t="shared" si="0"/>
        <v>-16</v>
      </c>
      <c r="I75">
        <f t="shared" si="1"/>
        <v>-15.780821917808218</v>
      </c>
      <c r="J75">
        <f t="shared" si="2"/>
        <v>-5.1661120446979805</v>
      </c>
      <c r="K75">
        <f t="shared" si="3"/>
        <v>-7.2461873532297396</v>
      </c>
      <c r="L75">
        <f t="shared" si="4"/>
        <v>0.4079372363011583</v>
      </c>
      <c r="M75">
        <f t="shared" si="5"/>
        <v>-12.004362161626561</v>
      </c>
      <c r="Q75">
        <v>65</v>
      </c>
      <c r="R75">
        <v>-12.004362161626561</v>
      </c>
    </row>
    <row r="76" spans="7:18">
      <c r="G76">
        <v>66</v>
      </c>
      <c r="H76">
        <f t="shared" ref="H76:H139" si="6">G76-81</f>
        <v>-15</v>
      </c>
      <c r="I76">
        <f t="shared" ref="I76:I139" si="7">(360/365)*H76</f>
        <v>-14.794520547945204</v>
      </c>
      <c r="J76">
        <f t="shared" ref="J76:J139" si="8">9.87*SIN(2*PI()*I76/180)</f>
        <v>-4.8735646800789745</v>
      </c>
      <c r="K76">
        <f t="shared" ref="K76:K139" si="9">-7.53*COS(I76*PI()/180)</f>
        <v>-7.2803640364477396</v>
      </c>
      <c r="L76">
        <f t="shared" ref="L76:L139" si="10">-1.5*SIN(I76*PI()/180)</f>
        <v>0.38302994267428048</v>
      </c>
      <c r="M76">
        <f t="shared" ref="M76:M139" si="11">J76+K76+L76</f>
        <v>-11.770898773852434</v>
      </c>
      <c r="Q76">
        <v>66</v>
      </c>
      <c r="R76">
        <v>-11.770898773852434</v>
      </c>
    </row>
    <row r="77" spans="7:18">
      <c r="G77">
        <v>67</v>
      </c>
      <c r="H77">
        <f t="shared" si="6"/>
        <v>-14</v>
      </c>
      <c r="I77">
        <f t="shared" si="7"/>
        <v>-13.80821917808219</v>
      </c>
      <c r="J77">
        <f t="shared" si="8"/>
        <v>-4.5752411738111372</v>
      </c>
      <c r="K77">
        <f t="shared" si="9"/>
        <v>-7.3123833906786171</v>
      </c>
      <c r="L77">
        <f t="shared" si="10"/>
        <v>0.35800914900892511</v>
      </c>
      <c r="M77">
        <f t="shared" si="11"/>
        <v>-11.52961541548083</v>
      </c>
      <c r="Q77">
        <v>67</v>
      </c>
      <c r="R77">
        <v>-11.52961541548083</v>
      </c>
    </row>
    <row r="78" spans="7:18">
      <c r="G78">
        <v>68</v>
      </c>
      <c r="H78">
        <f t="shared" si="6"/>
        <v>-13</v>
      </c>
      <c r="I78">
        <f t="shared" si="7"/>
        <v>-12.821917808219178</v>
      </c>
      <c r="J78">
        <f t="shared" si="8"/>
        <v>-4.2714950984727551</v>
      </c>
      <c r="K78">
        <f t="shared" si="9"/>
        <v>-7.3422359278966773</v>
      </c>
      <c r="L78">
        <f t="shared" si="10"/>
        <v>0.33288226950624822</v>
      </c>
      <c r="M78">
        <f t="shared" si="11"/>
        <v>-11.280848756863184</v>
      </c>
      <c r="Q78">
        <v>68</v>
      </c>
      <c r="R78">
        <v>-11.280848756863184</v>
      </c>
    </row>
    <row r="79" spans="7:18">
      <c r="G79">
        <v>69</v>
      </c>
      <c r="H79">
        <f t="shared" si="6"/>
        <v>-12</v>
      </c>
      <c r="I79">
        <f t="shared" si="7"/>
        <v>-11.835616438356164</v>
      </c>
      <c r="J79">
        <f t="shared" si="8"/>
        <v>-3.9626864534629527</v>
      </c>
      <c r="K79">
        <f t="shared" si="9"/>
        <v>-7.3699128021508722</v>
      </c>
      <c r="L79">
        <f t="shared" si="10"/>
        <v>0.30765674980292879</v>
      </c>
      <c r="M79">
        <f t="shared" si="11"/>
        <v>-11.024942505810897</v>
      </c>
      <c r="Q79">
        <v>69</v>
      </c>
      <c r="R79">
        <v>-11.024942505810897</v>
      </c>
    </row>
    <row r="80" spans="7:18">
      <c r="G80">
        <v>70</v>
      </c>
      <c r="H80">
        <f t="shared" si="6"/>
        <v>-11</v>
      </c>
      <c r="I80">
        <f t="shared" si="7"/>
        <v>-10.84931506849315</v>
      </c>
      <c r="J80">
        <f t="shared" si="8"/>
        <v>-3.6491812383309434</v>
      </c>
      <c r="K80">
        <f t="shared" si="9"/>
        <v>-7.3954058121860449</v>
      </c>
      <c r="L80">
        <f t="shared" si="10"/>
        <v>0.28234006476486634</v>
      </c>
      <c r="M80">
        <f t="shared" si="11"/>
        <v>-10.762246985752121</v>
      </c>
      <c r="Q80">
        <v>70</v>
      </c>
      <c r="R80">
        <v>-10.762246985752121</v>
      </c>
    </row>
    <row r="81" spans="7:18">
      <c r="G81">
        <v>71</v>
      </c>
      <c r="H81">
        <f t="shared" si="6"/>
        <v>-10</v>
      </c>
      <c r="I81">
        <f t="shared" si="7"/>
        <v>-9.8630136986301373</v>
      </c>
      <c r="J81">
        <f t="shared" si="8"/>
        <v>-3.3313510189938982</v>
      </c>
      <c r="K81">
        <f t="shared" si="9"/>
        <v>-7.4187074038731371</v>
      </c>
      <c r="L81">
        <f t="shared" si="10"/>
        <v>0.2569397162722164</v>
      </c>
      <c r="M81">
        <f t="shared" si="11"/>
        <v>-10.493118706594819</v>
      </c>
      <c r="Q81">
        <v>71</v>
      </c>
      <c r="R81">
        <v>-10.493118706594819</v>
      </c>
    </row>
    <row r="82" spans="7:18">
      <c r="G82">
        <v>72</v>
      </c>
      <c r="H82">
        <f t="shared" si="6"/>
        <v>-9</v>
      </c>
      <c r="I82">
        <f t="shared" si="7"/>
        <v>-8.8767123287671232</v>
      </c>
      <c r="J82">
        <f t="shared" si="8"/>
        <v>-3.0095724873575729</v>
      </c>
      <c r="K82">
        <f t="shared" si="9"/>
        <v>-7.4398106724476429</v>
      </c>
      <c r="L82">
        <f t="shared" si="10"/>
        <v>0.23146323099642174</v>
      </c>
      <c r="M82">
        <f t="shared" si="11"/>
        <v>-10.217919928808794</v>
      </c>
      <c r="Q82">
        <v>72</v>
      </c>
      <c r="R82">
        <v>-10.217919928808794</v>
      </c>
    </row>
    <row r="83" spans="7:18">
      <c r="G83">
        <v>73</v>
      </c>
      <c r="H83">
        <f t="shared" si="6"/>
        <v>-8</v>
      </c>
      <c r="I83">
        <f t="shared" si="7"/>
        <v>-7.8904109589041092</v>
      </c>
      <c r="J83">
        <f t="shared" si="8"/>
        <v>-2.6842270148616212</v>
      </c>
      <c r="K83">
        <f t="shared" si="9"/>
        <v>-7.4587093645556379</v>
      </c>
      <c r="L83">
        <f t="shared" si="10"/>
        <v>0.20591815816989717</v>
      </c>
      <c r="M83">
        <f t="shared" si="11"/>
        <v>-9.9370182212473619</v>
      </c>
      <c r="Q83">
        <v>73</v>
      </c>
      <c r="R83">
        <v>-9.9370182212473619</v>
      </c>
    </row>
    <row r="84" spans="7:18">
      <c r="G84">
        <v>74</v>
      </c>
      <c r="H84">
        <f t="shared" si="6"/>
        <v>-7</v>
      </c>
      <c r="I84">
        <f t="shared" si="7"/>
        <v>-6.9041095890410951</v>
      </c>
      <c r="J84">
        <f t="shared" si="8"/>
        <v>-2.3557002004787271</v>
      </c>
      <c r="K84">
        <f t="shared" si="9"/>
        <v>-7.475397880106784</v>
      </c>
      <c r="L84">
        <f t="shared" si="10"/>
        <v>0.18031206734902905</v>
      </c>
      <c r="M84">
        <f t="shared" si="11"/>
        <v>-9.6507860132364822</v>
      </c>
      <c r="Q84">
        <v>74</v>
      </c>
      <c r="R84">
        <v>-9.6507860132364822</v>
      </c>
    </row>
    <row r="85" spans="7:18">
      <c r="G85">
        <v>75</v>
      </c>
      <c r="H85">
        <f t="shared" si="6"/>
        <v>-6</v>
      </c>
      <c r="I85">
        <f t="shared" si="7"/>
        <v>-5.9178082191780819</v>
      </c>
      <c r="J85">
        <f t="shared" si="8"/>
        <v>-2.0243814137032712</v>
      </c>
      <c r="K85">
        <f t="shared" si="9"/>
        <v>-7.4898712739337538</v>
      </c>
      <c r="L85">
        <f t="shared" si="10"/>
        <v>0.15465254617115226</v>
      </c>
      <c r="M85">
        <f t="shared" si="11"/>
        <v>-9.359600141465874</v>
      </c>
      <c r="Q85">
        <v>75</v>
      </c>
      <c r="R85">
        <v>-9.359600141465874</v>
      </c>
    </row>
    <row r="86" spans="7:18">
      <c r="G86">
        <v>76</v>
      </c>
      <c r="H86">
        <f t="shared" si="6"/>
        <v>-5</v>
      </c>
      <c r="I86">
        <f t="shared" si="7"/>
        <v>-4.9315068493150687</v>
      </c>
      <c r="J86">
        <f t="shared" si="8"/>
        <v>-1.6906633330711838</v>
      </c>
      <c r="K86">
        <f t="shared" si="9"/>
        <v>-7.5021252572575969</v>
      </c>
      <c r="L86">
        <f t="shared" si="10"/>
        <v>0.12894719810616972</v>
      </c>
      <c r="M86">
        <f t="shared" si="11"/>
        <v>-9.0638413922226118</v>
      </c>
      <c r="Q86">
        <v>76</v>
      </c>
      <c r="R86">
        <v>-9.0638413922226118</v>
      </c>
    </row>
    <row r="87" spans="7:18">
      <c r="G87">
        <v>77</v>
      </c>
      <c r="H87">
        <f t="shared" si="6"/>
        <v>-4</v>
      </c>
      <c r="I87">
        <f t="shared" si="7"/>
        <v>-3.9452054794520546</v>
      </c>
      <c r="J87">
        <f t="shared" si="8"/>
        <v>-1.3549414807579232</v>
      </c>
      <c r="K87">
        <f t="shared" si="9"/>
        <v>-7.5121561989585901</v>
      </c>
      <c r="L87">
        <f t="shared" si="10"/>
        <v>0.1032036402034798</v>
      </c>
      <c r="M87">
        <f t="shared" si="11"/>
        <v>-8.7638940395130334</v>
      </c>
      <c r="Q87">
        <v>77</v>
      </c>
      <c r="R87">
        <v>-8.7638940395130334</v>
      </c>
    </row>
    <row r="88" spans="7:18">
      <c r="G88">
        <v>78</v>
      </c>
      <c r="H88">
        <f t="shared" si="6"/>
        <v>-3</v>
      </c>
      <c r="I88">
        <f t="shared" si="7"/>
        <v>-2.9589041095890409</v>
      </c>
      <c r="J88">
        <f t="shared" si="8"/>
        <v>-1.0176137538061818</v>
      </c>
      <c r="K88">
        <f t="shared" si="9"/>
        <v>-7.5199611266522242</v>
      </c>
      <c r="L88">
        <f t="shared" si="10"/>
        <v>7.7429500834880635E-2</v>
      </c>
      <c r="M88">
        <f t="shared" si="11"/>
        <v>-8.4601453796235262</v>
      </c>
      <c r="Q88">
        <v>78</v>
      </c>
      <c r="R88">
        <v>-8.4601453796235262</v>
      </c>
    </row>
    <row r="89" spans="7:18">
      <c r="G89">
        <v>79</v>
      </c>
      <c r="H89">
        <f t="shared" si="6"/>
        <v>-2</v>
      </c>
      <c r="I89">
        <f t="shared" si="7"/>
        <v>-1.9726027397260273</v>
      </c>
      <c r="J89">
        <f t="shared" si="8"/>
        <v>-0.67907995253889697</v>
      </c>
      <c r="K89">
        <f t="shared" si="9"/>
        <v>-7.5255377275699775</v>
      </c>
      <c r="L89">
        <f t="shared" si="10"/>
        <v>5.1632417434118616E-2</v>
      </c>
      <c r="M89">
        <f t="shared" si="11"/>
        <v>-8.1529852626747559</v>
      </c>
      <c r="Q89">
        <v>79</v>
      </c>
      <c r="R89">
        <v>-8.1529852626747559</v>
      </c>
    </row>
    <row r="90" spans="7:18">
      <c r="G90">
        <v>80</v>
      </c>
      <c r="H90">
        <f t="shared" si="6"/>
        <v>-1</v>
      </c>
      <c r="I90">
        <f t="shared" si="7"/>
        <v>-0.98630136986301364</v>
      </c>
      <c r="J90">
        <f t="shared" si="8"/>
        <v>-0.33974130671650044</v>
      </c>
      <c r="K90">
        <f t="shared" si="9"/>
        <v>-7.5288843492446453</v>
      </c>
      <c r="L90">
        <f t="shared" si="10"/>
        <v>2.5820034233752027E-2</v>
      </c>
      <c r="M90">
        <f t="shared" si="11"/>
        <v>-7.8428056217273934</v>
      </c>
      <c r="Q90">
        <v>80</v>
      </c>
      <c r="R90">
        <v>-7.8428056217273934</v>
      </c>
    </row>
    <row r="91" spans="7:18">
      <c r="G91">
        <v>81</v>
      </c>
      <c r="H91">
        <f t="shared" si="6"/>
        <v>0</v>
      </c>
      <c r="I91">
        <f t="shared" si="7"/>
        <v>0</v>
      </c>
      <c r="J91">
        <f t="shared" si="8"/>
        <v>0</v>
      </c>
      <c r="K91">
        <f t="shared" si="9"/>
        <v>-7.53</v>
      </c>
      <c r="L91">
        <f t="shared" si="10"/>
        <v>0</v>
      </c>
      <c r="M91">
        <f t="shared" si="11"/>
        <v>-7.53</v>
      </c>
      <c r="Q91">
        <v>81</v>
      </c>
      <c r="R91">
        <v>-7.53</v>
      </c>
    </row>
    <row r="92" spans="7:18">
      <c r="G92">
        <v>82</v>
      </c>
      <c r="H92">
        <f t="shared" si="6"/>
        <v>1</v>
      </c>
      <c r="I92">
        <f t="shared" si="7"/>
        <v>0.98630136986301364</v>
      </c>
      <c r="J92">
        <f t="shared" si="8"/>
        <v>0.33974130671650044</v>
      </c>
      <c r="K92">
        <f t="shared" si="9"/>
        <v>-7.5288843492446453</v>
      </c>
      <c r="L92">
        <f t="shared" si="10"/>
        <v>-2.5820034233752027E-2</v>
      </c>
      <c r="M92">
        <f t="shared" si="11"/>
        <v>-7.2149630767618973</v>
      </c>
      <c r="Q92">
        <v>82</v>
      </c>
      <c r="R92">
        <v>-7.2149630767618973</v>
      </c>
    </row>
    <row r="93" spans="7:18">
      <c r="G93">
        <v>83</v>
      </c>
      <c r="H93">
        <f t="shared" si="6"/>
        <v>2</v>
      </c>
      <c r="I93">
        <f t="shared" si="7"/>
        <v>1.9726027397260273</v>
      </c>
      <c r="J93">
        <f t="shared" si="8"/>
        <v>0.67907995253889697</v>
      </c>
      <c r="K93">
        <f t="shared" si="9"/>
        <v>-7.5255377275699775</v>
      </c>
      <c r="L93">
        <f t="shared" si="10"/>
        <v>-5.1632417434118616E-2</v>
      </c>
      <c r="M93">
        <f t="shared" si="11"/>
        <v>-6.8980901924651992</v>
      </c>
      <c r="Q93">
        <v>83</v>
      </c>
      <c r="R93">
        <v>-6.8980901924651992</v>
      </c>
    </row>
    <row r="94" spans="7:18">
      <c r="G94">
        <v>84</v>
      </c>
      <c r="H94">
        <f t="shared" si="6"/>
        <v>3</v>
      </c>
      <c r="I94">
        <f t="shared" si="7"/>
        <v>2.9589041095890409</v>
      </c>
      <c r="J94">
        <f t="shared" si="8"/>
        <v>1.0176137538061818</v>
      </c>
      <c r="K94">
        <f t="shared" si="9"/>
        <v>-7.5199611266522242</v>
      </c>
      <c r="L94">
        <f t="shared" si="10"/>
        <v>-7.7429500834880635E-2</v>
      </c>
      <c r="M94">
        <f t="shared" si="11"/>
        <v>-6.579776873680923</v>
      </c>
      <c r="Q94">
        <v>84</v>
      </c>
      <c r="R94">
        <v>-6.579776873680923</v>
      </c>
    </row>
    <row r="95" spans="7:18">
      <c r="G95">
        <v>85</v>
      </c>
      <c r="H95">
        <f t="shared" si="6"/>
        <v>4</v>
      </c>
      <c r="I95">
        <f t="shared" si="7"/>
        <v>3.9452054794520546</v>
      </c>
      <c r="J95">
        <f t="shared" si="8"/>
        <v>1.3549414807579232</v>
      </c>
      <c r="K95">
        <f t="shared" si="9"/>
        <v>-7.5121561989585901</v>
      </c>
      <c r="L95">
        <f t="shared" si="10"/>
        <v>-0.1032036402034798</v>
      </c>
      <c r="M95">
        <f t="shared" si="11"/>
        <v>-6.2604183584041468</v>
      </c>
      <c r="Q95">
        <v>85</v>
      </c>
      <c r="R95">
        <v>-6.2604183584041468</v>
      </c>
    </row>
    <row r="96" spans="7:18">
      <c r="G96">
        <v>86</v>
      </c>
      <c r="H96">
        <f t="shared" si="6"/>
        <v>5</v>
      </c>
      <c r="I96">
        <f t="shared" si="7"/>
        <v>4.9315068493150687</v>
      </c>
      <c r="J96">
        <f t="shared" si="8"/>
        <v>1.6906633330711838</v>
      </c>
      <c r="K96">
        <f t="shared" si="9"/>
        <v>-7.5021252572575969</v>
      </c>
      <c r="L96">
        <f t="shared" si="10"/>
        <v>-0.12894719810616972</v>
      </c>
      <c r="M96">
        <f t="shared" si="11"/>
        <v>-5.940409122292583</v>
      </c>
      <c r="Q96">
        <v>86</v>
      </c>
      <c r="R96">
        <v>-5.940409122292583</v>
      </c>
    </row>
    <row r="97" spans="7:18">
      <c r="G97">
        <v>87</v>
      </c>
      <c r="H97">
        <f t="shared" si="6"/>
        <v>6</v>
      </c>
      <c r="I97">
        <f t="shared" si="7"/>
        <v>5.9178082191780819</v>
      </c>
      <c r="J97">
        <f t="shared" si="8"/>
        <v>2.0243814137032712</v>
      </c>
      <c r="K97">
        <f t="shared" si="9"/>
        <v>-7.4898712739337538</v>
      </c>
      <c r="L97">
        <f t="shared" si="10"/>
        <v>-0.15465254617115226</v>
      </c>
      <c r="M97">
        <f t="shared" si="11"/>
        <v>-5.6201424064016345</v>
      </c>
      <c r="Q97">
        <v>87</v>
      </c>
      <c r="R97">
        <v>-5.6201424064016345</v>
      </c>
    </row>
    <row r="98" spans="7:18">
      <c r="G98">
        <v>88</v>
      </c>
      <c r="H98">
        <f t="shared" si="6"/>
        <v>7</v>
      </c>
      <c r="I98">
        <f t="shared" si="7"/>
        <v>6.9041095890410951</v>
      </c>
      <c r="J98">
        <f t="shared" si="8"/>
        <v>2.3557002004787271</v>
      </c>
      <c r="K98">
        <f t="shared" si="9"/>
        <v>-7.475397880106784</v>
      </c>
      <c r="L98">
        <f t="shared" si="10"/>
        <v>-0.18031206734902905</v>
      </c>
      <c r="M98">
        <f t="shared" si="11"/>
        <v>-5.3000097469770866</v>
      </c>
      <c r="Q98">
        <v>88</v>
      </c>
      <c r="R98">
        <v>-5.3000097469770866</v>
      </c>
    </row>
    <row r="99" spans="7:18">
      <c r="G99">
        <v>89</v>
      </c>
      <c r="H99">
        <f t="shared" si="6"/>
        <v>8</v>
      </c>
      <c r="I99">
        <f t="shared" si="7"/>
        <v>7.8904109589041092</v>
      </c>
      <c r="J99">
        <f t="shared" si="8"/>
        <v>2.6842270148616212</v>
      </c>
      <c r="K99">
        <f t="shared" si="9"/>
        <v>-7.4587093645556379</v>
      </c>
      <c r="L99">
        <f t="shared" si="10"/>
        <v>-0.20591815816989717</v>
      </c>
      <c r="M99">
        <f t="shared" si="11"/>
        <v>-4.980400507863914</v>
      </c>
      <c r="Q99">
        <v>89</v>
      </c>
      <c r="R99">
        <v>-4.980400507863914</v>
      </c>
    </row>
    <row r="100" spans="7:18">
      <c r="G100">
        <v>90</v>
      </c>
      <c r="H100">
        <f t="shared" si="6"/>
        <v>9</v>
      </c>
      <c r="I100">
        <f t="shared" si="7"/>
        <v>8.8767123287671232</v>
      </c>
      <c r="J100">
        <f t="shared" si="8"/>
        <v>3.0095724873575729</v>
      </c>
      <c r="K100">
        <f t="shared" si="9"/>
        <v>-7.4398106724476429</v>
      </c>
      <c r="L100">
        <f t="shared" si="10"/>
        <v>-0.23146323099642174</v>
      </c>
      <c r="M100">
        <f t="shared" si="11"/>
        <v>-4.6617014160864922</v>
      </c>
      <c r="Q100">
        <v>90</v>
      </c>
      <c r="R100">
        <v>-4.6617014160864922</v>
      </c>
    </row>
    <row r="101" spans="7:18">
      <c r="G101">
        <v>91</v>
      </c>
      <c r="H101">
        <f t="shared" si="6"/>
        <v>10</v>
      </c>
      <c r="I101">
        <f t="shared" si="7"/>
        <v>9.8630136986301373</v>
      </c>
      <c r="J101">
        <f t="shared" si="8"/>
        <v>3.3313510189938982</v>
      </c>
      <c r="K101">
        <f t="shared" si="9"/>
        <v>-7.4187074038731371</v>
      </c>
      <c r="L101">
        <f t="shared" si="10"/>
        <v>-0.2569397162722164</v>
      </c>
      <c r="M101">
        <f t="shared" si="11"/>
        <v>-4.344296101151456</v>
      </c>
      <c r="Q101">
        <v>91</v>
      </c>
      <c r="R101">
        <v>-4.344296101151456</v>
      </c>
    </row>
    <row r="102" spans="7:18">
      <c r="G102">
        <v>92</v>
      </c>
      <c r="H102">
        <f t="shared" si="6"/>
        <v>11</v>
      </c>
      <c r="I102">
        <f t="shared" si="7"/>
        <v>10.84931506849315</v>
      </c>
      <c r="J102">
        <f t="shared" si="8"/>
        <v>3.6491812383309434</v>
      </c>
      <c r="K102">
        <f t="shared" si="9"/>
        <v>-7.3954058121860449</v>
      </c>
      <c r="L102">
        <f t="shared" si="10"/>
        <v>-0.28234006476486634</v>
      </c>
      <c r="M102">
        <f t="shared" si="11"/>
        <v>-4.0285646386199678</v>
      </c>
      <c r="Q102">
        <v>92</v>
      </c>
      <c r="R102">
        <v>-4.0285646386199678</v>
      </c>
    </row>
    <row r="103" spans="7:18">
      <c r="G103">
        <v>93</v>
      </c>
      <c r="H103">
        <f t="shared" si="6"/>
        <v>12</v>
      </c>
      <c r="I103">
        <f t="shared" si="7"/>
        <v>11.835616438356164</v>
      </c>
      <c r="J103">
        <f t="shared" si="8"/>
        <v>3.9626864534629527</v>
      </c>
      <c r="K103">
        <f t="shared" si="9"/>
        <v>-7.3699128021508722</v>
      </c>
      <c r="L103">
        <f t="shared" si="10"/>
        <v>-0.30765674980292879</v>
      </c>
      <c r="M103">
        <f t="shared" si="11"/>
        <v>-3.7148830984908483</v>
      </c>
      <c r="Q103">
        <v>93</v>
      </c>
      <c r="R103">
        <v>-3.7148830984908483</v>
      </c>
    </row>
    <row r="104" spans="7:18">
      <c r="G104">
        <v>94</v>
      </c>
      <c r="H104">
        <f t="shared" si="6"/>
        <v>13</v>
      </c>
      <c r="I104">
        <f t="shared" si="7"/>
        <v>12.821917808219178</v>
      </c>
      <c r="J104">
        <f t="shared" si="8"/>
        <v>4.2714950984727551</v>
      </c>
      <c r="K104">
        <f t="shared" si="9"/>
        <v>-7.3422359278966773</v>
      </c>
      <c r="L104">
        <f t="shared" si="10"/>
        <v>-0.33288226950624822</v>
      </c>
      <c r="M104">
        <f t="shared" si="11"/>
        <v>-3.4036230989301703</v>
      </c>
      <c r="Q104">
        <v>94</v>
      </c>
      <c r="R104">
        <v>-3.4036230989301703</v>
      </c>
    </row>
    <row r="105" spans="7:18">
      <c r="G105">
        <v>95</v>
      </c>
      <c r="H105">
        <f t="shared" si="6"/>
        <v>14</v>
      </c>
      <c r="I105">
        <f t="shared" si="7"/>
        <v>13.80821917808219</v>
      </c>
      <c r="J105">
        <f t="shared" si="8"/>
        <v>4.5752411738111372</v>
      </c>
      <c r="K105">
        <f t="shared" si="9"/>
        <v>-7.3123833906786171</v>
      </c>
      <c r="L105">
        <f t="shared" si="10"/>
        <v>-0.35800914900892511</v>
      </c>
      <c r="M105">
        <f t="shared" si="11"/>
        <v>-3.0951513658764052</v>
      </c>
      <c r="Q105">
        <v>95</v>
      </c>
      <c r="R105">
        <v>-3.0951513658764052</v>
      </c>
    </row>
    <row r="106" spans="7:18">
      <c r="G106">
        <v>96</v>
      </c>
      <c r="H106">
        <f t="shared" si="6"/>
        <v>15</v>
      </c>
      <c r="I106">
        <f t="shared" si="7"/>
        <v>14.794520547945204</v>
      </c>
      <c r="J106">
        <f t="shared" si="8"/>
        <v>4.8735646800789745</v>
      </c>
      <c r="K106">
        <f t="shared" si="9"/>
        <v>-7.2803640364477396</v>
      </c>
      <c r="L106">
        <f t="shared" si="10"/>
        <v>-0.38302994267428048</v>
      </c>
      <c r="M106">
        <f t="shared" si="11"/>
        <v>-2.7898292990430456</v>
      </c>
      <c r="Q106">
        <v>96</v>
      </c>
      <c r="R106">
        <v>-2.7898292990430456</v>
      </c>
    </row>
    <row r="107" spans="7:18">
      <c r="G107">
        <v>97</v>
      </c>
      <c r="H107">
        <f t="shared" si="6"/>
        <v>16</v>
      </c>
      <c r="I107">
        <f t="shared" si="7"/>
        <v>15.780821917808218</v>
      </c>
      <c r="J107">
        <f t="shared" si="8"/>
        <v>5.1661120446979805</v>
      </c>
      <c r="K107">
        <f t="shared" si="9"/>
        <v>-7.2461873532297396</v>
      </c>
      <c r="L107">
        <f t="shared" si="10"/>
        <v>-0.4079372363011583</v>
      </c>
      <c r="M107">
        <f t="shared" si="11"/>
        <v>-2.4880125448329173</v>
      </c>
      <c r="Q107">
        <v>97</v>
      </c>
      <c r="R107">
        <v>-2.4880125448329173</v>
      </c>
    </row>
    <row r="108" spans="7:18">
      <c r="G108">
        <v>98</v>
      </c>
      <c r="H108">
        <f t="shared" si="6"/>
        <v>17</v>
      </c>
      <c r="I108">
        <f t="shared" si="7"/>
        <v>16.767123287671232</v>
      </c>
      <c r="J108">
        <f t="shared" si="8"/>
        <v>5.4525365409644051</v>
      </c>
      <c r="K108">
        <f t="shared" si="9"/>
        <v>-7.2098634683134462</v>
      </c>
      <c r="L108">
        <f t="shared" si="10"/>
        <v>-0.43272364932091345</v>
      </c>
      <c r="M108">
        <f t="shared" si="11"/>
        <v>-2.1900505766699547</v>
      </c>
      <c r="Q108">
        <v>98</v>
      </c>
      <c r="R108">
        <v>-2.1900505766699547</v>
      </c>
    </row>
    <row r="109" spans="7:18">
      <c r="G109">
        <v>99</v>
      </c>
      <c r="H109">
        <f t="shared" si="6"/>
        <v>18</v>
      </c>
      <c r="I109">
        <f t="shared" si="7"/>
        <v>17.753424657534246</v>
      </c>
      <c r="J109">
        <f t="shared" si="8"/>
        <v>5.7324986989890148</v>
      </c>
      <c r="K109">
        <f t="shared" si="9"/>
        <v>-7.1714031452498928</v>
      </c>
      <c r="L109">
        <f t="shared" si="10"/>
        <v>-0.45738183698443358</v>
      </c>
      <c r="M109">
        <f t="shared" si="11"/>
        <v>-1.8962862832453116</v>
      </c>
      <c r="Q109">
        <v>99</v>
      </c>
      <c r="R109">
        <v>-1.8962862832453116</v>
      </c>
    </row>
    <row r="110" spans="7:18">
      <c r="G110">
        <v>100</v>
      </c>
      <c r="H110">
        <f t="shared" si="6"/>
        <v>19</v>
      </c>
      <c r="I110">
        <f t="shared" si="7"/>
        <v>18.739726027397261</v>
      </c>
      <c r="J110">
        <f t="shared" si="8"/>
        <v>6.0056667080362942</v>
      </c>
      <c r="K110">
        <f t="shared" si="9"/>
        <v>-7.1308177806628477</v>
      </c>
      <c r="L110">
        <f t="shared" si="10"/>
        <v>-0.48190449253854661</v>
      </c>
      <c r="M110">
        <f t="shared" si="11"/>
        <v>-1.6070555651651</v>
      </c>
      <c r="Q110">
        <v>100</v>
      </c>
      <c r="R110">
        <v>-1.6070555651651</v>
      </c>
    </row>
    <row r="111" spans="7:18">
      <c r="G111">
        <v>101</v>
      </c>
      <c r="H111">
        <f t="shared" si="6"/>
        <v>20</v>
      </c>
      <c r="I111">
        <f t="shared" si="7"/>
        <v>19.726027397260275</v>
      </c>
      <c r="J111">
        <f t="shared" si="8"/>
        <v>6.2717168097860512</v>
      </c>
      <c r="K111">
        <f t="shared" si="9"/>
        <v>-7.0881194008717392</v>
      </c>
      <c r="L111">
        <f t="shared" si="10"/>
        <v>-0.50628434939116995</v>
      </c>
      <c r="M111">
        <f t="shared" si="11"/>
        <v>-1.322686940476858</v>
      </c>
      <c r="Q111">
        <v>101</v>
      </c>
      <c r="R111">
        <v>-1.322686940476858</v>
      </c>
    </row>
    <row r="112" spans="7:18">
      <c r="G112">
        <v>102</v>
      </c>
      <c r="H112">
        <f t="shared" si="6"/>
        <v>21</v>
      </c>
      <c r="I112">
        <f t="shared" si="7"/>
        <v>20.712328767123285</v>
      </c>
      <c r="J112">
        <f t="shared" si="8"/>
        <v>6.5303336820512863</v>
      </c>
      <c r="K112">
        <f t="shared" si="9"/>
        <v>-7.0433206583280068</v>
      </c>
      <c r="L112">
        <f t="shared" si="10"/>
        <v>-0.53051418326455735</v>
      </c>
      <c r="M112">
        <f t="shared" si="11"/>
        <v>-1.043501159541278</v>
      </c>
      <c r="Q112">
        <v>102</v>
      </c>
      <c r="R112">
        <v>-1.043501159541278</v>
      </c>
    </row>
    <row r="113" spans="7:18">
      <c r="G113">
        <v>103</v>
      </c>
      <c r="H113">
        <f t="shared" si="6"/>
        <v>22</v>
      </c>
      <c r="I113">
        <f t="shared" si="7"/>
        <v>21.698630136986299</v>
      </c>
      <c r="J113">
        <f t="shared" si="8"/>
        <v>6.7812108124975934</v>
      </c>
      <c r="K113">
        <f t="shared" si="9"/>
        <v>-6.9964348278659028</v>
      </c>
      <c r="L113">
        <f t="shared" si="10"/>
        <v>-0.55458681433600976</v>
      </c>
      <c r="M113">
        <f t="shared" si="11"/>
        <v>-0.76981082970431913</v>
      </c>
      <c r="Q113">
        <v>103</v>
      </c>
      <c r="R113">
        <v>-0.76981082970431913</v>
      </c>
    </row>
    <row r="114" spans="7:18">
      <c r="G114">
        <v>104</v>
      </c>
      <c r="H114">
        <f t="shared" si="6"/>
        <v>23</v>
      </c>
      <c r="I114">
        <f t="shared" si="7"/>
        <v>22.684931506849313</v>
      </c>
      <c r="J114">
        <f t="shared" si="8"/>
        <v>7.0240508619211157</v>
      </c>
      <c r="K114">
        <f t="shared" si="9"/>
        <v>-6.9474758027688717</v>
      </c>
      <c r="L114">
        <f t="shared" si="10"/>
        <v>-0.57849510936541071</v>
      </c>
      <c r="M114">
        <f t="shared" si="11"/>
        <v>-0.50192005021316666</v>
      </c>
      <c r="Q114">
        <v>104</v>
      </c>
      <c r="R114">
        <v>-0.50192005021316666</v>
      </c>
    </row>
    <row r="115" spans="7:18">
      <c r="G115">
        <v>105</v>
      </c>
      <c r="H115">
        <f t="shared" si="6"/>
        <v>24</v>
      </c>
      <c r="I115">
        <f t="shared" si="7"/>
        <v>23.671232876712327</v>
      </c>
      <c r="J115">
        <f t="shared" si="8"/>
        <v>7.2585660166545365</v>
      </c>
      <c r="K115">
        <f t="shared" si="9"/>
        <v>-6.8964580906526729</v>
      </c>
      <c r="L115">
        <f t="shared" si="10"/>
        <v>-0.60223198380895937</v>
      </c>
      <c r="M115">
        <f t="shared" si="11"/>
        <v>-0.24012405780709578</v>
      </c>
      <c r="Q115">
        <v>105</v>
      </c>
      <c r="R115">
        <v>-0.24012405780709578</v>
      </c>
    </row>
    <row r="116" spans="7:18">
      <c r="G116">
        <v>106</v>
      </c>
      <c r="H116">
        <f t="shared" si="6"/>
        <v>25</v>
      </c>
      <c r="I116">
        <f t="shared" si="7"/>
        <v>24.657534246575342</v>
      </c>
      <c r="J116">
        <f t="shared" si="8"/>
        <v>7.4844783296834105</v>
      </c>
      <c r="K116">
        <f t="shared" si="9"/>
        <v>-6.8433968091664577</v>
      </c>
      <c r="L116">
        <f t="shared" si="10"/>
        <v>-0.62579040391847518</v>
      </c>
      <c r="M116">
        <f t="shared" si="11"/>
        <v>1.5291116598477705E-2</v>
      </c>
      <c r="Q116">
        <v>106</v>
      </c>
      <c r="R116">
        <v>1.5291116598477705E-2</v>
      </c>
    </row>
    <row r="117" spans="7:18">
      <c r="G117">
        <v>107</v>
      </c>
      <c r="H117">
        <f t="shared" si="6"/>
        <v>26</v>
      </c>
      <c r="I117">
        <f t="shared" si="7"/>
        <v>25.643835616438356</v>
      </c>
      <c r="J117">
        <f t="shared" si="8"/>
        <v>7.7015200500685532</v>
      </c>
      <c r="K117">
        <f t="shared" si="9"/>
        <v>-6.7883076815130874</v>
      </c>
      <c r="L117">
        <f t="shared" si="10"/>
        <v>-0.64916338882564673</v>
      </c>
      <c r="M117">
        <f t="shared" si="11"/>
        <v>0.26404897972981911</v>
      </c>
      <c r="Q117">
        <v>107</v>
      </c>
      <c r="R117">
        <v>0.26404897972981911</v>
      </c>
    </row>
    <row r="118" spans="7:18">
      <c r="G118">
        <v>108</v>
      </c>
      <c r="H118">
        <f t="shared" si="6"/>
        <v>27</v>
      </c>
      <c r="I118">
        <f t="shared" si="7"/>
        <v>26.63013698630137</v>
      </c>
      <c r="J118">
        <f t="shared" si="8"/>
        <v>7.9094339402840568</v>
      </c>
      <c r="K118">
        <f t="shared" si="9"/>
        <v>-6.7312070317900057</v>
      </c>
      <c r="L118">
        <f t="shared" si="10"/>
        <v>-0.67234401261061594</v>
      </c>
      <c r="M118">
        <f t="shared" si="11"/>
        <v>0.50588289588343516</v>
      </c>
      <c r="Q118">
        <v>108</v>
      </c>
      <c r="R118">
        <v>0.50588289588343516</v>
      </c>
    </row>
    <row r="119" spans="7:18">
      <c r="G119">
        <v>109</v>
      </c>
      <c r="H119">
        <f t="shared" si="6"/>
        <v>28</v>
      </c>
      <c r="I119">
        <f t="shared" si="7"/>
        <v>27.61643835616438</v>
      </c>
      <c r="J119">
        <f t="shared" si="8"/>
        <v>8.1079735810948268</v>
      </c>
      <c r="K119">
        <f t="shared" si="9"/>
        <v>-6.6721117801520586</v>
      </c>
      <c r="L119">
        <f t="shared" si="10"/>
        <v>-0.6953254063542762</v>
      </c>
      <c r="M119">
        <f t="shared" si="11"/>
        <v>0.74053639458849196</v>
      </c>
      <c r="Q119">
        <v>109</v>
      </c>
      <c r="R119">
        <v>0.74053639458849196</v>
      </c>
    </row>
    <row r="120" spans="7:18">
      <c r="G120">
        <v>110</v>
      </c>
      <c r="H120">
        <f t="shared" si="6"/>
        <v>29</v>
      </c>
      <c r="I120">
        <f t="shared" si="7"/>
        <v>28.602739726027394</v>
      </c>
      <c r="J120">
        <f t="shared" si="8"/>
        <v>8.2969036636122979</v>
      </c>
      <c r="K120">
        <f t="shared" si="9"/>
        <v>-6.6110394377976878</v>
      </c>
      <c r="L120">
        <f t="shared" si="10"/>
        <v>-0.71810076017368263</v>
      </c>
      <c r="M120">
        <f t="shared" si="11"/>
        <v>0.96776346564092752</v>
      </c>
      <c r="Q120">
        <v>110</v>
      </c>
      <c r="R120">
        <v>0.96776346564092752</v>
      </c>
    </row>
    <row r="121" spans="7:18">
      <c r="G121">
        <v>111</v>
      </c>
      <c r="H121">
        <f t="shared" si="6"/>
        <v>30</v>
      </c>
      <c r="I121">
        <f t="shared" si="7"/>
        <v>29.589041095890408</v>
      </c>
      <c r="J121">
        <f t="shared" si="8"/>
        <v>8.4760002681821742</v>
      </c>
      <c r="K121">
        <f t="shared" si="9"/>
        <v>-6.5480081017799812</v>
      </c>
      <c r="L121">
        <f t="shared" si="10"/>
        <v>-0.74066332523996581</v>
      </c>
      <c r="M121">
        <f t="shared" si="11"/>
        <v>1.1873288411622274</v>
      </c>
      <c r="Q121">
        <v>111</v>
      </c>
      <c r="R121">
        <v>1.1873288411622274</v>
      </c>
    </row>
    <row r="122" spans="7:18">
      <c r="G122">
        <v>112</v>
      </c>
      <c r="H122">
        <f t="shared" si="6"/>
        <v>31</v>
      </c>
      <c r="I122">
        <f t="shared" si="7"/>
        <v>30.575342465753423</v>
      </c>
      <c r="J122">
        <f t="shared" si="8"/>
        <v>8.6450511297736767</v>
      </c>
      <c r="K122">
        <f t="shared" si="9"/>
        <v>-6.4830364496441275</v>
      </c>
      <c r="L122">
        <f t="shared" si="10"/>
        <v>-0.76300641577815664</v>
      </c>
      <c r="M122">
        <f t="shared" si="11"/>
        <v>1.3990082643513926</v>
      </c>
      <c r="Q122">
        <v>112</v>
      </c>
      <c r="R122">
        <v>1.3990082643513926</v>
      </c>
    </row>
    <row r="123" spans="7:18">
      <c r="G123">
        <v>113</v>
      </c>
      <c r="H123">
        <f t="shared" si="6"/>
        <v>32</v>
      </c>
      <c r="I123">
        <f t="shared" si="7"/>
        <v>31.561643835616437</v>
      </c>
      <c r="J123">
        <f t="shared" si="8"/>
        <v>8.8038558895557433</v>
      </c>
      <c r="K123">
        <f t="shared" si="9"/>
        <v>-6.4161437338928593</v>
      </c>
      <c r="L123">
        <f t="shared" si="10"/>
        <v>-0.78512341104832539</v>
      </c>
      <c r="M123">
        <f t="shared" si="11"/>
        <v>1.6025887446145586</v>
      </c>
      <c r="Q123">
        <v>113</v>
      </c>
      <c r="R123">
        <v>1.6025887446145586</v>
      </c>
    </row>
    <row r="124" spans="7:18">
      <c r="G124">
        <v>114</v>
      </c>
      <c r="H124">
        <f t="shared" si="6"/>
        <v>33</v>
      </c>
      <c r="I124">
        <f t="shared" si="7"/>
        <v>32.547945205479451</v>
      </c>
      <c r="J124">
        <f t="shared" si="8"/>
        <v>8.9522263323620166</v>
      </c>
      <c r="K124">
        <f t="shared" si="9"/>
        <v>-6.347349776281515</v>
      </c>
      <c r="L124">
        <f t="shared" si="10"/>
        <v>-0.80700775730744945</v>
      </c>
      <c r="M124">
        <f t="shared" si="11"/>
        <v>1.7978687987730522</v>
      </c>
      <c r="Q124">
        <v>114</v>
      </c>
      <c r="R124">
        <v>1.7978687987730522</v>
      </c>
    </row>
    <row r="125" spans="7:18">
      <c r="G125">
        <v>115</v>
      </c>
      <c r="H125">
        <f t="shared" si="6"/>
        <v>34</v>
      </c>
      <c r="I125">
        <f t="shared" si="7"/>
        <v>33.534246575342465</v>
      </c>
      <c r="J125">
        <f t="shared" si="8"/>
        <v>9.0899866097631836</v>
      </c>
      <c r="K125">
        <f t="shared" si="9"/>
        <v>-6.2766749619444315</v>
      </c>
      <c r="L125">
        <f t="shared" si="10"/>
        <v>-0.82865296975142944</v>
      </c>
      <c r="M125">
        <f t="shared" si="11"/>
        <v>1.9846586780673228</v>
      </c>
      <c r="Q125">
        <v>115</v>
      </c>
      <c r="R125">
        <v>1.9846586780673228</v>
      </c>
    </row>
    <row r="126" spans="7:18">
      <c r="G126">
        <v>116</v>
      </c>
      <c r="H126">
        <f t="shared" si="6"/>
        <v>35</v>
      </c>
      <c r="I126">
        <f t="shared" si="7"/>
        <v>34.520547945205479</v>
      </c>
      <c r="J126">
        <f t="shared" si="8"/>
        <v>9.2169734484822712</v>
      </c>
      <c r="K126">
        <f t="shared" si="9"/>
        <v>-6.2041402333543827</v>
      </c>
      <c r="L126">
        <f t="shared" si="10"/>
        <v>-0.85005263443667645</v>
      </c>
      <c r="M126">
        <f t="shared" si="11"/>
        <v>2.1627805806912122</v>
      </c>
      <c r="Q126">
        <v>116</v>
      </c>
      <c r="R126">
        <v>2.1627805806912122</v>
      </c>
    </row>
    <row r="127" spans="7:18">
      <c r="G127">
        <v>117</v>
      </c>
      <c r="H127">
        <f t="shared" si="6"/>
        <v>36</v>
      </c>
      <c r="I127">
        <f t="shared" si="7"/>
        <v>35.506849315068493</v>
      </c>
      <c r="J127">
        <f t="shared" si="8"/>
        <v>9.3330363439058974</v>
      </c>
      <c r="K127">
        <f t="shared" si="9"/>
        <v>-6.1297670841168799</v>
      </c>
      <c r="L127">
        <f t="shared" si="10"/>
        <v>-0.87120041018070138</v>
      </c>
      <c r="M127">
        <f t="shared" si="11"/>
        <v>2.3320688496083162</v>
      </c>
      <c r="Q127">
        <v>117</v>
      </c>
      <c r="R127">
        <v>2.3320688496083162</v>
      </c>
    </row>
    <row r="128" spans="7:18">
      <c r="G128">
        <v>118</v>
      </c>
      <c r="H128">
        <f t="shared" si="6"/>
        <v>37</v>
      </c>
      <c r="I128">
        <f t="shared" si="7"/>
        <v>36.493150684931507</v>
      </c>
      <c r="J128">
        <f t="shared" si="8"/>
        <v>9.438037738462107</v>
      </c>
      <c r="K128">
        <f t="shared" si="9"/>
        <v>-6.0535775526011451</v>
      </c>
      <c r="L128">
        <f t="shared" si="10"/>
        <v>-0.89209003044114488</v>
      </c>
      <c r="M128">
        <f t="shared" si="11"/>
        <v>2.4923701554198172</v>
      </c>
      <c r="Q128">
        <v>118</v>
      </c>
      <c r="R128">
        <v>2.4923701554198172</v>
      </c>
    </row>
    <row r="129" spans="7:18">
      <c r="G129">
        <v>119</v>
      </c>
      <c r="H129">
        <f t="shared" si="6"/>
        <v>38</v>
      </c>
      <c r="I129">
        <f t="shared" si="7"/>
        <v>37.479452054794521</v>
      </c>
      <c r="J129">
        <f t="shared" si="8"/>
        <v>9.5318531846534178</v>
      </c>
      <c r="K129">
        <f t="shared" si="9"/>
        <v>-5.9755942154096697</v>
      </c>
      <c r="L129">
        <f t="shared" si="10"/>
        <v>-0.91271530517268906</v>
      </c>
      <c r="M129">
        <f t="shared" si="11"/>
        <v>2.6435436640710588</v>
      </c>
      <c r="Q129">
        <v>119</v>
      </c>
      <c r="R129">
        <v>2.6435436640710588</v>
      </c>
    </row>
    <row r="130" spans="7:18">
      <c r="G130">
        <v>120</v>
      </c>
      <c r="H130">
        <f t="shared" si="6"/>
        <v>39</v>
      </c>
      <c r="I130">
        <f t="shared" si="7"/>
        <v>38.465753424657535</v>
      </c>
      <c r="J130">
        <f t="shared" si="8"/>
        <v>9.6143714925517898</v>
      </c>
      <c r="K130">
        <f t="shared" si="9"/>
        <v>-5.8958401806882836</v>
      </c>
      <c r="L130">
        <f t="shared" si="10"/>
        <v>-0.93307012266130118</v>
      </c>
      <c r="M130">
        <f t="shared" si="11"/>
        <v>2.7854611892022048</v>
      </c>
      <c r="Q130">
        <v>120</v>
      </c>
      <c r="R130">
        <v>2.7854611892022048</v>
      </c>
    </row>
    <row r="131" spans="7:18">
      <c r="G131">
        <v>121</v>
      </c>
      <c r="H131">
        <f t="shared" si="6"/>
        <v>40</v>
      </c>
      <c r="I131">
        <f t="shared" si="7"/>
        <v>39.452054794520549</v>
      </c>
      <c r="J131">
        <f t="shared" si="8"/>
        <v>9.6854948615807839</v>
      </c>
      <c r="K131">
        <f t="shared" si="9"/>
        <v>-5.8143390812787068</v>
      </c>
      <c r="L131">
        <f t="shared" si="10"/>
        <v>-0.95314845133526616</v>
      </c>
      <c r="M131">
        <f t="shared" si="11"/>
        <v>2.9180073289668109</v>
      </c>
      <c r="Q131">
        <v>121</v>
      </c>
      <c r="R131">
        <v>2.9180073289668109</v>
      </c>
    </row>
    <row r="132" spans="7:18">
      <c r="G132">
        <v>122</v>
      </c>
      <c r="H132">
        <f t="shared" si="6"/>
        <v>41</v>
      </c>
      <c r="I132">
        <f t="shared" si="7"/>
        <v>40.438356164383556</v>
      </c>
      <c r="J132">
        <f t="shared" si="8"/>
        <v>9.7451389964286452</v>
      </c>
      <c r="K132">
        <f t="shared" si="9"/>
        <v>-5.7311150677156339</v>
      </c>
      <c r="L132">
        <f t="shared" si="10"/>
        <v>-0.97294434155247211</v>
      </c>
      <c r="M132">
        <f t="shared" si="11"/>
        <v>3.0410795871605392</v>
      </c>
      <c r="Q132">
        <v>122</v>
      </c>
      <c r="R132">
        <v>3.0410795871605392</v>
      </c>
    </row>
    <row r="133" spans="7:18">
      <c r="G133">
        <v>123</v>
      </c>
      <c r="H133">
        <f t="shared" si="6"/>
        <v>42</v>
      </c>
      <c r="I133">
        <f t="shared" si="7"/>
        <v>41.42465753424657</v>
      </c>
      <c r="J133">
        <f t="shared" si="8"/>
        <v>9.7932332069549908</v>
      </c>
      <c r="K133">
        <f t="shared" si="9"/>
        <v>-5.6461928010704012</v>
      </c>
      <c r="L133">
        <f t="shared" si="10"/>
        <v>-0.99245192736341747</v>
      </c>
      <c r="M133">
        <f t="shared" si="11"/>
        <v>3.154588478521172</v>
      </c>
      <c r="Q133">
        <v>123</v>
      </c>
      <c r="R133">
        <v>3.154588478521172</v>
      </c>
    </row>
    <row r="134" spans="7:18">
      <c r="G134">
        <v>124</v>
      </c>
      <c r="H134">
        <f t="shared" si="6"/>
        <v>43</v>
      </c>
      <c r="I134">
        <f t="shared" si="7"/>
        <v>42.410958904109584</v>
      </c>
      <c r="J134">
        <f t="shared" si="8"/>
        <v>9.8297204919726564</v>
      </c>
      <c r="K134">
        <f t="shared" si="9"/>
        <v>-5.5595974456433925</v>
      </c>
      <c r="L134">
        <f t="shared" si="10"/>
        <v>-1.0116654282494182</v>
      </c>
      <c r="M134">
        <f t="shared" si="11"/>
        <v>3.2584576180798459</v>
      </c>
      <c r="Q134">
        <v>124</v>
      </c>
      <c r="R134">
        <v>3.2584576180798459</v>
      </c>
    </row>
    <row r="135" spans="7:18">
      <c r="G135">
        <v>125</v>
      </c>
      <c r="H135">
        <f t="shared" si="6"/>
        <v>44</v>
      </c>
      <c r="I135">
        <f t="shared" si="7"/>
        <v>43.397260273972599</v>
      </c>
      <c r="J135">
        <f t="shared" si="8"/>
        <v>9.8545576068054181</v>
      </c>
      <c r="K135">
        <f t="shared" si="9"/>
        <v>-5.4713546615072994</v>
      </c>
      <c r="L135">
        <f t="shared" si="10"/>
        <v>-1.0305791508355004</v>
      </c>
      <c r="M135">
        <f t="shared" si="11"/>
        <v>3.3526237944626183</v>
      </c>
      <c r="Q135">
        <v>125</v>
      </c>
      <c r="R135">
        <v>3.3526237944626183</v>
      </c>
    </row>
    <row r="136" spans="7:18">
      <c r="G136">
        <v>126</v>
      </c>
      <c r="H136">
        <f t="shared" si="6"/>
        <v>45</v>
      </c>
      <c r="I136">
        <f t="shared" si="7"/>
        <v>44.383561643835613</v>
      </c>
      <c r="J136">
        <f t="shared" si="8"/>
        <v>9.8677151145415216</v>
      </c>
      <c r="K136">
        <f t="shared" si="9"/>
        <v>-5.3814905969034958</v>
      </c>
      <c r="L136">
        <f t="shared" si="10"/>
        <v>-1.0491874905774707</v>
      </c>
      <c r="M136">
        <f t="shared" si="11"/>
        <v>3.4370370270605548</v>
      </c>
      <c r="Q136">
        <v>126</v>
      </c>
      <c r="R136">
        <v>3.4370370270605548</v>
      </c>
    </row>
    <row r="137" spans="7:18">
      <c r="G137">
        <v>127</v>
      </c>
      <c r="H137">
        <f t="shared" si="6"/>
        <v>46</v>
      </c>
      <c r="I137">
        <f t="shared" si="7"/>
        <v>45.369863013698627</v>
      </c>
      <c r="J137">
        <f t="shared" si="8"/>
        <v>9.8691774209222629</v>
      </c>
      <c r="K137">
        <f t="shared" si="9"/>
        <v>-5.2900318804937516</v>
      </c>
      <c r="L137">
        <f t="shared" si="10"/>
        <v>-1.0674849334226622</v>
      </c>
      <c r="M137">
        <f t="shared" si="11"/>
        <v>3.5116606070058491</v>
      </c>
      <c r="Q137">
        <v>127</v>
      </c>
      <c r="R137">
        <v>3.5116606070058491</v>
      </c>
    </row>
    <row r="138" spans="7:18">
      <c r="G138">
        <v>128</v>
      </c>
      <c r="H138">
        <f t="shared" si="6"/>
        <v>47</v>
      </c>
      <c r="I138">
        <f t="shared" si="7"/>
        <v>46.356164383561641</v>
      </c>
      <c r="J138">
        <f t="shared" si="8"/>
        <v>9.8589427928242817</v>
      </c>
      <c r="K138">
        <f t="shared" si="9"/>
        <v>-5.197005613469579</v>
      </c>
      <c r="L138">
        <f t="shared" si="10"/>
        <v>-1.0854660574438686</v>
      </c>
      <c r="M138">
        <f t="shared" si="11"/>
        <v>3.5764711219108341</v>
      </c>
      <c r="Q138">
        <v>128</v>
      </c>
      <c r="R138">
        <v>3.5764711219108341</v>
      </c>
    </row>
    <row r="139" spans="7:18">
      <c r="G139">
        <v>129</v>
      </c>
      <c r="H139">
        <f t="shared" si="6"/>
        <v>48</v>
      </c>
      <c r="I139">
        <f t="shared" si="7"/>
        <v>47.342465753424655</v>
      </c>
      <c r="J139">
        <f t="shared" si="8"/>
        <v>9.8370233603136583</v>
      </c>
      <c r="K139">
        <f t="shared" si="9"/>
        <v>-5.1024393615215686</v>
      </c>
      <c r="L139">
        <f t="shared" si="10"/>
        <v>-1.1031255344459783</v>
      </c>
      <c r="M139">
        <f t="shared" si="11"/>
        <v>3.6314584643461112</v>
      </c>
      <c r="Q139">
        <v>129</v>
      </c>
      <c r="R139">
        <v>3.6314584643461112</v>
      </c>
    </row>
    <row r="140" spans="7:18">
      <c r="G140">
        <v>130</v>
      </c>
      <c r="H140">
        <f t="shared" ref="H140:H203" si="12">G140-81</f>
        <v>49</v>
      </c>
      <c r="I140">
        <f t="shared" ref="I140:I203" si="13">(360/365)*H140</f>
        <v>48.328767123287669</v>
      </c>
      <c r="J140">
        <f t="shared" ref="J140:J203" si="14">9.87*SIN(2*PI()*I140/180)</f>
        <v>9.8034451022693787</v>
      </c>
      <c r="K140">
        <f t="shared" ref="K140:K203" si="15">-7.53*COS(I140*PI()/180)</f>
        <v>-5.006361146671078</v>
      </c>
      <c r="L140">
        <f t="shared" ref="L140:L203" si="16">-1.5*SIN(I140*PI()/180)</f>
        <v>-1.1204581315448328</v>
      </c>
      <c r="M140">
        <f t="shared" ref="M140:M203" si="17">J140+K140+L140</f>
        <v>3.6766258240534677</v>
      </c>
      <c r="Q140">
        <v>130</v>
      </c>
      <c r="R140">
        <v>3.6766258240534677</v>
      </c>
    </row>
    <row r="141" spans="7:18">
      <c r="G141">
        <v>131</v>
      </c>
      <c r="H141">
        <f t="shared" si="12"/>
        <v>50</v>
      </c>
      <c r="I141">
        <f t="shared" si="13"/>
        <v>49.315068493150683</v>
      </c>
      <c r="J141">
        <f t="shared" si="14"/>
        <v>9.7582478155931991</v>
      </c>
      <c r="K141">
        <f t="shared" si="15"/>
        <v>-4.9087994389667067</v>
      </c>
      <c r="L141">
        <f t="shared" si="16"/>
        <v>-1.1374587127178437</v>
      </c>
      <c r="M141">
        <f t="shared" si="17"/>
        <v>3.7119896639086489</v>
      </c>
      <c r="Q141">
        <v>131</v>
      </c>
      <c r="R141">
        <v>3.7119896639086489</v>
      </c>
    </row>
    <row r="142" spans="7:18">
      <c r="G142">
        <v>132</v>
      </c>
      <c r="H142">
        <f t="shared" si="12"/>
        <v>51</v>
      </c>
      <c r="I142">
        <f t="shared" si="13"/>
        <v>50.301369863013697</v>
      </c>
      <c r="J142">
        <f t="shared" si="14"/>
        <v>9.7014850680424232</v>
      </c>
      <c r="K142">
        <f t="shared" si="15"/>
        <v>-4.8097831480480009</v>
      </c>
      <c r="L142">
        <f t="shared" si="16"/>
        <v>-1.1541222403259068</v>
      </c>
      <c r="M142">
        <f t="shared" si="17"/>
        <v>3.7375796796685155</v>
      </c>
      <c r="Q142">
        <v>132</v>
      </c>
      <c r="R142">
        <v>3.7375796796685155</v>
      </c>
    </row>
    <row r="143" spans="7:18">
      <c r="G143">
        <v>133</v>
      </c>
      <c r="H143">
        <f t="shared" si="12"/>
        <v>52</v>
      </c>
      <c r="I143">
        <f t="shared" si="13"/>
        <v>51.287671232876711</v>
      </c>
      <c r="J143">
        <f t="shared" si="14"/>
        <v>9.6332241347414751</v>
      </c>
      <c r="K143">
        <f t="shared" si="15"/>
        <v>-4.7093416145789053</v>
      </c>
      <c r="L143">
        <f t="shared" si="16"/>
        <v>-1.1704437766061633</v>
      </c>
      <c r="M143">
        <f t="shared" si="17"/>
        <v>3.7534387435564067</v>
      </c>
      <c r="Q143">
        <v>133</v>
      </c>
      <c r="R143">
        <v>3.7534387435564067</v>
      </c>
    </row>
    <row r="144" spans="7:18">
      <c r="G144">
        <v>134</v>
      </c>
      <c r="H144">
        <f t="shared" si="12"/>
        <v>53</v>
      </c>
      <c r="I144">
        <f t="shared" si="13"/>
        <v>52.273972602739725</v>
      </c>
      <c r="J144">
        <f t="shared" si="14"/>
        <v>9.5535459184475133</v>
      </c>
      <c r="K144">
        <f t="shared" si="15"/>
        <v>-4.6075046015534946</v>
      </c>
      <c r="L144">
        <f t="shared" si="16"/>
        <v>-1.1864184851351658</v>
      </c>
      <c r="M144">
        <f t="shared" si="17"/>
        <v>3.7596228317588531</v>
      </c>
      <c r="Q144">
        <v>134</v>
      </c>
      <c r="R144">
        <v>3.7596228317588531</v>
      </c>
    </row>
    <row r="145" spans="7:18">
      <c r="G145">
        <v>135</v>
      </c>
      <c r="H145">
        <f t="shared" si="12"/>
        <v>54</v>
      </c>
      <c r="I145">
        <f t="shared" si="13"/>
        <v>53.260273972602739</v>
      </c>
      <c r="J145">
        <f t="shared" si="14"/>
        <v>9.462544853664614</v>
      </c>
      <c r="K145">
        <f t="shared" si="15"/>
        <v>-4.50430228547655</v>
      </c>
      <c r="L145">
        <f t="shared" si="16"/>
        <v>-1.2020416322620149</v>
      </c>
      <c r="M145">
        <f t="shared" si="17"/>
        <v>3.7562009359260493</v>
      </c>
      <c r="Q145">
        <v>135</v>
      </c>
      <c r="R145">
        <v>3.7562009359260493</v>
      </c>
    </row>
    <row r="146" spans="7:18">
      <c r="G146">
        <v>136</v>
      </c>
      <c r="H146">
        <f t="shared" si="12"/>
        <v>55</v>
      </c>
      <c r="I146">
        <f t="shared" si="13"/>
        <v>54.246575342465754</v>
      </c>
      <c r="J146">
        <f t="shared" si="14"/>
        <v>9.3603287947201341</v>
      </c>
      <c r="K146">
        <f t="shared" si="15"/>
        <v>-4.3997652474216142</v>
      </c>
      <c r="L146">
        <f t="shared" si="16"/>
        <v>-1.2173085885110415</v>
      </c>
      <c r="M146">
        <f t="shared" si="17"/>
        <v>3.7432549587874782</v>
      </c>
      <c r="Q146">
        <v>136</v>
      </c>
      <c r="R146">
        <v>3.7432549587874782</v>
      </c>
    </row>
    <row r="147" spans="7:18">
      <c r="G147">
        <v>137</v>
      </c>
      <c r="H147">
        <f t="shared" si="12"/>
        <v>56</v>
      </c>
      <c r="I147">
        <f t="shared" si="13"/>
        <v>55.232876712328761</v>
      </c>
      <c r="J147">
        <f t="shared" si="14"/>
        <v>9.2470188879359085</v>
      </c>
      <c r="K147">
        <f t="shared" si="15"/>
        <v>-4.2939244639691578</v>
      </c>
      <c r="L147">
        <f t="shared" si="16"/>
        <v>-1.2322148299536213</v>
      </c>
      <c r="M147">
        <f t="shared" si="17"/>
        <v>3.7208795940131294</v>
      </c>
      <c r="Q147">
        <v>137</v>
      </c>
      <c r="R147">
        <v>3.7208795940131294</v>
      </c>
    </row>
    <row r="148" spans="7:18">
      <c r="G148">
        <v>138</v>
      </c>
      <c r="H148">
        <f t="shared" si="12"/>
        <v>57</v>
      </c>
      <c r="I148">
        <f t="shared" si="13"/>
        <v>56.219178082191775</v>
      </c>
      <c r="J148">
        <f t="shared" si="14"/>
        <v>9.1227494280458306</v>
      </c>
      <c r="K148">
        <f t="shared" si="15"/>
        <v>-4.1868112980275463</v>
      </c>
      <c r="L148">
        <f t="shared" si="16"/>
        <v>-1.2467559395487118</v>
      </c>
      <c r="M148">
        <f t="shared" si="17"/>
        <v>3.6891821904695723</v>
      </c>
      <c r="Q148">
        <v>138</v>
      </c>
      <c r="R148">
        <v>3.6891821904695723</v>
      </c>
    </row>
    <row r="149" spans="7:18">
      <c r="G149">
        <v>139</v>
      </c>
      <c r="H149">
        <f t="shared" si="12"/>
        <v>58</v>
      </c>
      <c r="I149">
        <f t="shared" si="13"/>
        <v>57.205479452054789</v>
      </c>
      <c r="J149">
        <f t="shared" si="14"/>
        <v>8.9876676990299149</v>
      </c>
      <c r="K149">
        <f t="shared" si="15"/>
        <v>-4.0784574895395407</v>
      </c>
      <c r="L149">
        <f t="shared" si="16"/>
        <v>-1.2609276084517171</v>
      </c>
      <c r="M149">
        <f t="shared" si="17"/>
        <v>3.6482826010386571</v>
      </c>
      <c r="Q149">
        <v>139</v>
      </c>
      <c r="R149">
        <v>3.6482826010386571</v>
      </c>
    </row>
    <row r="150" spans="7:18">
      <c r="G150">
        <v>140</v>
      </c>
      <c r="H150">
        <f t="shared" si="12"/>
        <v>59</v>
      </c>
      <c r="I150">
        <f t="shared" si="13"/>
        <v>58.191780821917803</v>
      </c>
      <c r="J150">
        <f t="shared" si="14"/>
        <v>8.8419337995535514</v>
      </c>
      <c r="K150">
        <f t="shared" si="15"/>
        <v>-3.9688951460770632</v>
      </c>
      <c r="L150">
        <f t="shared" si="16"/>
        <v>-1.2747256372912918</v>
      </c>
      <c r="M150">
        <f t="shared" si="17"/>
        <v>3.5983130161851964</v>
      </c>
      <c r="Q150">
        <v>140</v>
      </c>
      <c r="R150">
        <v>3.5983130161851964</v>
      </c>
    </row>
    <row r="151" spans="7:18">
      <c r="G151">
        <v>141</v>
      </c>
      <c r="H151">
        <f t="shared" si="12"/>
        <v>60</v>
      </c>
      <c r="I151">
        <f t="shared" si="13"/>
        <v>59.178082191780817</v>
      </c>
      <c r="J151">
        <f t="shared" si="14"/>
        <v>8.6857204532187975</v>
      </c>
      <c r="K151">
        <f t="shared" si="15"/>
        <v>-3.8581567333270308</v>
      </c>
      <c r="L151">
        <f t="shared" si="16"/>
        <v>-1.2881459374137043</v>
      </c>
      <c r="M151">
        <f t="shared" si="17"/>
        <v>3.539417782478063</v>
      </c>
      <c r="Q151">
        <v>141</v>
      </c>
      <c r="R151">
        <v>3.539417782478063</v>
      </c>
    </row>
    <row r="152" spans="7:18">
      <c r="G152">
        <v>142</v>
      </c>
      <c r="H152">
        <f t="shared" si="12"/>
        <v>61</v>
      </c>
      <c r="I152">
        <f t="shared" si="13"/>
        <v>60.164383561643831</v>
      </c>
      <c r="J152">
        <f t="shared" si="14"/>
        <v>8.5192128038526249</v>
      </c>
      <c r="K152">
        <f t="shared" si="15"/>
        <v>-3.7462750654710706</v>
      </c>
      <c r="L152">
        <f t="shared" si="16"/>
        <v>-1.3011845320943953</v>
      </c>
      <c r="M152">
        <f t="shared" si="17"/>
        <v>3.4717532062871586</v>
      </c>
      <c r="Q152">
        <v>142</v>
      </c>
      <c r="R152">
        <v>3.4717532062871586</v>
      </c>
    </row>
    <row r="153" spans="7:18">
      <c r="G153">
        <v>143</v>
      </c>
      <c r="H153">
        <f t="shared" si="12"/>
        <v>62</v>
      </c>
      <c r="I153">
        <f t="shared" si="13"/>
        <v>61.150684931506845</v>
      </c>
      <c r="J153">
        <f t="shared" si="14"/>
        <v>8.3426081960747336</v>
      </c>
      <c r="K153">
        <f t="shared" si="15"/>
        <v>-3.6332832954619754</v>
      </c>
      <c r="L153">
        <f t="shared" si="16"/>
        <v>-1.3138375577163643</v>
      </c>
      <c r="M153">
        <f t="shared" si="17"/>
        <v>3.3954873428963941</v>
      </c>
      <c r="Q153">
        <v>143</v>
      </c>
      <c r="R153">
        <v>3.3954873428963941</v>
      </c>
    </row>
    <row r="154" spans="7:18">
      <c r="G154">
        <v>144</v>
      </c>
      <c r="H154">
        <f t="shared" si="12"/>
        <v>63</v>
      </c>
      <c r="I154">
        <f t="shared" si="13"/>
        <v>62.136986301369859</v>
      </c>
      <c r="J154">
        <f t="shared" si="14"/>
        <v>8.1561159414049875</v>
      </c>
      <c r="K154">
        <f t="shared" si="15"/>
        <v>-3.5192149051997568</v>
      </c>
      <c r="L154">
        <f t="shared" si="16"/>
        <v>-1.3261012649150454</v>
      </c>
      <c r="M154">
        <f t="shared" si="17"/>
        <v>3.3107997712901853</v>
      </c>
      <c r="Q154">
        <v>144</v>
      </c>
      <c r="R154">
        <v>3.3107997712901853</v>
      </c>
    </row>
    <row r="155" spans="7:18">
      <c r="G155">
        <v>145</v>
      </c>
      <c r="H155">
        <f t="shared" si="12"/>
        <v>64</v>
      </c>
      <c r="I155">
        <f t="shared" si="13"/>
        <v>63.123287671232873</v>
      </c>
      <c r="J155">
        <f t="shared" si="14"/>
        <v>7.9599570701877242</v>
      </c>
      <c r="K155">
        <f t="shared" si="15"/>
        <v>-3.4041036956102517</v>
      </c>
      <c r="L155">
        <f t="shared" si="16"/>
        <v>-1.3379720196893228</v>
      </c>
      <c r="M155">
        <f t="shared" si="17"/>
        <v>3.2178813548881493</v>
      </c>
      <c r="Q155">
        <v>145</v>
      </c>
      <c r="R155">
        <v>3.2178813548881493</v>
      </c>
    </row>
    <row r="156" spans="7:18">
      <c r="G156">
        <v>146</v>
      </c>
      <c r="H156">
        <f t="shared" si="12"/>
        <v>65</v>
      </c>
      <c r="I156">
        <f t="shared" si="13"/>
        <v>64.109589041095887</v>
      </c>
      <c r="J156">
        <f t="shared" si="14"/>
        <v>7.7543640696269094</v>
      </c>
      <c r="K156">
        <f t="shared" si="15"/>
        <v>-3.2879837766291611</v>
      </c>
      <c r="L156">
        <f t="shared" si="16"/>
        <v>-1.3494463044783651</v>
      </c>
      <c r="M156">
        <f t="shared" si="17"/>
        <v>3.1169339885193827</v>
      </c>
      <c r="Q156">
        <v>146</v>
      </c>
      <c r="R156">
        <v>3.1169339885193827</v>
      </c>
    </row>
    <row r="157" spans="7:18">
      <c r="G157">
        <v>147</v>
      </c>
      <c r="H157">
        <f t="shared" si="12"/>
        <v>66</v>
      </c>
      <c r="I157">
        <f t="shared" si="13"/>
        <v>65.095890410958901</v>
      </c>
      <c r="J157">
        <f t="shared" si="14"/>
        <v>7.5395806082426562</v>
      </c>
      <c r="K157">
        <f t="shared" si="15"/>
        <v>-3.1708895570945548</v>
      </c>
      <c r="L157">
        <f t="shared" si="16"/>
        <v>-1.3605207192039539</v>
      </c>
      <c r="M157">
        <f t="shared" si="17"/>
        <v>3.0081703319441471</v>
      </c>
      <c r="Q157">
        <v>147</v>
      </c>
      <c r="R157">
        <v>3.0081703319441471</v>
      </c>
    </row>
    <row r="158" spans="7:18">
      <c r="G158">
        <v>148</v>
      </c>
      <c r="H158">
        <f t="shared" si="12"/>
        <v>67</v>
      </c>
      <c r="I158">
        <f t="shared" si="13"/>
        <v>66.082191780821915</v>
      </c>
      <c r="J158">
        <f t="shared" si="14"/>
        <v>7.3158612470756417</v>
      </c>
      <c r="K158">
        <f t="shared" si="15"/>
        <v>-3.0528557345507803</v>
      </c>
      <c r="L158">
        <f t="shared" si="16"/>
        <v>-1.3711919822780005</v>
      </c>
      <c r="M158">
        <f t="shared" si="17"/>
        <v>2.8918135302468606</v>
      </c>
      <c r="Q158">
        <v>148</v>
      </c>
      <c r="R158">
        <v>2.8918135302468606</v>
      </c>
    </row>
    <row r="159" spans="7:18">
      <c r="G159">
        <v>149</v>
      </c>
      <c r="H159">
        <f t="shared" si="12"/>
        <v>68</v>
      </c>
      <c r="I159">
        <f t="shared" si="13"/>
        <v>67.06849315068493</v>
      </c>
      <c r="J159">
        <f t="shared" si="14"/>
        <v>7.0834711379817445</v>
      </c>
      <c r="K159">
        <f t="shared" si="15"/>
        <v>-2.9339172849668333</v>
      </c>
      <c r="L159">
        <f t="shared" si="16"/>
        <v>-1.3814569315749519</v>
      </c>
      <c r="M159">
        <f t="shared" si="17"/>
        <v>2.7680969214399593</v>
      </c>
      <c r="Q159">
        <v>149</v>
      </c>
      <c r="R159">
        <v>2.7680969214399593</v>
      </c>
    </row>
    <row r="160" spans="7:18">
      <c r="G160">
        <v>150</v>
      </c>
      <c r="H160">
        <f t="shared" si="12"/>
        <v>69</v>
      </c>
      <c r="I160">
        <f t="shared" si="13"/>
        <v>68.054794520547944</v>
      </c>
      <c r="J160">
        <f t="shared" si="14"/>
        <v>6.8426857093744688</v>
      </c>
      <c r="K160">
        <f t="shared" si="15"/>
        <v>-2.8141094523722323</v>
      </c>
      <c r="L160">
        <f t="shared" si="16"/>
        <v>-1.391312525368795</v>
      </c>
      <c r="M160">
        <f t="shared" si="17"/>
        <v>2.6372637316334417</v>
      </c>
      <c r="Q160">
        <v>150</v>
      </c>
      <c r="R160">
        <v>2.6372637316334417</v>
      </c>
    </row>
    <row r="161" spans="7:18">
      <c r="G161">
        <v>151</v>
      </c>
      <c r="H161">
        <f t="shared" si="12"/>
        <v>70</v>
      </c>
      <c r="I161">
        <f t="shared" si="13"/>
        <v>69.041095890410958</v>
      </c>
      <c r="J161">
        <f t="shared" si="14"/>
        <v>6.5937903397875752</v>
      </c>
      <c r="K161">
        <f t="shared" si="15"/>
        <v>-2.6934677384134349</v>
      </c>
      <c r="L161">
        <f t="shared" si="16"/>
        <v>-1.4007558432343878</v>
      </c>
      <c r="M161">
        <f t="shared" si="17"/>
        <v>2.4995667581397525</v>
      </c>
      <c r="Q161">
        <v>151</v>
      </c>
      <c r="R161">
        <v>2.4995667581397525</v>
      </c>
    </row>
    <row r="162" spans="7:18">
      <c r="G162">
        <v>152</v>
      </c>
      <c r="H162">
        <f t="shared" si="12"/>
        <v>71</v>
      </c>
      <c r="I162">
        <f t="shared" si="13"/>
        <v>70.027397260273972</v>
      </c>
      <c r="J162">
        <f t="shared" si="14"/>
        <v>6.3370800196448833</v>
      </c>
      <c r="K162">
        <f t="shared" si="15"/>
        <v>-2.5720278918339528</v>
      </c>
      <c r="L162">
        <f t="shared" si="16"/>
        <v>-1.4097840869128431</v>
      </c>
      <c r="M162">
        <f t="shared" si="17"/>
        <v>2.3552680408980873</v>
      </c>
      <c r="Q162">
        <v>152</v>
      </c>
      <c r="R162">
        <v>2.3552680408980873</v>
      </c>
    </row>
    <row r="163" spans="7:18">
      <c r="G163">
        <v>153</v>
      </c>
      <c r="H163">
        <f t="shared" si="12"/>
        <v>72</v>
      </c>
      <c r="I163">
        <f t="shared" si="13"/>
        <v>71.013698630136986</v>
      </c>
      <c r="J163">
        <f t="shared" si="14"/>
        <v>6.0728590016380428</v>
      </c>
      <c r="K163">
        <f t="shared" si="15"/>
        <v>-2.4498258978812104</v>
      </c>
      <c r="L163">
        <f t="shared" si="16"/>
        <v>-1.4183945811407139</v>
      </c>
      <c r="M163">
        <f t="shared" si="17"/>
        <v>2.2046385226161185</v>
      </c>
      <c r="Q163">
        <v>153</v>
      </c>
      <c r="R163">
        <v>2.2046385226161185</v>
      </c>
    </row>
    <row r="164" spans="7:18">
      <c r="G164">
        <v>154</v>
      </c>
      <c r="H164">
        <f t="shared" si="12"/>
        <v>73</v>
      </c>
      <c r="I164">
        <f t="shared" si="13"/>
        <v>72</v>
      </c>
      <c r="J164">
        <f t="shared" si="14"/>
        <v>5.8014404401267106</v>
      </c>
      <c r="K164">
        <f t="shared" si="15"/>
        <v>-2.3268979676433545</v>
      </c>
      <c r="L164">
        <f t="shared" si="16"/>
        <v>-1.4265847744427302</v>
      </c>
      <c r="M164">
        <f t="shared" si="17"/>
        <v>2.0479576980406256</v>
      </c>
      <c r="Q164">
        <v>154</v>
      </c>
      <c r="R164">
        <v>2.0479576980406256</v>
      </c>
    </row>
    <row r="165" spans="7:18">
      <c r="G165">
        <v>155</v>
      </c>
      <c r="H165">
        <f t="shared" si="12"/>
        <v>74</v>
      </c>
      <c r="I165">
        <f t="shared" si="13"/>
        <v>72.986301369863014</v>
      </c>
      <c r="J165">
        <f t="shared" si="14"/>
        <v>5.5231460199884461</v>
      </c>
      <c r="K165">
        <f t="shared" si="15"/>
        <v>-2.2032805273191149</v>
      </c>
      <c r="L165">
        <f t="shared" si="16"/>
        <v>-1.4343522398878585</v>
      </c>
      <c r="M165">
        <f t="shared" si="17"/>
        <v>1.8855132527814726</v>
      </c>
      <c r="Q165">
        <v>155</v>
      </c>
      <c r="R165">
        <v>1.8855132527814726</v>
      </c>
    </row>
    <row r="166" spans="7:18">
      <c r="G166">
        <v>156</v>
      </c>
      <c r="H166">
        <f t="shared" si="12"/>
        <v>75</v>
      </c>
      <c r="I166">
        <f t="shared" si="13"/>
        <v>73.972602739726028</v>
      </c>
      <c r="J166">
        <f t="shared" si="14"/>
        <v>5.2383055753582823</v>
      </c>
      <c r="K166">
        <f t="shared" si="15"/>
        <v>-2.0790102074239405</v>
      </c>
      <c r="L166">
        <f t="shared" si="16"/>
        <v>-1.441694675808451</v>
      </c>
      <c r="M166">
        <f t="shared" si="17"/>
        <v>1.7176006921258908</v>
      </c>
      <c r="Q166">
        <v>156</v>
      </c>
      <c r="R166">
        <v>1.7176006921258908</v>
      </c>
    </row>
    <row r="167" spans="7:18">
      <c r="G167">
        <v>157</v>
      </c>
      <c r="H167">
        <f t="shared" si="12"/>
        <v>76</v>
      </c>
      <c r="I167">
        <f t="shared" si="13"/>
        <v>74.958904109589042</v>
      </c>
      <c r="J167">
        <f t="shared" si="14"/>
        <v>4.9472566987098068</v>
      </c>
      <c r="K167">
        <f t="shared" si="15"/>
        <v>-1.9541238319355931</v>
      </c>
      <c r="L167">
        <f t="shared" si="16"/>
        <v>-1.4486099064822824</v>
      </c>
      <c r="M167">
        <f t="shared" si="17"/>
        <v>1.544522960291931</v>
      </c>
      <c r="Q167">
        <v>157</v>
      </c>
      <c r="R167">
        <v>1.544522960291931</v>
      </c>
    </row>
    <row r="168" spans="7:18">
      <c r="G168">
        <v>158</v>
      </c>
      <c r="H168">
        <f t="shared" si="12"/>
        <v>77</v>
      </c>
      <c r="I168">
        <f t="shared" si="13"/>
        <v>75.945205479452056</v>
      </c>
      <c r="J168">
        <f t="shared" si="14"/>
        <v>4.650344340741035</v>
      </c>
      <c r="K168">
        <f t="shared" si="15"/>
        <v>-1.8286584073823953</v>
      </c>
      <c r="L168">
        <f t="shared" si="16"/>
        <v>-1.4550958827772607</v>
      </c>
      <c r="M168">
        <f t="shared" si="17"/>
        <v>1.3665900505813791</v>
      </c>
      <c r="Q168">
        <v>158</v>
      </c>
      <c r="R168">
        <v>1.3665900505813791</v>
      </c>
    </row>
    <row r="169" spans="7:18">
      <c r="G169">
        <v>159</v>
      </c>
      <c r="H169">
        <f t="shared" si="12"/>
        <v>78</v>
      </c>
      <c r="I169">
        <f t="shared" si="13"/>
        <v>76.93150684931507</v>
      </c>
      <c r="J169">
        <f t="shared" si="14"/>
        <v>4.3479204015393851</v>
      </c>
      <c r="K169">
        <f t="shared" si="15"/>
        <v>-1.7026511118774108</v>
      </c>
      <c r="L169">
        <f t="shared" si="16"/>
        <v>-1.4611506827586307</v>
      </c>
      <c r="M169">
        <f t="shared" si="17"/>
        <v>1.1841186069033436</v>
      </c>
      <c r="Q169">
        <v>159</v>
      </c>
      <c r="R169">
        <v>1.1841186069033436</v>
      </c>
    </row>
    <row r="170" spans="7:18">
      <c r="G170">
        <v>160</v>
      </c>
      <c r="H170">
        <f t="shared" si="12"/>
        <v>79</v>
      </c>
      <c r="I170">
        <f t="shared" si="13"/>
        <v>77.917808219178085</v>
      </c>
      <c r="J170">
        <f t="shared" si="14"/>
        <v>4.0403433135101823</v>
      </c>
      <c r="K170">
        <f t="shared" si="15"/>
        <v>-1.576139284101755</v>
      </c>
      <c r="L170">
        <f t="shared" si="16"/>
        <v>-1.4667725122584852</v>
      </c>
      <c r="M170">
        <f t="shared" si="17"/>
        <v>0.99743151714994216</v>
      </c>
      <c r="Q170">
        <v>160</v>
      </c>
      <c r="R170">
        <v>0.99743151714994216</v>
      </c>
    </row>
    <row r="171" spans="7:18">
      <c r="G171">
        <v>161</v>
      </c>
      <c r="H171">
        <f t="shared" si="12"/>
        <v>80</v>
      </c>
      <c r="I171">
        <f t="shared" si="13"/>
        <v>78.904109589041099</v>
      </c>
      <c r="J171">
        <f t="shared" si="14"/>
        <v>3.7279776165631331</v>
      </c>
      <c r="K171">
        <f t="shared" si="15"/>
        <v>-1.4491604122403499</v>
      </c>
      <c r="L171">
        <f t="shared" si="16"/>
        <v>-1.4719597054074141</v>
      </c>
      <c r="M171">
        <f t="shared" si="17"/>
        <v>0.80685749891536918</v>
      </c>
      <c r="Q171">
        <v>161</v>
      </c>
      <c r="R171">
        <v>0.80685749891536918</v>
      </c>
    </row>
    <row r="172" spans="7:18">
      <c r="G172">
        <v>162</v>
      </c>
      <c r="H172">
        <f t="shared" si="12"/>
        <v>81</v>
      </c>
      <c r="I172">
        <f t="shared" si="13"/>
        <v>79.890410958904098</v>
      </c>
      <c r="J172">
        <f t="shared" si="14"/>
        <v>3.4111935260601438</v>
      </c>
      <c r="K172">
        <f t="shared" si="15"/>
        <v>-1.3217521228733562</v>
      </c>
      <c r="L172">
        <f t="shared" si="16"/>
        <v>-1.4767107251281384</v>
      </c>
      <c r="M172">
        <f t="shared" si="17"/>
        <v>0.61273067805864945</v>
      </c>
      <c r="Q172">
        <v>162</v>
      </c>
      <c r="R172">
        <v>0.61273067805864945</v>
      </c>
    </row>
    <row r="173" spans="7:18">
      <c r="G173">
        <v>163</v>
      </c>
      <c r="H173">
        <f t="shared" si="12"/>
        <v>82</v>
      </c>
      <c r="I173">
        <f t="shared" si="13"/>
        <v>80.876712328767113</v>
      </c>
      <c r="J173">
        <f t="shared" si="14"/>
        <v>3.0903664940366116</v>
      </c>
      <c r="K173">
        <f t="shared" si="15"/>
        <v>-1.1939521698266049</v>
      </c>
      <c r="L173">
        <f t="shared" si="16"/>
        <v>-1.4810241635909795</v>
      </c>
      <c r="M173">
        <f t="shared" si="17"/>
        <v>0.41539016061902712</v>
      </c>
      <c r="Q173">
        <v>163</v>
      </c>
      <c r="R173">
        <v>0.41539016061902712</v>
      </c>
    </row>
    <row r="174" spans="7:18">
      <c r="G174">
        <v>164</v>
      </c>
      <c r="H174">
        <f t="shared" si="12"/>
        <v>83</v>
      </c>
      <c r="I174">
        <f t="shared" si="13"/>
        <v>81.863013698630127</v>
      </c>
      <c r="J174">
        <f t="shared" si="14"/>
        <v>2.7658767642162689</v>
      </c>
      <c r="K174">
        <f t="shared" si="15"/>
        <v>-1.0657984229843371</v>
      </c>
      <c r="L174">
        <f t="shared" si="16"/>
        <v>-1.4848987426310296</v>
      </c>
      <c r="M174">
        <f t="shared" si="17"/>
        <v>0.21517959860090219</v>
      </c>
      <c r="Q174">
        <v>164</v>
      </c>
      <c r="R174">
        <v>0.21517959860090219</v>
      </c>
    </row>
    <row r="175" spans="7:18">
      <c r="G175">
        <v>165</v>
      </c>
      <c r="H175">
        <f t="shared" si="12"/>
        <v>84</v>
      </c>
      <c r="I175">
        <f t="shared" si="13"/>
        <v>82.849315068493141</v>
      </c>
      <c r="J175">
        <f t="shared" si="14"/>
        <v>2.4381089213468377</v>
      </c>
      <c r="K175">
        <f t="shared" si="15"/>
        <v>-0.937328857067524</v>
      </c>
      <c r="L175">
        <f t="shared" si="16"/>
        <v>-1.4883333141268984</v>
      </c>
      <c r="M175">
        <f t="shared" si="17"/>
        <v>1.2446750152415254E-2</v>
      </c>
      <c r="Q175">
        <v>165</v>
      </c>
      <c r="R175">
        <v>1.2446750152415254E-2</v>
      </c>
    </row>
    <row r="176" spans="7:18">
      <c r="G176">
        <v>166</v>
      </c>
      <c r="H176">
        <f t="shared" si="12"/>
        <v>85</v>
      </c>
      <c r="I176">
        <f t="shared" si="13"/>
        <v>83.835616438356155</v>
      </c>
      <c r="J176">
        <f t="shared" si="14"/>
        <v>2.107451435390792</v>
      </c>
      <c r="K176">
        <f t="shared" si="15"/>
        <v>-0.80858154038114971</v>
      </c>
      <c r="L176">
        <f t="shared" si="16"/>
        <v>-1.4913268603409278</v>
      </c>
      <c r="M176">
        <f t="shared" si="17"/>
        <v>-0.19245696533128553</v>
      </c>
      <c r="Q176">
        <v>166</v>
      </c>
      <c r="R176">
        <v>-0.19245696533128553</v>
      </c>
    </row>
    <row r="177" spans="7:18">
      <c r="G177">
        <v>167</v>
      </c>
      <c r="H177">
        <f t="shared" si="12"/>
        <v>86</v>
      </c>
      <c r="I177">
        <f t="shared" si="13"/>
        <v>84.821917808219169</v>
      </c>
      <c r="J177">
        <f t="shared" si="14"/>
        <v>1.7742962011113006</v>
      </c>
      <c r="K177">
        <f t="shared" si="15"/>
        <v>-0.67959462353374001</v>
      </c>
      <c r="L177">
        <f t="shared" si="16"/>
        <v>-1.4938784942207686</v>
      </c>
      <c r="M177">
        <f t="shared" si="17"/>
        <v>-0.39917691664320798</v>
      </c>
      <c r="Q177">
        <v>167</v>
      </c>
      <c r="R177">
        <v>-0.39917691664320798</v>
      </c>
    </row>
    <row r="178" spans="7:18">
      <c r="G178">
        <v>168</v>
      </c>
      <c r="H178">
        <f t="shared" si="12"/>
        <v>87</v>
      </c>
      <c r="I178">
        <f t="shared" si="13"/>
        <v>85.808219178082183</v>
      </c>
      <c r="J178">
        <f t="shared" si="14"/>
        <v>1.4390380735991672</v>
      </c>
      <c r="K178">
        <f t="shared" si="15"/>
        <v>-0.55040632813252566</v>
      </c>
      <c r="L178">
        <f t="shared" si="16"/>
        <v>-1.4959874596622331</v>
      </c>
      <c r="M178">
        <f t="shared" si="17"/>
        <v>-0.60735571419559153</v>
      </c>
      <c r="Q178">
        <v>168</v>
      </c>
      <c r="R178">
        <v>-0.60735571419559153</v>
      </c>
    </row>
    <row r="179" spans="7:18">
      <c r="G179">
        <v>169</v>
      </c>
      <c r="H179">
        <f t="shared" si="12"/>
        <v>88</v>
      </c>
      <c r="I179">
        <f t="shared" si="13"/>
        <v>86.794520547945197</v>
      </c>
      <c r="J179">
        <f t="shared" si="14"/>
        <v>1.1020744002911262</v>
      </c>
      <c r="K179">
        <f t="shared" si="15"/>
        <v>-0.42105493545754258</v>
      </c>
      <c r="L179">
        <f t="shared" si="16"/>
        <v>-1.4976531317333464</v>
      </c>
      <c r="M179">
        <f t="shared" si="17"/>
        <v>-0.81663366689976269</v>
      </c>
      <c r="Q179">
        <v>169</v>
      </c>
      <c r="R179">
        <v>-0.81663366689976269</v>
      </c>
    </row>
    <row r="180" spans="7:18">
      <c r="G180">
        <v>170</v>
      </c>
      <c r="H180">
        <f t="shared" si="12"/>
        <v>89</v>
      </c>
      <c r="I180">
        <f t="shared" si="13"/>
        <v>87.780821917808211</v>
      </c>
      <c r="J180">
        <f t="shared" si="14"/>
        <v>0.76380455003428416</v>
      </c>
      <c r="K180">
        <f t="shared" si="15"/>
        <v>-0.29157877511807534</v>
      </c>
      <c r="L180">
        <f t="shared" si="16"/>
        <v>-1.4988750168595253</v>
      </c>
      <c r="M180">
        <f t="shared" si="17"/>
        <v>-1.0266492419433164</v>
      </c>
      <c r="Q180">
        <v>170</v>
      </c>
      <c r="R180">
        <v>-1.0266492419433164</v>
      </c>
    </row>
    <row r="181" spans="7:18">
      <c r="G181">
        <v>171</v>
      </c>
      <c r="H181">
        <f t="shared" si="12"/>
        <v>90</v>
      </c>
      <c r="I181">
        <f t="shared" si="13"/>
        <v>88.767123287671225</v>
      </c>
      <c r="J181">
        <f t="shared" si="14"/>
        <v>0.4246294397547169</v>
      </c>
      <c r="K181">
        <f t="shared" si="15"/>
        <v>-0.16201621369475358</v>
      </c>
      <c r="L181">
        <f t="shared" si="16"/>
        <v>-1.4996527529698362</v>
      </c>
      <c r="M181">
        <f t="shared" si="17"/>
        <v>-1.2370395269098728</v>
      </c>
      <c r="Q181">
        <v>171</v>
      </c>
      <c r="R181">
        <v>-1.2370395269098728</v>
      </c>
    </row>
    <row r="182" spans="7:18">
      <c r="G182">
        <v>172</v>
      </c>
      <c r="H182">
        <f t="shared" si="12"/>
        <v>91</v>
      </c>
      <c r="I182">
        <f t="shared" si="13"/>
        <v>89.753424657534239</v>
      </c>
      <c r="J182">
        <f t="shared" si="14"/>
        <v>8.4951059291357434E-2</v>
      </c>
      <c r="K182">
        <f t="shared" si="15"/>
        <v>-3.2405643370719495E-2</v>
      </c>
      <c r="L182">
        <f t="shared" si="16"/>
        <v>-1.4999861096042852</v>
      </c>
      <c r="M182">
        <f t="shared" si="17"/>
        <v>-1.4474406936836473</v>
      </c>
      <c r="Q182">
        <v>172</v>
      </c>
      <c r="R182">
        <v>-1.4474406936836473</v>
      </c>
    </row>
    <row r="183" spans="7:18">
      <c r="G183">
        <v>173</v>
      </c>
      <c r="H183">
        <f t="shared" si="12"/>
        <v>92</v>
      </c>
      <c r="I183">
        <f t="shared" si="13"/>
        <v>90.739726027397253</v>
      </c>
      <c r="J183">
        <f t="shared" si="14"/>
        <v>-0.25482800504180109</v>
      </c>
      <c r="K183">
        <f t="shared" si="15"/>
        <v>9.7214529444818093E-2</v>
      </c>
      <c r="L183">
        <f t="shared" si="16"/>
        <v>-1.4998749879821069</v>
      </c>
      <c r="M183">
        <f t="shared" si="17"/>
        <v>-1.6574884635790899</v>
      </c>
      <c r="Q183">
        <v>173</v>
      </c>
      <c r="R183">
        <v>-1.6574884635790899</v>
      </c>
    </row>
    <row r="184" spans="7:18">
      <c r="G184">
        <v>174</v>
      </c>
      <c r="H184">
        <f t="shared" si="12"/>
        <v>93</v>
      </c>
      <c r="I184">
        <f t="shared" si="13"/>
        <v>91.726027397260268</v>
      </c>
      <c r="J184">
        <f t="shared" si="14"/>
        <v>-0.59430504760037461</v>
      </c>
      <c r="K184">
        <f t="shared" si="15"/>
        <v>0.22680589549721811</v>
      </c>
      <c r="L184">
        <f t="shared" si="16"/>
        <v>-1.4993194210310359</v>
      </c>
      <c r="M184">
        <f t="shared" si="17"/>
        <v>-1.8668185731341924</v>
      </c>
      <c r="Q184">
        <v>174</v>
      </c>
      <c r="R184">
        <v>-1.8668185731341924</v>
      </c>
    </row>
    <row r="185" spans="7:18">
      <c r="G185">
        <v>175</v>
      </c>
      <c r="H185">
        <f t="shared" si="12"/>
        <v>94</v>
      </c>
      <c r="I185">
        <f t="shared" si="13"/>
        <v>92.712328767123282</v>
      </c>
      <c r="J185">
        <f t="shared" si="14"/>
        <v>-0.93307772069575723</v>
      </c>
      <c r="K185">
        <f t="shared" si="15"/>
        <v>0.35633005406791185</v>
      </c>
      <c r="L185">
        <f t="shared" si="16"/>
        <v>-1.4983195733775505</v>
      </c>
      <c r="M185">
        <f t="shared" si="17"/>
        <v>-2.0750672400053958</v>
      </c>
      <c r="Q185">
        <v>175</v>
      </c>
      <c r="R185">
        <v>-2.0750672400053958</v>
      </c>
    </row>
    <row r="186" spans="7:18">
      <c r="G186">
        <v>176</v>
      </c>
      <c r="H186">
        <f t="shared" si="12"/>
        <v>95</v>
      </c>
      <c r="I186">
        <f t="shared" si="13"/>
        <v>93.698630136986296</v>
      </c>
      <c r="J186">
        <f t="shared" si="14"/>
        <v>-1.2707445114569711</v>
      </c>
      <c r="K186">
        <f t="shared" si="15"/>
        <v>0.48574862435335125</v>
      </c>
      <c r="L186">
        <f t="shared" si="16"/>
        <v>-1.4968757412980882</v>
      </c>
      <c r="M186">
        <f t="shared" si="17"/>
        <v>-2.2818716284017082</v>
      </c>
      <c r="Q186">
        <v>176</v>
      </c>
      <c r="R186">
        <v>-2.2818716284017082</v>
      </c>
    </row>
    <row r="187" spans="7:18">
      <c r="G187">
        <v>177</v>
      </c>
      <c r="H187">
        <f t="shared" si="12"/>
        <v>96</v>
      </c>
      <c r="I187">
        <f t="shared" si="13"/>
        <v>94.68493150684931</v>
      </c>
      <c r="J187">
        <f t="shared" si="14"/>
        <v>-1.6069052177031529</v>
      </c>
      <c r="K187">
        <f t="shared" si="15"/>
        <v>0.61502325683807912</v>
      </c>
      <c r="L187">
        <f t="shared" si="16"/>
        <v>-1.4949883526312553</v>
      </c>
      <c r="M187">
        <f t="shared" si="17"/>
        <v>-2.486870313496329</v>
      </c>
      <c r="Q187">
        <v>177</v>
      </c>
      <c r="R187">
        <v>-2.486870313496329</v>
      </c>
    </row>
    <row r="188" spans="7:18">
      <c r="G188">
        <v>178</v>
      </c>
      <c r="H188">
        <f t="shared" si="12"/>
        <v>97</v>
      </c>
      <c r="I188">
        <f t="shared" si="13"/>
        <v>95.671232876712324</v>
      </c>
      <c r="J188">
        <f t="shared" si="14"/>
        <v>-1.9411614222625972</v>
      </c>
      <c r="K188">
        <f t="shared" si="15"/>
        <v>0.74411564465852187</v>
      </c>
      <c r="L188">
        <f t="shared" si="16"/>
        <v>-1.4926579666510462</v>
      </c>
      <c r="M188">
        <f t="shared" si="17"/>
        <v>-2.6897037442551217</v>
      </c>
      <c r="Q188">
        <v>178</v>
      </c>
      <c r="R188">
        <v>-2.6897037442551217</v>
      </c>
    </row>
    <row r="189" spans="7:18">
      <c r="G189">
        <v>179</v>
      </c>
      <c r="H189">
        <f t="shared" si="12"/>
        <v>98</v>
      </c>
      <c r="I189">
        <f t="shared" si="13"/>
        <v>96.657534246575338</v>
      </c>
      <c r="J189">
        <f t="shared" si="14"/>
        <v>-2.2731169651761358</v>
      </c>
      <c r="K189">
        <f t="shared" si="15"/>
        <v>0.87298753495411641</v>
      </c>
      <c r="L189">
        <f t="shared" si="16"/>
        <v>-1.4898852739011215</v>
      </c>
      <c r="M189">
        <f t="shared" si="17"/>
        <v>-2.890014704123141</v>
      </c>
      <c r="Q189">
        <v>179</v>
      </c>
      <c r="R189">
        <v>-2.890014704123141</v>
      </c>
    </row>
    <row r="190" spans="7:18">
      <c r="G190">
        <v>180</v>
      </c>
      <c r="H190">
        <f t="shared" si="12"/>
        <v>99</v>
      </c>
      <c r="I190">
        <f t="shared" si="13"/>
        <v>97.643835616438352</v>
      </c>
      <c r="J190">
        <f t="shared" si="14"/>
        <v>-2.6023784132254311</v>
      </c>
      <c r="K190">
        <f t="shared" si="15"/>
        <v>1.0016007402024951</v>
      </c>
      <c r="L190">
        <f t="shared" si="16"/>
        <v>-1.4866710959901821</v>
      </c>
      <c r="M190">
        <f t="shared" si="17"/>
        <v>-3.0874487690131183</v>
      </c>
      <c r="Q190">
        <v>180</v>
      </c>
      <c r="R190">
        <v>-3.0874487690131183</v>
      </c>
    </row>
    <row r="191" spans="7:18">
      <c r="G191">
        <v>181</v>
      </c>
      <c r="H191">
        <f t="shared" si="12"/>
        <v>100</v>
      </c>
      <c r="I191">
        <f t="shared" si="13"/>
        <v>98.630136986301366</v>
      </c>
      <c r="J191">
        <f t="shared" si="14"/>
        <v>-2.9285555262293426</v>
      </c>
      <c r="K191">
        <f t="shared" si="15"/>
        <v>1.1299171495352325</v>
      </c>
      <c r="L191">
        <f t="shared" si="16"/>
        <v>-1.4830163853485108</v>
      </c>
      <c r="M191">
        <f t="shared" si="17"/>
        <v>-3.2816547620426206</v>
      </c>
      <c r="Q191">
        <v>181</v>
      </c>
      <c r="R191">
        <v>-3.2816547620426206</v>
      </c>
    </row>
    <row r="192" spans="7:18">
      <c r="G192">
        <v>182</v>
      </c>
      <c r="H192">
        <f t="shared" si="12"/>
        <v>101</v>
      </c>
      <c r="I192">
        <f t="shared" si="13"/>
        <v>99.61643835616438</v>
      </c>
      <c r="J192">
        <f t="shared" si="14"/>
        <v>-3.2512617195561124</v>
      </c>
      <c r="K192">
        <f t="shared" si="15"/>
        <v>1.257898740030958</v>
      </c>
      <c r="L192">
        <f t="shared" si="16"/>
        <v>-1.4789222249457457</v>
      </c>
      <c r="M192">
        <f t="shared" si="17"/>
        <v>-3.4722852044709001</v>
      </c>
      <c r="Q192">
        <v>182</v>
      </c>
      <c r="R192">
        <v>-3.4722852044709001</v>
      </c>
    </row>
    <row r="193" spans="7:18">
      <c r="G193">
        <v>183</v>
      </c>
      <c r="H193">
        <f t="shared" si="12"/>
        <v>102</v>
      </c>
      <c r="I193">
        <f t="shared" si="13"/>
        <v>100.60273972602739</v>
      </c>
      <c r="J193">
        <f t="shared" si="14"/>
        <v>-3.5701145223027999</v>
      </c>
      <c r="K193">
        <f t="shared" si="15"/>
        <v>1.3855075879823291</v>
      </c>
      <c r="L193">
        <f t="shared" si="16"/>
        <v>-1.4743898279699734</v>
      </c>
      <c r="M193">
        <f t="shared" si="17"/>
        <v>-3.6589967622904442</v>
      </c>
      <c r="Q193">
        <v>183</v>
      </c>
      <c r="R193">
        <v>-3.6589967622904442</v>
      </c>
    </row>
    <row r="194" spans="7:18">
      <c r="G194">
        <v>184</v>
      </c>
      <c r="H194">
        <f t="shared" si="12"/>
        <v>103</v>
      </c>
      <c r="I194">
        <f t="shared" si="13"/>
        <v>101.58904109589041</v>
      </c>
      <c r="J194">
        <f t="shared" si="14"/>
        <v>-3.8847360305993281</v>
      </c>
      <c r="K194">
        <f t="shared" si="15"/>
        <v>1.5127058801336835</v>
      </c>
      <c r="L194">
        <f t="shared" si="16"/>
        <v>-1.4694205374682352</v>
      </c>
      <c r="M194">
        <f t="shared" si="17"/>
        <v>-3.8414506879338801</v>
      </c>
      <c r="Q194">
        <v>184</v>
      </c>
      <c r="R194">
        <v>-3.8414506879338801</v>
      </c>
    </row>
    <row r="195" spans="7:18">
      <c r="G195">
        <v>185</v>
      </c>
      <c r="H195">
        <f t="shared" si="12"/>
        <v>104</v>
      </c>
      <c r="I195">
        <f t="shared" si="13"/>
        <v>102.57534246575342</v>
      </c>
      <c r="J195">
        <f t="shared" si="14"/>
        <v>-4.1947533554994925</v>
      </c>
      <c r="K195">
        <f t="shared" si="15"/>
        <v>1.6394559248858827</v>
      </c>
      <c r="L195">
        <f t="shared" si="16"/>
        <v>-1.4640158259485525</v>
      </c>
      <c r="M195">
        <f t="shared" si="17"/>
        <v>-4.0193132565621621</v>
      </c>
      <c r="Q195">
        <v>185</v>
      </c>
      <c r="R195">
        <v>-4.0193132565621621</v>
      </c>
    </row>
    <row r="196" spans="7:18">
      <c r="G196">
        <v>186</v>
      </c>
      <c r="H196">
        <f t="shared" si="12"/>
        <v>105</v>
      </c>
      <c r="I196">
        <f t="shared" si="13"/>
        <v>103.56164383561644</v>
      </c>
      <c r="J196">
        <f t="shared" si="14"/>
        <v>-4.4997990649284905</v>
      </c>
      <c r="K196">
        <f t="shared" si="15"/>
        <v>1.7657201634651862</v>
      </c>
      <c r="L196">
        <f t="shared" si="16"/>
        <v>-1.4581772949435918</v>
      </c>
      <c r="M196">
        <f t="shared" si="17"/>
        <v>-4.1922561964068965</v>
      </c>
      <c r="Q196">
        <v>186</v>
      </c>
      <c r="R196">
        <v>-4.1922561964068965</v>
      </c>
    </row>
    <row r="197" spans="7:18">
      <c r="G197">
        <v>187</v>
      </c>
      <c r="H197">
        <f t="shared" si="12"/>
        <v>106</v>
      </c>
      <c r="I197">
        <f t="shared" si="13"/>
        <v>104.54794520547945</v>
      </c>
      <c r="J197">
        <f t="shared" si="14"/>
        <v>-4.799511619162768</v>
      </c>
      <c r="K197">
        <f t="shared" si="15"/>
        <v>1.891461181052688</v>
      </c>
      <c r="L197">
        <f t="shared" si="16"/>
        <v>-1.4519066745360965</v>
      </c>
      <c r="M197">
        <f t="shared" si="17"/>
        <v>-4.3599571126461765</v>
      </c>
      <c r="Q197">
        <v>187</v>
      </c>
      <c r="R197">
        <v>-4.3599571126461765</v>
      </c>
    </row>
    <row r="198" spans="7:18">
      <c r="G198">
        <v>188</v>
      </c>
      <c r="H198">
        <f t="shared" si="12"/>
        <v>107</v>
      </c>
      <c r="I198">
        <f t="shared" si="13"/>
        <v>105.53424657534246</v>
      </c>
      <c r="J198">
        <f t="shared" si="14"/>
        <v>-5.0935357993264647</v>
      </c>
      <c r="K198">
        <f t="shared" si="15"/>
        <v>2.0166417178711717</v>
      </c>
      <c r="L198">
        <f t="shared" si="16"/>
        <v>-1.4452058228462232</v>
      </c>
      <c r="M198">
        <f t="shared" si="17"/>
        <v>-4.5220999043015162</v>
      </c>
      <c r="Q198">
        <v>188</v>
      </c>
      <c r="R198">
        <v>-4.5220999043015162</v>
      </c>
    </row>
    <row r="199" spans="7:18">
      <c r="G199">
        <v>189</v>
      </c>
      <c r="H199">
        <f t="shared" si="12"/>
        <v>108</v>
      </c>
      <c r="I199">
        <f t="shared" si="13"/>
        <v>106.52054794520548</v>
      </c>
      <c r="J199">
        <f t="shared" si="14"/>
        <v>-5.3815231283962222</v>
      </c>
      <c r="K199">
        <f t="shared" si="15"/>
        <v>2.1412246802259558</v>
      </c>
      <c r="L199">
        <f t="shared" si="16"/>
        <v>-1.4380767254809446</v>
      </c>
      <c r="M199">
        <f t="shared" si="17"/>
        <v>-4.6783751736512107</v>
      </c>
      <c r="Q199">
        <v>189</v>
      </c>
      <c r="R199">
        <v>-4.6783751736512107</v>
      </c>
    </row>
    <row r="200" spans="7:18">
      <c r="G200">
        <v>190</v>
      </c>
      <c r="H200">
        <f t="shared" si="12"/>
        <v>109</v>
      </c>
      <c r="I200">
        <f t="shared" si="13"/>
        <v>107.50684931506849</v>
      </c>
      <c r="J200">
        <f t="shared" si="14"/>
        <v>-5.6631322842156848</v>
      </c>
      <c r="K200">
        <f t="shared" si="15"/>
        <v>2.2651731514965769</v>
      </c>
      <c r="L200">
        <f t="shared" si="16"/>
        <v>-1.4305214949456684</v>
      </c>
      <c r="M200">
        <f t="shared" si="17"/>
        <v>-4.828480627664776</v>
      </c>
      <c r="Q200">
        <v>190</v>
      </c>
      <c r="R200">
        <v>-4.828480627664776</v>
      </c>
    </row>
    <row r="201" spans="7:18">
      <c r="G201">
        <v>191</v>
      </c>
      <c r="H201">
        <f t="shared" si="12"/>
        <v>110</v>
      </c>
      <c r="I201">
        <f t="shared" si="13"/>
        <v>108.49315068493151</v>
      </c>
      <c r="J201">
        <f t="shared" si="14"/>
        <v>-5.9380295040299833</v>
      </c>
      <c r="K201">
        <f t="shared" si="15"/>
        <v>2.3884504030759675</v>
      </c>
      <c r="L201">
        <f t="shared" si="16"/>
        <v>-1.4225423700182573</v>
      </c>
      <c r="M201">
        <f t="shared" si="17"/>
        <v>-4.9721214709722732</v>
      </c>
      <c r="Q201">
        <v>191</v>
      </c>
      <c r="R201">
        <v>-4.9721214709722732</v>
      </c>
    </row>
    <row r="202" spans="7:18">
      <c r="G202">
        <v>192</v>
      </c>
      <c r="H202">
        <f t="shared" si="12"/>
        <v>111</v>
      </c>
      <c r="I202">
        <f t="shared" si="13"/>
        <v>109.47945205479452</v>
      </c>
      <c r="J202">
        <f t="shared" si="14"/>
        <v>-6.205888980060883</v>
      </c>
      <c r="K202">
        <f t="shared" si="15"/>
        <v>2.5110199052539457</v>
      </c>
      <c r="L202">
        <f t="shared" si="16"/>
        <v>-1.4141417150856312</v>
      </c>
      <c r="M202">
        <f t="shared" si="17"/>
        <v>-5.1090107898925687</v>
      </c>
      <c r="Q202">
        <v>192</v>
      </c>
      <c r="R202">
        <v>-5.1090107898925687</v>
      </c>
    </row>
    <row r="203" spans="7:18">
      <c r="G203">
        <v>193</v>
      </c>
      <c r="H203">
        <f t="shared" si="12"/>
        <v>112</v>
      </c>
      <c r="I203">
        <f t="shared" si="13"/>
        <v>110.46575342465752</v>
      </c>
      <c r="J203">
        <f t="shared" si="14"/>
        <v>-6.4663932456536655</v>
      </c>
      <c r="K203">
        <f t="shared" si="15"/>
        <v>2.6328453380417485</v>
      </c>
      <c r="L203">
        <f t="shared" si="16"/>
        <v>-1.4053220194431473</v>
      </c>
      <c r="M203">
        <f t="shared" si="17"/>
        <v>-5.238869927055064</v>
      </c>
      <c r="Q203">
        <v>193</v>
      </c>
      <c r="R203">
        <v>-5.238869927055064</v>
      </c>
    </row>
    <row r="204" spans="7:18">
      <c r="G204">
        <v>194</v>
      </c>
      <c r="H204">
        <f t="shared" ref="H204:H267" si="18">G204-81</f>
        <v>113</v>
      </c>
      <c r="I204">
        <f t="shared" ref="I204:I267" si="19">(360/365)*H204</f>
        <v>111.45205479452054</v>
      </c>
      <c r="J204">
        <f t="shared" ref="J204:J267" si="20">9.87*SIN(2*PI()*I204/180)</f>
        <v>-6.7192335515381476</v>
      </c>
      <c r="K204">
        <f t="shared" ref="K204:K267" si="21">-7.53*COS(I204*PI()/180)</f>
        <v>2.7538906019344354</v>
      </c>
      <c r="L204">
        <f t="shared" ref="L204:L267" si="22">-1.5*SIN(I204*PI()/180)</f>
        <v>-1.3960858965569691</v>
      </c>
      <c r="M204">
        <f t="shared" ref="M204:M267" si="23">J204+K204+L204</f>
        <v>-5.3614288461606812</v>
      </c>
      <c r="Q204">
        <v>194</v>
      </c>
      <c r="R204">
        <v>-5.3614288461606812</v>
      </c>
    </row>
    <row r="205" spans="7:18">
      <c r="G205">
        <v>195</v>
      </c>
      <c r="H205">
        <f t="shared" si="18"/>
        <v>114</v>
      </c>
      <c r="I205">
        <f t="shared" si="19"/>
        <v>112.43835616438355</v>
      </c>
      <c r="J205">
        <f t="shared" si="20"/>
        <v>-6.9641102317578403</v>
      </c>
      <c r="K205">
        <f t="shared" si="21"/>
        <v>2.8741198286079408</v>
      </c>
      <c r="L205">
        <f t="shared" si="22"/>
        <v>-1.3864360832896401</v>
      </c>
      <c r="M205">
        <f t="shared" si="23"/>
        <v>-5.4764264864395393</v>
      </c>
      <c r="Q205">
        <v>195</v>
      </c>
      <c r="R205">
        <v>-5.4764264864395393</v>
      </c>
    </row>
    <row r="206" spans="7:18">
      <c r="G206">
        <v>196</v>
      </c>
      <c r="H206">
        <f t="shared" si="18"/>
        <v>115</v>
      </c>
      <c r="I206">
        <f t="shared" si="19"/>
        <v>113.42465753424656</v>
      </c>
      <c r="J206">
        <f t="shared" si="20"/>
        <v>-7.20073305883363</v>
      </c>
      <c r="K206">
        <f t="shared" si="21"/>
        <v>2.993497391547645</v>
      </c>
      <c r="L206">
        <f t="shared" si="22"/>
        <v>-1.3763754390890908</v>
      </c>
      <c r="M206">
        <f t="shared" si="23"/>
        <v>-5.5836111063750762</v>
      </c>
      <c r="Q206">
        <v>196</v>
      </c>
      <c r="R206">
        <v>-5.5836111063750762</v>
      </c>
    </row>
    <row r="207" spans="7:18">
      <c r="G207">
        <v>197</v>
      </c>
      <c r="H207">
        <f t="shared" si="18"/>
        <v>116</v>
      </c>
      <c r="I207">
        <f t="shared" si="19"/>
        <v>114.41095890410958</v>
      </c>
      <c r="J207">
        <f t="shared" si="20"/>
        <v>-7.4288215877409183</v>
      </c>
      <c r="K207">
        <f t="shared" si="21"/>
        <v>3.1119879166052673</v>
      </c>
      <c r="L207">
        <f t="shared" si="22"/>
        <v>-1.3659069451413246</v>
      </c>
      <c r="M207">
        <f t="shared" si="23"/>
        <v>-5.6827406162769751</v>
      </c>
      <c r="Q207">
        <v>197</v>
      </c>
      <c r="R207">
        <v>-5.6827406162769751</v>
      </c>
    </row>
    <row r="208" spans="7:18">
      <c r="G208">
        <v>198</v>
      </c>
      <c r="H208">
        <f t="shared" si="18"/>
        <v>117</v>
      </c>
      <c r="I208">
        <f t="shared" si="19"/>
        <v>115.39726027397259</v>
      </c>
      <c r="J208">
        <f t="shared" si="20"/>
        <v>-7.6481054882926847</v>
      </c>
      <c r="K208">
        <f t="shared" si="21"/>
        <v>3.2295562924809977</v>
      </c>
      <c r="L208">
        <f t="shared" si="22"/>
        <v>-1.355033703487027</v>
      </c>
      <c r="M208">
        <f t="shared" si="23"/>
        <v>-5.7735828992987148</v>
      </c>
      <c r="Q208">
        <v>198</v>
      </c>
      <c r="R208">
        <v>-5.7735828992987148</v>
      </c>
    </row>
    <row r="209" spans="7:18">
      <c r="G209">
        <v>199</v>
      </c>
      <c r="H209">
        <f t="shared" si="18"/>
        <v>118</v>
      </c>
      <c r="I209">
        <f t="shared" si="19"/>
        <v>116.38356164383561</v>
      </c>
      <c r="J209">
        <f t="shared" si="20"/>
        <v>-7.8583248655344136</v>
      </c>
      <c r="K209">
        <f t="shared" si="21"/>
        <v>3.3461676811277377</v>
      </c>
      <c r="L209">
        <f t="shared" si="22"/>
        <v>-1.3437589361023634</v>
      </c>
      <c r="M209">
        <f t="shared" si="23"/>
        <v>-5.8559161205090398</v>
      </c>
      <c r="Q209">
        <v>199</v>
      </c>
      <c r="R209">
        <v>-5.8559161205090398</v>
      </c>
    </row>
    <row r="210" spans="7:18">
      <c r="G210">
        <v>200</v>
      </c>
      <c r="H210">
        <f t="shared" si="18"/>
        <v>119</v>
      </c>
      <c r="I210">
        <f t="shared" si="19"/>
        <v>117.36986301369862</v>
      </c>
      <c r="J210">
        <f t="shared" si="20"/>
        <v>-8.0592305677711877</v>
      </c>
      <c r="K210">
        <f t="shared" si="21"/>
        <v>3.4617875280743431</v>
      </c>
      <c r="L210">
        <f t="shared" si="22"/>
        <v>-1.3320859839442398</v>
      </c>
      <c r="M210">
        <f t="shared" si="23"/>
        <v>-5.9295290236410851</v>
      </c>
      <c r="Q210">
        <v>200</v>
      </c>
      <c r="R210">
        <v>-5.9295290236410851</v>
      </c>
    </row>
    <row r="211" spans="7:18">
      <c r="G211">
        <v>201</v>
      </c>
      <c r="H211">
        <f t="shared" si="18"/>
        <v>120</v>
      </c>
      <c r="I211">
        <f t="shared" si="19"/>
        <v>118.35616438356163</v>
      </c>
      <c r="J211">
        <f t="shared" si="20"/>
        <v>-8.2505844818619423</v>
      </c>
      <c r="K211">
        <f t="shared" si="21"/>
        <v>3.5763815726648862</v>
      </c>
      <c r="L211">
        <f t="shared" si="22"/>
        <v>-1.3200183059603037</v>
      </c>
      <c r="M211">
        <f t="shared" si="23"/>
        <v>-5.9942212151573599</v>
      </c>
      <c r="Q211">
        <v>201</v>
      </c>
      <c r="R211">
        <v>-5.9942212151573599</v>
      </c>
    </row>
    <row r="212" spans="7:18">
      <c r="G212">
        <v>202</v>
      </c>
      <c r="H212">
        <f t="shared" si="18"/>
        <v>121</v>
      </c>
      <c r="I212">
        <f t="shared" si="19"/>
        <v>119.34246575342465</v>
      </c>
      <c r="J212">
        <f t="shared" si="20"/>
        <v>-8.4321598154307864</v>
      </c>
      <c r="K212">
        <f t="shared" si="21"/>
        <v>3.6899158582108131</v>
      </c>
      <c r="L212">
        <f t="shared" si="22"/>
        <v>-1.307559478063983</v>
      </c>
      <c r="M212">
        <f t="shared" si="23"/>
        <v>-6.0498034352839554</v>
      </c>
      <c r="Q212">
        <v>202</v>
      </c>
      <c r="R212">
        <v>-6.0498034352839554</v>
      </c>
    </row>
    <row r="213" spans="7:18">
      <c r="G213">
        <v>203</v>
      </c>
      <c r="H213">
        <f t="shared" si="18"/>
        <v>122</v>
      </c>
      <c r="I213">
        <f t="shared" si="19"/>
        <v>120.32876712328766</v>
      </c>
      <c r="J213">
        <f t="shared" si="20"/>
        <v>-8.6037413656610049</v>
      </c>
      <c r="K213">
        <f t="shared" si="21"/>
        <v>3.8023567420530489</v>
      </c>
      <c r="L213">
        <f t="shared" si="22"/>
        <v>-1.2947131920748671</v>
      </c>
      <c r="M213">
        <f t="shared" si="23"/>
        <v>-6.0960978156828229</v>
      </c>
      <c r="Q213">
        <v>203</v>
      </c>
      <c r="R213">
        <v>-6.0960978156828229</v>
      </c>
    </row>
    <row r="214" spans="7:18">
      <c r="G214">
        <v>204</v>
      </c>
      <c r="H214">
        <f t="shared" si="18"/>
        <v>123</v>
      </c>
      <c r="I214">
        <f t="shared" si="19"/>
        <v>121.31506849315068</v>
      </c>
      <c r="J214">
        <f t="shared" si="20"/>
        <v>-8.7651257743530948</v>
      </c>
      <c r="K214">
        <f t="shared" si="21"/>
        <v>3.9136709055310317</v>
      </c>
      <c r="L214">
        <f t="shared" si="22"/>
        <v>-1.2814832546247406</v>
      </c>
      <c r="M214">
        <f t="shared" si="23"/>
        <v>-6.1329381234468041</v>
      </c>
      <c r="Q214">
        <v>204</v>
      </c>
      <c r="R214">
        <v>-6.1329381234468041</v>
      </c>
    </row>
    <row r="215" spans="7:18">
      <c r="G215">
        <v>205</v>
      </c>
      <c r="H215">
        <f t="shared" si="18"/>
        <v>124</v>
      </c>
      <c r="I215">
        <f t="shared" si="19"/>
        <v>122.30136986301369</v>
      </c>
      <c r="J215">
        <f t="shared" si="20"/>
        <v>-8.916121768944631</v>
      </c>
      <c r="K215">
        <f t="shared" si="21"/>
        <v>4.0238253638557691</v>
      </c>
      <c r="L215">
        <f t="shared" si="22"/>
        <v>-1.2678735860295949</v>
      </c>
      <c r="M215">
        <f t="shared" si="23"/>
        <v>-6.1601699911184564</v>
      </c>
      <c r="Q215">
        <v>205</v>
      </c>
      <c r="R215">
        <v>-6.1601699911184564</v>
      </c>
    </row>
    <row r="216" spans="7:18">
      <c r="G216">
        <v>206</v>
      </c>
      <c r="H216">
        <f t="shared" si="18"/>
        <v>125</v>
      </c>
      <c r="I216">
        <f t="shared" si="19"/>
        <v>123.2876712328767</v>
      </c>
      <c r="J216">
        <f t="shared" si="20"/>
        <v>-9.0565503892062118</v>
      </c>
      <c r="K216">
        <f t="shared" si="21"/>
        <v>4.1327874758839336</v>
      </c>
      <c r="L216">
        <f t="shared" si="22"/>
        <v>-1.2538882191279557</v>
      </c>
      <c r="M216">
        <f t="shared" si="23"/>
        <v>-6.1776511324502339</v>
      </c>
      <c r="Q216">
        <v>206</v>
      </c>
      <c r="R216">
        <v>-6.1776511324502339</v>
      </c>
    </row>
    <row r="217" spans="7:18">
      <c r="G217">
        <v>207</v>
      </c>
      <c r="H217">
        <f t="shared" si="18"/>
        <v>126</v>
      </c>
      <c r="I217">
        <f t="shared" si="19"/>
        <v>124.27397260273972</v>
      </c>
      <c r="J217">
        <f t="shared" si="20"/>
        <v>-9.1862451993448548</v>
      </c>
      <c r="K217">
        <f t="shared" si="21"/>
        <v>4.2405249537901373</v>
      </c>
      <c r="L217">
        <f t="shared" si="22"/>
        <v>-1.2395312980858644</v>
      </c>
      <c r="M217">
        <f t="shared" si="23"/>
        <v>-6.1852515436405824</v>
      </c>
      <c r="Q217">
        <v>207</v>
      </c>
      <c r="R217">
        <v>-6.1852515436405824</v>
      </c>
    </row>
    <row r="218" spans="7:18">
      <c r="G218">
        <v>208</v>
      </c>
      <c r="H218">
        <f t="shared" si="18"/>
        <v>127</v>
      </c>
      <c r="I218">
        <f t="shared" si="19"/>
        <v>125.26027397260273</v>
      </c>
      <c r="J218">
        <f t="shared" si="20"/>
        <v>-9.3050524852634506</v>
      </c>
      <c r="K218">
        <f t="shared" si="21"/>
        <v>4.3470058726345062</v>
      </c>
      <c r="L218">
        <f t="shared" si="22"/>
        <v>-1.2248070771688742</v>
      </c>
      <c r="M218">
        <f t="shared" si="23"/>
        <v>-6.1828536897978186</v>
      </c>
      <c r="Q218">
        <v>208</v>
      </c>
      <c r="R218">
        <v>-6.1828536897978186</v>
      </c>
    </row>
    <row r="219" spans="7:18">
      <c r="G219">
        <v>209</v>
      </c>
      <c r="H219">
        <f t="shared" si="18"/>
        <v>128</v>
      </c>
      <c r="I219">
        <f t="shared" si="19"/>
        <v>126.24657534246575</v>
      </c>
      <c r="J219">
        <f t="shared" si="20"/>
        <v>-9.4128314367424952</v>
      </c>
      <c r="K219">
        <f t="shared" si="21"/>
        <v>4.4521986798227431</v>
      </c>
      <c r="L219">
        <f t="shared" si="22"/>
        <v>-1.2097199194814172</v>
      </c>
      <c r="M219">
        <f t="shared" si="23"/>
        <v>-6.1703526764011691</v>
      </c>
      <c r="Q219">
        <v>209</v>
      </c>
      <c r="R219">
        <v>-6.1703526764011691</v>
      </c>
    </row>
    <row r="220" spans="7:18">
      <c r="G220">
        <v>210</v>
      </c>
      <c r="H220">
        <f t="shared" si="18"/>
        <v>129</v>
      </c>
      <c r="I220">
        <f t="shared" si="19"/>
        <v>127.23287671232876</v>
      </c>
      <c r="J220">
        <f t="shared" si="20"/>
        <v>-9.5094543143281456</v>
      </c>
      <c r="K220">
        <f t="shared" si="21"/>
        <v>4.5560722044558322</v>
      </c>
      <c r="L220">
        <f t="shared" si="22"/>
        <v>-1.1942742956739236</v>
      </c>
      <c r="M220">
        <f t="shared" si="23"/>
        <v>-6.147656405546237</v>
      </c>
      <c r="Q220">
        <v>210</v>
      </c>
      <c r="R220">
        <v>-6.147656405546237</v>
      </c>
    </row>
    <row r="221" spans="7:18">
      <c r="G221">
        <v>211</v>
      </c>
      <c r="H221">
        <f t="shared" si="18"/>
        <v>130</v>
      </c>
      <c r="I221">
        <f t="shared" si="19"/>
        <v>128.21917808219177</v>
      </c>
      <c r="J221">
        <f t="shared" si="20"/>
        <v>-9.594806600728834</v>
      </c>
      <c r="K221">
        <f t="shared" si="21"/>
        <v>4.6585956665666517</v>
      </c>
      <c r="L221">
        <f t="shared" si="22"/>
        <v>-1.1784747826180715</v>
      </c>
      <c r="M221">
        <f t="shared" si="23"/>
        <v>-6.1146857167802535</v>
      </c>
      <c r="Q221">
        <v>211</v>
      </c>
      <c r="R221">
        <v>-6.1146857167802535</v>
      </c>
    </row>
    <row r="222" spans="7:18">
      <c r="G222">
        <v>212</v>
      </c>
      <c r="H222">
        <f t="shared" si="18"/>
        <v>131</v>
      </c>
      <c r="I222">
        <f t="shared" si="19"/>
        <v>129.20547945205479</v>
      </c>
      <c r="J222">
        <f t="shared" si="20"/>
        <v>-9.6687871365409865</v>
      </c>
      <c r="K222">
        <f t="shared" si="21"/>
        <v>4.7597386862407358</v>
      </c>
      <c r="L222">
        <f t="shared" si="22"/>
        <v>-1.1623260620505611</v>
      </c>
      <c r="M222">
        <f t="shared" si="23"/>
        <v>-6.071374512350812</v>
      </c>
      <c r="Q222">
        <v>212</v>
      </c>
      <c r="R222">
        <v>-6.071374512350812</v>
      </c>
    </row>
    <row r="223" spans="7:18">
      <c r="G223">
        <v>213</v>
      </c>
      <c r="H223">
        <f t="shared" si="18"/>
        <v>132</v>
      </c>
      <c r="I223">
        <f t="shared" si="19"/>
        <v>130.1917808219178</v>
      </c>
      <c r="J223">
        <f t="shared" si="20"/>
        <v>-9.7313082401430044</v>
      </c>
      <c r="K223">
        <f t="shared" si="21"/>
        <v>4.8594712926185126</v>
      </c>
      <c r="L223">
        <f t="shared" si="22"/>
        <v>-1.1458329191858141</v>
      </c>
      <c r="M223">
        <f t="shared" si="23"/>
        <v>-6.0176698667103059</v>
      </c>
      <c r="Q223">
        <v>213</v>
      </c>
      <c r="R223">
        <v>-6.0176698667103059</v>
      </c>
    </row>
    <row r="224" spans="7:18">
      <c r="G224">
        <v>214</v>
      </c>
      <c r="H224">
        <f t="shared" si="18"/>
        <v>133</v>
      </c>
      <c r="I224">
        <f t="shared" si="19"/>
        <v>131.17808219178082</v>
      </c>
      <c r="J224">
        <f t="shared" si="20"/>
        <v>-9.7822958116153966</v>
      </c>
      <c r="K224">
        <f t="shared" si="21"/>
        <v>4.9577639327763077</v>
      </c>
      <c r="L224">
        <f t="shared" si="22"/>
        <v>-1.1290002412980127</v>
      </c>
      <c r="M224">
        <f t="shared" si="23"/>
        <v>-5.9535321201371012</v>
      </c>
      <c r="Q224">
        <v>214</v>
      </c>
      <c r="R224">
        <v>-5.9535321201371012</v>
      </c>
    </row>
    <row r="225" spans="7:18">
      <c r="G225">
        <v>215</v>
      </c>
      <c r="H225">
        <f t="shared" si="18"/>
        <v>134</v>
      </c>
      <c r="I225">
        <f t="shared" si="19"/>
        <v>132.16438356164383</v>
      </c>
      <c r="J225">
        <f t="shared" si="20"/>
        <v>-9.8216894205638834</v>
      </c>
      <c r="K225">
        <f t="shared" si="21"/>
        <v>5.0545874804835114</v>
      </c>
      <c r="L225">
        <f t="shared" si="22"/>
        <v>-1.111833016272894</v>
      </c>
      <c r="M225">
        <f t="shared" si="23"/>
        <v>-5.878934956353266</v>
      </c>
      <c r="Q225">
        <v>215</v>
      </c>
      <c r="R225">
        <v>-5.878934956353266</v>
      </c>
    </row>
    <row r="226" spans="7:18">
      <c r="G226">
        <v>216</v>
      </c>
      <c r="H226">
        <f t="shared" si="18"/>
        <v>135</v>
      </c>
      <c r="I226">
        <f t="shared" si="19"/>
        <v>133.15068493150685</v>
      </c>
      <c r="J226">
        <f t="shared" si="20"/>
        <v>-9.8494423777414202</v>
      </c>
      <c r="K226">
        <f t="shared" si="21"/>
        <v>5.1499132448333178</v>
      </c>
      <c r="L226">
        <f t="shared" si="22"/>
        <v>-1.0943363311297312</v>
      </c>
      <c r="M226">
        <f t="shared" si="23"/>
        <v>-5.7938654640378333</v>
      </c>
      <c r="Q226">
        <v>216</v>
      </c>
      <c r="R226">
        <v>-5.7938654640378333</v>
      </c>
    </row>
    <row r="227" spans="7:18">
      <c r="G227">
        <v>217</v>
      </c>
      <c r="H227">
        <f t="shared" si="18"/>
        <v>136</v>
      </c>
      <c r="I227">
        <f t="shared" si="19"/>
        <v>134.13698630136986</v>
      </c>
      <c r="J227">
        <f t="shared" si="20"/>
        <v>-9.8655217903842161</v>
      </c>
      <c r="K227">
        <f t="shared" si="21"/>
        <v>5.2437129787444476</v>
      </c>
      <c r="L227">
        <f t="shared" si="22"/>
        <v>-1.076515370513943</v>
      </c>
      <c r="M227">
        <f t="shared" si="23"/>
        <v>-5.6983241821537112</v>
      </c>
      <c r="Q227">
        <v>217</v>
      </c>
      <c r="R227">
        <v>-5.6983241821537112</v>
      </c>
    </row>
    <row r="228" spans="7:18">
      <c r="G228">
        <v>218</v>
      </c>
      <c r="H228">
        <f t="shared" si="18"/>
        <v>137</v>
      </c>
      <c r="I228">
        <f t="shared" si="19"/>
        <v>135.12328767123287</v>
      </c>
      <c r="J228">
        <f t="shared" si="20"/>
        <v>-9.8699086011961956</v>
      </c>
      <c r="K228">
        <f t="shared" si="21"/>
        <v>5.3359588873313806</v>
      </c>
      <c r="L228">
        <f t="shared" si="22"/>
        <v>-1.0583754151607669</v>
      </c>
      <c r="M228">
        <f t="shared" si="23"/>
        <v>-5.592325129025582</v>
      </c>
      <c r="Q228">
        <v>218</v>
      </c>
      <c r="R228">
        <v>-5.592325129025582</v>
      </c>
    </row>
    <row r="229" spans="7:18">
      <c r="G229">
        <v>219</v>
      </c>
      <c r="H229">
        <f t="shared" si="18"/>
        <v>138</v>
      </c>
      <c r="I229">
        <f t="shared" si="19"/>
        <v>136.10958904109589</v>
      </c>
      <c r="J229">
        <f t="shared" si="20"/>
        <v>-9.8625976109356746</v>
      </c>
      <c r="K229">
        <f t="shared" si="21"/>
        <v>5.4266236361405724</v>
      </c>
      <c r="L229">
        <f t="shared" si="22"/>
        <v>-1.0399218403304666</v>
      </c>
      <c r="M229">
        <f t="shared" si="23"/>
        <v>-5.4758958151255683</v>
      </c>
      <c r="Q229">
        <v>219</v>
      </c>
      <c r="R229">
        <v>-5.4758958151255683</v>
      </c>
    </row>
    <row r="230" spans="7:18">
      <c r="G230">
        <v>220</v>
      </c>
      <c r="H230">
        <f t="shared" si="18"/>
        <v>139</v>
      </c>
      <c r="I230">
        <f t="shared" si="19"/>
        <v>137.0958904109589</v>
      </c>
      <c r="J230">
        <f t="shared" si="20"/>
        <v>-9.8435974845774936</v>
      </c>
      <c r="K230">
        <f t="shared" si="21"/>
        <v>5.5156803592502497</v>
      </c>
      <c r="L230">
        <f t="shared" si="22"/>
        <v>-1.0211601142155242</v>
      </c>
      <c r="M230">
        <f t="shared" si="23"/>
        <v>-5.3490772395427681</v>
      </c>
      <c r="Q230">
        <v>220</v>
      </c>
      <c r="R230">
        <v>-5.3490772395427681</v>
      </c>
    </row>
    <row r="231" spans="7:18">
      <c r="G231">
        <v>221</v>
      </c>
      <c r="H231">
        <f t="shared" si="18"/>
        <v>140</v>
      </c>
      <c r="I231">
        <f t="shared" si="19"/>
        <v>138.08219178082192</v>
      </c>
      <c r="J231">
        <f t="shared" si="20"/>
        <v>-9.8129307410433046</v>
      </c>
      <c r="K231">
        <f t="shared" si="21"/>
        <v>5.6031026672313464</v>
      </c>
      <c r="L231">
        <f t="shared" si="22"/>
        <v>-1.0020957963203001</v>
      </c>
      <c r="M231">
        <f t="shared" si="23"/>
        <v>-5.2119238701322583</v>
      </c>
      <c r="Q231">
        <v>221</v>
      </c>
      <c r="R231">
        <v>-5.2119238701322583</v>
      </c>
    </row>
    <row r="232" spans="7:18">
      <c r="G232">
        <v>222</v>
      </c>
      <c r="H232">
        <f t="shared" si="18"/>
        <v>141</v>
      </c>
      <c r="I232">
        <f t="shared" si="19"/>
        <v>139.06849315068493</v>
      </c>
      <c r="J232">
        <f t="shared" si="20"/>
        <v>-9.7706337265121732</v>
      </c>
      <c r="K232">
        <f t="shared" si="21"/>
        <v>5.6888646549672828</v>
      </c>
      <c r="L232">
        <f t="shared" si="22"/>
        <v>-0.98273453581362791</v>
      </c>
      <c r="M232">
        <f t="shared" si="23"/>
        <v>-5.0645036073585183</v>
      </c>
      <c r="Q232">
        <v>222</v>
      </c>
      <c r="R232">
        <v>-5.0645036073585183</v>
      </c>
    </row>
    <row r="233" spans="7:18">
      <c r="G233">
        <v>223</v>
      </c>
      <c r="H233">
        <f t="shared" si="18"/>
        <v>142</v>
      </c>
      <c r="I233">
        <f t="shared" si="19"/>
        <v>140.05479452054794</v>
      </c>
      <c r="J233">
        <f t="shared" si="20"/>
        <v>-9.7167565713431507</v>
      </c>
      <c r="K233">
        <f t="shared" si="21"/>
        <v>5.7729409093301971</v>
      </c>
      <c r="L233">
        <f t="shared" si="22"/>
        <v>-0.96308206985484557</v>
      </c>
      <c r="M233">
        <f t="shared" si="23"/>
        <v>-4.9068977318677991</v>
      </c>
      <c r="Q233">
        <v>223</v>
      </c>
      <c r="R233">
        <v>-4.9068977318677991</v>
      </c>
    </row>
    <row r="234" spans="7:18">
      <c r="G234">
        <v>224</v>
      </c>
      <c r="H234">
        <f t="shared" si="18"/>
        <v>143</v>
      </c>
      <c r="I234">
        <f t="shared" si="19"/>
        <v>141.04109589041096</v>
      </c>
      <c r="J234">
        <f t="shared" si="20"/>
        <v>-9.6513631306608314</v>
      </c>
      <c r="K234">
        <f t="shared" si="21"/>
        <v>5.855306516711412</v>
      </c>
      <c r="L234">
        <f t="shared" si="22"/>
        <v>-0.94314422189375158</v>
      </c>
      <c r="M234">
        <f t="shared" si="23"/>
        <v>-4.739200835843171</v>
      </c>
      <c r="Q234">
        <v>224</v>
      </c>
      <c r="R234">
        <v>-4.739200835843171</v>
      </c>
    </row>
    <row r="235" spans="7:18">
      <c r="G235">
        <v>225</v>
      </c>
      <c r="H235">
        <f t="shared" si="18"/>
        <v>144</v>
      </c>
      <c r="I235">
        <f t="shared" si="19"/>
        <v>142.02739726027397</v>
      </c>
      <c r="J235">
        <f t="shared" si="20"/>
        <v>-9.5745309086743742</v>
      </c>
      <c r="K235">
        <f t="shared" si="21"/>
        <v>5.935937070403857</v>
      </c>
      <c r="L235">
        <f t="shared" si="22"/>
        <v>-0.92292689994499144</v>
      </c>
      <c r="M235">
        <f t="shared" si="23"/>
        <v>-4.561520738215509</v>
      </c>
      <c r="Q235">
        <v>225</v>
      </c>
      <c r="R235">
        <v>-4.561520738215509</v>
      </c>
    </row>
    <row r="236" spans="7:18">
      <c r="G236">
        <v>226</v>
      </c>
      <c r="H236">
        <f t="shared" si="18"/>
        <v>145</v>
      </c>
      <c r="I236">
        <f t="shared" si="19"/>
        <v>143.01369863013699</v>
      </c>
      <c r="J236">
        <f t="shared" si="20"/>
        <v>-9.4863509668196073</v>
      </c>
      <c r="K236">
        <f t="shared" si="21"/>
        <v>6.0148086778343277</v>
      </c>
      <c r="L236">
        <f t="shared" si="22"/>
        <v>-0.90243609483738385</v>
      </c>
      <c r="M236">
        <f t="shared" si="23"/>
        <v>-4.3739783838226636</v>
      </c>
      <c r="Q236">
        <v>226</v>
      </c>
      <c r="R236">
        <v>-4.3739783838226636</v>
      </c>
    </row>
    <row r="237" spans="7:18">
      <c r="G237">
        <v>227</v>
      </c>
      <c r="H237">
        <f t="shared" si="18"/>
        <v>146</v>
      </c>
      <c r="I237">
        <f t="shared" si="19"/>
        <v>144</v>
      </c>
      <c r="J237">
        <f t="shared" si="20"/>
        <v>-9.3869278158331664</v>
      </c>
      <c r="K237">
        <f t="shared" si="21"/>
        <v>6.0918979676433533</v>
      </c>
      <c r="L237">
        <f t="shared" si="22"/>
        <v>-0.88167787843870982</v>
      </c>
      <c r="M237">
        <f t="shared" si="23"/>
        <v>-4.1767077266285231</v>
      </c>
      <c r="Q237">
        <v>227</v>
      </c>
      <c r="R237">
        <v>-4.1767077266285231</v>
      </c>
    </row>
    <row r="238" spans="7:18">
      <c r="G238">
        <v>228</v>
      </c>
      <c r="H238">
        <f t="shared" si="18"/>
        <v>147</v>
      </c>
      <c r="I238">
        <f t="shared" si="19"/>
        <v>144.98630136986301</v>
      </c>
      <c r="J238">
        <f t="shared" si="20"/>
        <v>-9.27637929188651</v>
      </c>
      <c r="K238">
        <f t="shared" si="21"/>
        <v>6.1671820966106408</v>
      </c>
      <c r="L238">
        <f t="shared" si="22"/>
        <v>-0.86065840185648734</v>
      </c>
      <c r="M238">
        <f t="shared" si="23"/>
        <v>-3.9698555971323568</v>
      </c>
      <c r="Q238">
        <v>228</v>
      </c>
      <c r="R238">
        <v>-3.9698555971323568</v>
      </c>
    </row>
    <row r="239" spans="7:18">
      <c r="G239">
        <v>229</v>
      </c>
      <c r="H239">
        <f t="shared" si="18"/>
        <v>148</v>
      </c>
      <c r="I239">
        <f t="shared" si="19"/>
        <v>145.97260273972603</v>
      </c>
      <c r="J239">
        <f t="shared" si="20"/>
        <v>-9.1548364169266723</v>
      </c>
      <c r="K239">
        <f t="shared" si="21"/>
        <v>6.240638756424012</v>
      </c>
      <c r="L239">
        <f t="shared" si="22"/>
        <v>-0.83938389361526533</v>
      </c>
      <c r="M239">
        <f t="shared" si="23"/>
        <v>-3.7535815541179254</v>
      </c>
      <c r="Q239">
        <v>229</v>
      </c>
      <c r="R239">
        <v>-3.7535815541179254</v>
      </c>
    </row>
    <row r="240" spans="7:18">
      <c r="G240">
        <v>230</v>
      </c>
      <c r="H240">
        <f t="shared" si="18"/>
        <v>149</v>
      </c>
      <c r="I240">
        <f t="shared" si="19"/>
        <v>146.95890410958904</v>
      </c>
      <c r="J240">
        <f t="shared" si="20"/>
        <v>-9.0224432433892474</v>
      </c>
      <c r="K240">
        <f t="shared" si="21"/>
        <v>6.3122461802898391</v>
      </c>
      <c r="L240">
        <f t="shared" si="22"/>
        <v>-0.81786065781097694</v>
      </c>
      <c r="M240">
        <f t="shared" si="23"/>
        <v>-3.5280577209103852</v>
      </c>
      <c r="Q240">
        <v>230</v>
      </c>
      <c r="R240">
        <v>-3.5280577209103852</v>
      </c>
    </row>
    <row r="241" spans="7:18">
      <c r="G241">
        <v>231</v>
      </c>
      <c r="H241">
        <f t="shared" si="18"/>
        <v>150</v>
      </c>
      <c r="I241">
        <f t="shared" si="19"/>
        <v>147.94520547945206</v>
      </c>
      <c r="J241">
        <f t="shared" si="20"/>
        <v>-8.8793566834676412</v>
      </c>
      <c r="K241">
        <f t="shared" si="21"/>
        <v>6.3819831493830188</v>
      </c>
      <c r="L241">
        <f t="shared" si="22"/>
        <v>-0.7960950722429001</v>
      </c>
      <c r="M241">
        <f t="shared" si="23"/>
        <v>-3.2934686063275223</v>
      </c>
      <c r="Q241">
        <v>231</v>
      </c>
      <c r="R241">
        <v>-3.2934686063275223</v>
      </c>
    </row>
    <row r="242" spans="7:18">
      <c r="G242">
        <v>232</v>
      </c>
      <c r="H242">
        <f t="shared" si="18"/>
        <v>151</v>
      </c>
      <c r="I242">
        <f t="shared" si="19"/>
        <v>148.93150684931507</v>
      </c>
      <c r="J242">
        <f t="shared" si="20"/>
        <v>-8.7257463231409993</v>
      </c>
      <c r="K242">
        <f t="shared" si="21"/>
        <v>6.4498289991345574</v>
      </c>
      <c r="L242">
        <f t="shared" si="22"/>
        <v>-0.77409358652377924</v>
      </c>
      <c r="M242">
        <f t="shared" si="23"/>
        <v>-3.0500109105302213</v>
      </c>
      <c r="Q242">
        <v>232</v>
      </c>
      <c r="R242">
        <v>-3.0500109105302213</v>
      </c>
    </row>
    <row r="243" spans="7:18">
      <c r="G243">
        <v>233</v>
      </c>
      <c r="H243">
        <f t="shared" si="18"/>
        <v>152</v>
      </c>
      <c r="I243">
        <f t="shared" si="19"/>
        <v>149.91780821917808</v>
      </c>
      <c r="J243">
        <f t="shared" si="20"/>
        <v>-8.561794221181124</v>
      </c>
      <c r="K243">
        <f t="shared" si="21"/>
        <v>6.5157636253549409</v>
      </c>
      <c r="L243">
        <f t="shared" si="22"/>
        <v>-0.75186272016866362</v>
      </c>
      <c r="M243">
        <f t="shared" si="23"/>
        <v>-2.7978933159948465</v>
      </c>
      <c r="Q243">
        <v>233</v>
      </c>
      <c r="R243">
        <v>-2.7978933159948465</v>
      </c>
    </row>
    <row r="244" spans="7:18">
      <c r="G244">
        <v>234</v>
      </c>
      <c r="H244">
        <f t="shared" si="18"/>
        <v>153</v>
      </c>
      <c r="I244">
        <f t="shared" si="19"/>
        <v>150.9041095890411</v>
      </c>
      <c r="J244">
        <f t="shared" si="20"/>
        <v>-8.3876946933767016</v>
      </c>
      <c r="K244">
        <f t="shared" si="21"/>
        <v>6.5797674901914371</v>
      </c>
      <c r="L244">
        <f t="shared" si="22"/>
        <v>-0.72940906066303568</v>
      </c>
      <c r="M244">
        <f t="shared" si="23"/>
        <v>-2.5373362638483004</v>
      </c>
      <c r="Q244">
        <v>234</v>
      </c>
      <c r="R244">
        <v>-2.5373362638483004</v>
      </c>
    </row>
    <row r="245" spans="7:18">
      <c r="G245">
        <v>235</v>
      </c>
      <c r="H245">
        <f t="shared" si="18"/>
        <v>154</v>
      </c>
      <c r="I245">
        <f t="shared" si="19"/>
        <v>151.89041095890411</v>
      </c>
      <c r="J245">
        <f t="shared" si="20"/>
        <v>-8.2036540822305231</v>
      </c>
      <c r="K245">
        <f t="shared" si="21"/>
        <v>6.6418216279175786</v>
      </c>
      <c r="L245">
        <f t="shared" si="22"/>
        <v>-0.70673926151079569</v>
      </c>
      <c r="M245">
        <f t="shared" si="23"/>
        <v>-2.2685717158237404</v>
      </c>
      <c r="Q245">
        <v>235</v>
      </c>
      <c r="R245">
        <v>-2.2685717158237404</v>
      </c>
    </row>
    <row r="246" spans="7:18">
      <c r="G246">
        <v>236</v>
      </c>
      <c r="H246">
        <f t="shared" si="18"/>
        <v>155</v>
      </c>
      <c r="I246">
        <f t="shared" si="19"/>
        <v>152.87671232876713</v>
      </c>
      <c r="J246">
        <f t="shared" si="20"/>
        <v>-8.009890512402654</v>
      </c>
      <c r="K246">
        <f t="shared" si="21"/>
        <v>6.7019076505531157</v>
      </c>
      <c r="L246">
        <f t="shared" si="22"/>
        <v>-0.68386004026268821</v>
      </c>
      <c r="M246">
        <f t="shared" si="23"/>
        <v>-1.9918429021122266</v>
      </c>
      <c r="Q246">
        <v>236</v>
      </c>
      <c r="R246">
        <v>-1.9918429021122266</v>
      </c>
    </row>
    <row r="247" spans="7:18">
      <c r="G247">
        <v>237</v>
      </c>
      <c r="H247">
        <f t="shared" si="18"/>
        <v>156</v>
      </c>
      <c r="I247">
        <f t="shared" si="19"/>
        <v>153.86301369863014</v>
      </c>
      <c r="J247">
        <f t="shared" si="20"/>
        <v>-7.8066336321893921</v>
      </c>
      <c r="K247">
        <f t="shared" si="21"/>
        <v>6.76000775331278</v>
      </c>
      <c r="L247">
        <f t="shared" si="22"/>
        <v>-0.66077817652574256</v>
      </c>
      <c r="M247">
        <f t="shared" si="23"/>
        <v>-1.7074040554023546</v>
      </c>
      <c r="Q247">
        <v>237</v>
      </c>
      <c r="R247">
        <v>-1.7074040554023546</v>
      </c>
    </row>
    <row r="248" spans="7:18">
      <c r="G248">
        <v>238</v>
      </c>
      <c r="H248">
        <f t="shared" si="18"/>
        <v>157</v>
      </c>
      <c r="I248">
        <f t="shared" si="19"/>
        <v>154.84931506849315</v>
      </c>
      <c r="J248">
        <f t="shared" si="20"/>
        <v>-7.594124341344469</v>
      </c>
      <c r="K248">
        <f t="shared" si="21"/>
        <v>6.8161047198822224</v>
      </c>
      <c r="L248">
        <f t="shared" si="22"/>
        <v>-0.63750050995433127</v>
      </c>
      <c r="M248">
        <f t="shared" si="23"/>
        <v>-1.415520131416578</v>
      </c>
      <c r="Q248">
        <v>238</v>
      </c>
      <c r="R248">
        <v>-1.415520131416578</v>
      </c>
    </row>
    <row r="249" spans="7:18">
      <c r="G249">
        <v>239</v>
      </c>
      <c r="H249">
        <f t="shared" si="18"/>
        <v>158</v>
      </c>
      <c r="I249">
        <f t="shared" si="19"/>
        <v>155.83561643835617</v>
      </c>
      <c r="J249">
        <f t="shared" si="20"/>
        <v>-7.3726145055649983</v>
      </c>
      <c r="K249">
        <f t="shared" si="21"/>
        <v>6.8701819275195772</v>
      </c>
      <c r="L249">
        <f t="shared" si="22"/>
        <v>-0.614033938223432</v>
      </c>
      <c r="M249">
        <f t="shared" si="23"/>
        <v>-1.116466516268853</v>
      </c>
      <c r="Q249">
        <v>239</v>
      </c>
      <c r="R249">
        <v>-1.116466516268853</v>
      </c>
    </row>
    <row r="250" spans="7:18">
      <c r="G250">
        <v>240</v>
      </c>
      <c r="H250">
        <f t="shared" si="18"/>
        <v>159</v>
      </c>
      <c r="I250">
        <f t="shared" si="19"/>
        <v>156.82191780821918</v>
      </c>
      <c r="J250">
        <f t="shared" si="20"/>
        <v>-7.142366657980654</v>
      </c>
      <c r="K250">
        <f t="shared" si="21"/>
        <v>6.9222233519811365</v>
      </c>
      <c r="L250">
        <f t="shared" si="22"/>
        <v>-0.5903854149847001</v>
      </c>
      <c r="M250">
        <f t="shared" si="23"/>
        <v>-0.81052872098421758</v>
      </c>
      <c r="Q250">
        <v>240</v>
      </c>
      <c r="R250">
        <v>-0.81052872098421758</v>
      </c>
    </row>
    <row r="251" spans="7:18">
      <c r="G251">
        <v>241</v>
      </c>
      <c r="H251">
        <f t="shared" si="18"/>
        <v>160</v>
      </c>
      <c r="I251">
        <f t="shared" si="19"/>
        <v>157.8082191780822</v>
      </c>
      <c r="J251">
        <f t="shared" si="20"/>
        <v>-6.903653687999757</v>
      </c>
      <c r="K251">
        <f t="shared" si="21"/>
        <v>6.9722135722696894</v>
      </c>
      <c r="L251">
        <f t="shared" si="22"/>
        <v>-0.56656194780594737</v>
      </c>
      <c r="M251">
        <f t="shared" si="23"/>
        <v>-0.49800206353601495</v>
      </c>
      <c r="Q251">
        <v>241</v>
      </c>
      <c r="R251">
        <v>-0.49800206353601495</v>
      </c>
    </row>
    <row r="252" spans="7:18">
      <c r="G252">
        <v>242</v>
      </c>
      <c r="H252">
        <f t="shared" si="18"/>
        <v>161</v>
      </c>
      <c r="I252">
        <f t="shared" si="19"/>
        <v>158.79452054794518</v>
      </c>
      <c r="J252">
        <f t="shared" si="20"/>
        <v>-6.6567585178811797</v>
      </c>
      <c r="K252">
        <f t="shared" si="21"/>
        <v>7.0201377752040841</v>
      </c>
      <c r="L252">
        <f t="shared" si="22"/>
        <v>-0.54257059609465208</v>
      </c>
      <c r="M252">
        <f t="shared" si="23"/>
        <v>-0.17919133877174764</v>
      </c>
      <c r="Q252">
        <v>242</v>
      </c>
      <c r="R252">
        <v>-0.17919133877174764</v>
      </c>
    </row>
    <row r="253" spans="7:18">
      <c r="G253">
        <v>243</v>
      </c>
      <c r="H253">
        <f t="shared" si="18"/>
        <v>162</v>
      </c>
      <c r="I253">
        <f t="shared" si="19"/>
        <v>159.7808219178082</v>
      </c>
      <c r="J253">
        <f t="shared" si="20"/>
        <v>-6.401973767415277</v>
      </c>
      <c r="K253">
        <f t="shared" si="21"/>
        <v>7.0659817598087065</v>
      </c>
      <c r="L253">
        <f t="shared" si="22"/>
        <v>-0.51841846900610089</v>
      </c>
      <c r="M253">
        <f t="shared" si="23"/>
        <v>0.14558952338732856</v>
      </c>
      <c r="Q253">
        <v>243</v>
      </c>
      <c r="R253">
        <v>0.14558952338732856</v>
      </c>
    </row>
    <row r="254" spans="7:18">
      <c r="G254">
        <v>244</v>
      </c>
      <c r="H254">
        <f t="shared" si="18"/>
        <v>163</v>
      </c>
      <c r="I254">
        <f t="shared" si="19"/>
        <v>160.76712328767121</v>
      </c>
      <c r="J254">
        <f t="shared" si="20"/>
        <v>-6.1396014071113738</v>
      </c>
      <c r="K254">
        <f t="shared" si="21"/>
        <v>7.1097319415215203</v>
      </c>
      <c r="L254">
        <f t="shared" si="22"/>
        <v>-0.49411272333679623</v>
      </c>
      <c r="M254">
        <f t="shared" si="23"/>
        <v>0.47601781107335028</v>
      </c>
      <c r="Q254">
        <v>244</v>
      </c>
      <c r="R254">
        <v>0.47601781107335028</v>
      </c>
    </row>
    <row r="255" spans="7:18">
      <c r="G255">
        <v>245</v>
      </c>
      <c r="H255">
        <f t="shared" si="18"/>
        <v>164</v>
      </c>
      <c r="I255">
        <f t="shared" si="19"/>
        <v>161.75342465753423</v>
      </c>
      <c r="J255">
        <f t="shared" si="20"/>
        <v>-5.8699524003027408</v>
      </c>
      <c r="K255">
        <f t="shared" si="21"/>
        <v>7.1513753562194795</v>
      </c>
      <c r="L255">
        <f t="shared" si="22"/>
        <v>-0.46966056140374035</v>
      </c>
      <c r="M255">
        <f t="shared" si="23"/>
        <v>0.81176239451299836</v>
      </c>
      <c r="Q255">
        <v>245</v>
      </c>
      <c r="R255">
        <v>0.81176239451299836</v>
      </c>
    </row>
    <row r="256" spans="7:18">
      <c r="G256">
        <v>246</v>
      </c>
      <c r="H256">
        <f t="shared" si="18"/>
        <v>165</v>
      </c>
      <c r="I256">
        <f t="shared" si="19"/>
        <v>162.73972602739724</v>
      </c>
      <c r="J256">
        <f t="shared" si="20"/>
        <v>-5.5933463345933383</v>
      </c>
      <c r="K256">
        <f t="shared" si="21"/>
        <v>7.1908996640600709</v>
      </c>
      <c r="L256">
        <f t="shared" si="22"/>
        <v>-0.44506922891023615</v>
      </c>
      <c r="M256">
        <f t="shared" si="23"/>
        <v>1.1524841005564963</v>
      </c>
      <c r="Q256">
        <v>246</v>
      </c>
      <c r="R256">
        <v>1.1524841005564963</v>
      </c>
    </row>
    <row r="257" spans="7:18">
      <c r="G257">
        <v>247</v>
      </c>
      <c r="H257">
        <f t="shared" si="18"/>
        <v>166</v>
      </c>
      <c r="I257">
        <f t="shared" si="19"/>
        <v>163.72602739726025</v>
      </c>
      <c r="J257">
        <f t="shared" si="20"/>
        <v>-5.3101110430830269</v>
      </c>
      <c r="K257">
        <f t="shared" si="21"/>
        <v>7.2282931531378747</v>
      </c>
      <c r="L257">
        <f t="shared" si="22"/>
        <v>-0.42034601279882511</v>
      </c>
      <c r="M257">
        <f t="shared" si="23"/>
        <v>1.4978360972560227</v>
      </c>
      <c r="Q257">
        <v>247</v>
      </c>
      <c r="R257">
        <v>1.4978360972560227</v>
      </c>
    </row>
    <row r="258" spans="7:18">
      <c r="G258">
        <v>248</v>
      </c>
      <c r="H258">
        <f t="shared" si="18"/>
        <v>167</v>
      </c>
      <c r="I258">
        <f t="shared" si="19"/>
        <v>164.71232876712327</v>
      </c>
      <c r="J258">
        <f t="shared" si="20"/>
        <v>-5.0205822158202826</v>
      </c>
      <c r="K258">
        <f t="shared" si="21"/>
        <v>7.2635447429550624</v>
      </c>
      <c r="L258">
        <f t="shared" si="22"/>
        <v>-0.39549823909201182</v>
      </c>
      <c r="M258">
        <f t="shared" si="23"/>
        <v>1.8474642880427679</v>
      </c>
      <c r="Q258">
        <v>248</v>
      </c>
      <c r="R258">
        <v>1.8474642880427679</v>
      </c>
    </row>
    <row r="259" spans="7:18">
      <c r="G259">
        <v>249</v>
      </c>
      <c r="H259">
        <f t="shared" si="18"/>
        <v>168</v>
      </c>
      <c r="I259">
        <f t="shared" si="19"/>
        <v>165.69863013698628</v>
      </c>
      <c r="J259">
        <f t="shared" si="20"/>
        <v>-4.7251030019428377</v>
      </c>
      <c r="K259">
        <f t="shared" si="21"/>
        <v>7.296643987704778</v>
      </c>
      <c r="L259">
        <f t="shared" si="22"/>
        <v>-0.37053327072140391</v>
      </c>
      <c r="M259">
        <f t="shared" si="23"/>
        <v>2.2010077150405363</v>
      </c>
      <c r="Q259">
        <v>249</v>
      </c>
      <c r="R259">
        <v>2.2010077150405363</v>
      </c>
    </row>
    <row r="260" spans="7:18">
      <c r="G260">
        <v>250</v>
      </c>
      <c r="H260">
        <f t="shared" si="18"/>
        <v>169</v>
      </c>
      <c r="I260">
        <f t="shared" si="19"/>
        <v>166.6849315068493</v>
      </c>
      <c r="J260">
        <f t="shared" si="20"/>
        <v>-4.4240236029778526</v>
      </c>
      <c r="K260">
        <f t="shared" si="21"/>
        <v>7.3275810793664622</v>
      </c>
      <c r="L260">
        <f t="shared" si="22"/>
        <v>-0.34545850534591832</v>
      </c>
      <c r="M260">
        <f t="shared" si="23"/>
        <v>2.5580989710426913</v>
      </c>
      <c r="Q260">
        <v>250</v>
      </c>
      <c r="R260">
        <v>2.5580989710426913</v>
      </c>
    </row>
    <row r="261" spans="7:18">
      <c r="G261">
        <v>251</v>
      </c>
      <c r="H261">
        <f t="shared" si="18"/>
        <v>170</v>
      </c>
      <c r="I261">
        <f t="shared" si="19"/>
        <v>167.67123287671231</v>
      </c>
      <c r="J261">
        <f t="shared" si="20"/>
        <v>-4.1177008577835768</v>
      </c>
      <c r="K261">
        <f t="shared" si="21"/>
        <v>7.3563468506121774</v>
      </c>
      <c r="L261">
        <f t="shared" si="22"/>
        <v>-0.32028137315969485</v>
      </c>
      <c r="M261">
        <f t="shared" si="23"/>
        <v>2.9183646196689059</v>
      </c>
      <c r="Q261">
        <v>251</v>
      </c>
      <c r="R261">
        <v>2.9183646196689059</v>
      </c>
    </row>
    <row r="262" spans="7:18">
      <c r="G262">
        <v>252</v>
      </c>
      <c r="H262">
        <f t="shared" si="18"/>
        <v>171</v>
      </c>
      <c r="I262">
        <f t="shared" si="19"/>
        <v>168.65753424657532</v>
      </c>
      <c r="J262">
        <f t="shared" si="20"/>
        <v>-3.806497819624413</v>
      </c>
      <c r="K262">
        <f t="shared" si="21"/>
        <v>7.3829327775230889</v>
      </c>
      <c r="L262">
        <f t="shared" si="22"/>
        <v>-0.29500933469036539</v>
      </c>
      <c r="M262">
        <f t="shared" si="23"/>
        <v>3.2814256232083103</v>
      </c>
      <c r="Q262">
        <v>252</v>
      </c>
      <c r="R262">
        <v>3.2814256232083103</v>
      </c>
    </row>
    <row r="263" spans="7:18">
      <c r="G263">
        <v>253</v>
      </c>
      <c r="H263">
        <f t="shared" si="18"/>
        <v>172</v>
      </c>
      <c r="I263">
        <f t="shared" si="19"/>
        <v>169.64383561643834</v>
      </c>
      <c r="J263">
        <f t="shared" si="20"/>
        <v>-3.4907833258807921</v>
      </c>
      <c r="K263">
        <f t="shared" si="21"/>
        <v>7.4073309821152815</v>
      </c>
      <c r="L263">
        <f t="shared" si="22"/>
        <v>-0.26964987858834361</v>
      </c>
      <c r="M263">
        <f t="shared" si="23"/>
        <v>3.6468977776461458</v>
      </c>
      <c r="Q263">
        <v>253</v>
      </c>
      <c r="R263">
        <v>3.6468977776461458</v>
      </c>
    </row>
    <row r="264" spans="7:18">
      <c r="G264">
        <v>254</v>
      </c>
      <c r="H264">
        <f t="shared" si="18"/>
        <v>173</v>
      </c>
      <c r="I264">
        <f t="shared" si="19"/>
        <v>170.63013698630135</v>
      </c>
      <c r="J264">
        <f t="shared" si="20"/>
        <v>-3.1709315609036355</v>
      </c>
      <c r="K264">
        <f t="shared" si="21"/>
        <v>7.4295342346741782</v>
      </c>
      <c r="L264">
        <f t="shared" si="22"/>
        <v>-0.24421051940777505</v>
      </c>
      <c r="M264">
        <f t="shared" si="23"/>
        <v>4.0143921543627679</v>
      </c>
      <c r="Q264">
        <v>254</v>
      </c>
      <c r="R264">
        <v>4.0143921543627679</v>
      </c>
    </row>
    <row r="265" spans="7:18">
      <c r="G265">
        <v>255</v>
      </c>
      <c r="H265">
        <f t="shared" si="18"/>
        <v>174</v>
      </c>
      <c r="I265">
        <f t="shared" si="19"/>
        <v>171.61643835616437</v>
      </c>
      <c r="J265">
        <f t="shared" si="20"/>
        <v>-2.8473216125316188</v>
      </c>
      <c r="K265">
        <f t="shared" si="21"/>
        <v>7.4495359558968586</v>
      </c>
      <c r="L265">
        <f t="shared" si="22"/>
        <v>-0.21869879537981268</v>
      </c>
      <c r="M265">
        <f t="shared" si="23"/>
        <v>4.3835155479854278</v>
      </c>
      <c r="Q265">
        <v>255</v>
      </c>
      <c r="R265">
        <v>4.3835155479854278</v>
      </c>
    </row>
    <row r="266" spans="7:18">
      <c r="G266">
        <v>256</v>
      </c>
      <c r="H266">
        <f t="shared" si="18"/>
        <v>175</v>
      </c>
      <c r="I266">
        <f t="shared" si="19"/>
        <v>172.60273972602738</v>
      </c>
      <c r="J266">
        <f t="shared" si="20"/>
        <v>-2.5203370227967765</v>
      </c>
      <c r="K266">
        <f t="shared" si="21"/>
        <v>7.4673302188416537</v>
      </c>
      <c r="L266">
        <f t="shared" si="22"/>
        <v>-0.19312226617887199</v>
      </c>
      <c r="M266">
        <f t="shared" si="23"/>
        <v>4.7538709298660056</v>
      </c>
      <c r="Q266">
        <v>256</v>
      </c>
      <c r="R266">
        <v>4.7538709298660056</v>
      </c>
    </row>
    <row r="267" spans="7:18">
      <c r="G267">
        <v>257</v>
      </c>
      <c r="H267">
        <f t="shared" si="18"/>
        <v>176</v>
      </c>
      <c r="I267">
        <f t="shared" si="19"/>
        <v>173.58904109589039</v>
      </c>
      <c r="J267">
        <f t="shared" si="20"/>
        <v>-2.1903653333511168</v>
      </c>
      <c r="K267">
        <f t="shared" si="21"/>
        <v>7.4829117506844209</v>
      </c>
      <c r="L267">
        <f t="shared" si="22"/>
        <v>-0.167488510682542</v>
      </c>
      <c r="M267">
        <f t="shared" si="23"/>
        <v>5.1250579066507616</v>
      </c>
      <c r="Q267">
        <v>257</v>
      </c>
      <c r="R267">
        <v>5.1250579066507616</v>
      </c>
    </row>
    <row r="268" spans="7:18">
      <c r="G268">
        <v>258</v>
      </c>
      <c r="H268">
        <f t="shared" ref="H268:H331" si="24">G268-81</f>
        <v>177</v>
      </c>
      <c r="I268">
        <f t="shared" ref="I268:I331" si="25">(360/365)*H268</f>
        <v>174.57534246575341</v>
      </c>
      <c r="J268">
        <f t="shared" ref="J268:J331" si="26">9.87*SIN(2*PI()*I268/180)</f>
        <v>-1.8577976261528346</v>
      </c>
      <c r="K268">
        <f t="shared" ref="K268:K331" si="27">-7.53*COS(I268*PI()/180)</f>
        <v>7.4962759342809981</v>
      </c>
      <c r="L268">
        <f t="shared" ref="L268:L331" si="28">-1.5*SIN(I268*PI()/180)</f>
        <v>-0.14180512472580001</v>
      </c>
      <c r="M268">
        <f t="shared" ref="M268:M331" si="29">J268+K268+L268</f>
        <v>5.4966731834023639</v>
      </c>
      <c r="Q268">
        <v>258</v>
      </c>
      <c r="R268">
        <v>5.4966731834023639</v>
      </c>
    </row>
    <row r="269" spans="7:18">
      <c r="G269">
        <v>259</v>
      </c>
      <c r="H269">
        <f t="shared" si="24"/>
        <v>178</v>
      </c>
      <c r="I269">
        <f t="shared" si="25"/>
        <v>175.56164383561642</v>
      </c>
      <c r="J269">
        <f t="shared" si="26"/>
        <v>-1.5230280599564621</v>
      </c>
      <c r="K269">
        <f t="shared" si="27"/>
        <v>7.5074188095353636</v>
      </c>
      <c r="L269">
        <f t="shared" si="28"/>
        <v>-0.11607971885019518</v>
      </c>
      <c r="M269">
        <f t="shared" si="29"/>
        <v>5.8683110307287061</v>
      </c>
      <c r="Q269">
        <v>259</v>
      </c>
      <c r="R269">
        <v>5.8683110307287061</v>
      </c>
    </row>
    <row r="270" spans="7:18">
      <c r="G270">
        <v>260</v>
      </c>
      <c r="H270">
        <f t="shared" si="24"/>
        <v>179</v>
      </c>
      <c r="I270">
        <f t="shared" si="25"/>
        <v>176.54794520547944</v>
      </c>
      <c r="J270">
        <f t="shared" si="26"/>
        <v>-1.1864534031566203</v>
      </c>
      <c r="K270">
        <f t="shared" si="27"/>
        <v>7.5163370745730962</v>
      </c>
      <c r="L270">
        <f t="shared" si="28"/>
        <v>-9.0319916048690205E-2</v>
      </c>
      <c r="M270">
        <f t="shared" si="29"/>
        <v>6.2395637553677856</v>
      </c>
      <c r="Q270">
        <v>260</v>
      </c>
      <c r="R270">
        <v>6.2395637553677856</v>
      </c>
    </row>
    <row r="271" spans="7:18">
      <c r="G271">
        <v>261</v>
      </c>
      <c r="H271">
        <f t="shared" si="24"/>
        <v>180</v>
      </c>
      <c r="I271">
        <f t="shared" si="25"/>
        <v>177.53424657534245</v>
      </c>
      <c r="J271">
        <f t="shared" si="26"/>
        <v>-0.84847256353859879</v>
      </c>
      <c r="K271">
        <f t="shared" si="27"/>
        <v>7.5230280867197923</v>
      </c>
      <c r="L271">
        <f t="shared" si="28"/>
        <v>-6.4533349506795887E-2</v>
      </c>
      <c r="M271">
        <f t="shared" si="29"/>
        <v>6.6100221736743974</v>
      </c>
      <c r="Q271">
        <v>261</v>
      </c>
      <c r="R271">
        <v>6.6100221736743974</v>
      </c>
    </row>
    <row r="272" spans="7:18">
      <c r="G272">
        <v>262</v>
      </c>
      <c r="H272">
        <f t="shared" si="24"/>
        <v>181</v>
      </c>
      <c r="I272">
        <f t="shared" si="25"/>
        <v>178.52054794520546</v>
      </c>
      <c r="J272">
        <f t="shared" si="26"/>
        <v>-0.50948611549352751</v>
      </c>
      <c r="K272">
        <f t="shared" si="27"/>
        <v>7.52748986328415</v>
      </c>
      <c r="L272">
        <f t="shared" si="28"/>
        <v>-3.8727660340700285E-2</v>
      </c>
      <c r="M272">
        <f t="shared" si="29"/>
        <v>6.9792760874499224</v>
      </c>
      <c r="Q272">
        <v>262</v>
      </c>
      <c r="R272">
        <v>6.9792760874499224</v>
      </c>
    </row>
    <row r="273" spans="7:18">
      <c r="G273">
        <v>263</v>
      </c>
      <c r="H273">
        <f t="shared" si="24"/>
        <v>182</v>
      </c>
      <c r="I273">
        <f t="shared" si="25"/>
        <v>179.50684931506848</v>
      </c>
      <c r="J273">
        <f t="shared" si="26"/>
        <v>-0.16989582525809421</v>
      </c>
      <c r="K273">
        <f t="shared" si="27"/>
        <v>7.5297210821454801</v>
      </c>
      <c r="L273">
        <f t="shared" si="28"/>
        <v>-1.2910495333033047E-2</v>
      </c>
      <c r="M273">
        <f t="shared" si="29"/>
        <v>7.3469147615543529</v>
      </c>
      <c r="Q273">
        <v>263</v>
      </c>
      <c r="R273">
        <v>7.3469147615543529</v>
      </c>
    </row>
    <row r="274" spans="7:18">
      <c r="G274">
        <v>264</v>
      </c>
      <c r="H274">
        <f t="shared" si="24"/>
        <v>183</v>
      </c>
      <c r="I274">
        <f t="shared" si="25"/>
        <v>180.49315068493149</v>
      </c>
      <c r="J274">
        <f t="shared" si="26"/>
        <v>0.16989582525808061</v>
      </c>
      <c r="K274">
        <f t="shared" si="27"/>
        <v>7.5297210821454801</v>
      </c>
      <c r="L274">
        <f t="shared" si="28"/>
        <v>1.2910495333032013E-2</v>
      </c>
      <c r="M274">
        <f t="shared" si="29"/>
        <v>7.7125274027365931</v>
      </c>
      <c r="Q274">
        <v>264</v>
      </c>
      <c r="R274">
        <v>7.7125274027365931</v>
      </c>
    </row>
    <row r="275" spans="7:18">
      <c r="G275">
        <v>265</v>
      </c>
      <c r="H275">
        <f t="shared" si="24"/>
        <v>184</v>
      </c>
      <c r="I275">
        <f t="shared" si="25"/>
        <v>181.47945205479451</v>
      </c>
      <c r="J275">
        <f t="shared" si="26"/>
        <v>0.50948611549351386</v>
      </c>
      <c r="K275">
        <f t="shared" si="27"/>
        <v>7.52748986328415</v>
      </c>
      <c r="L275">
        <f t="shared" si="28"/>
        <v>3.8727660340699251E-2</v>
      </c>
      <c r="M275">
        <f t="shared" si="29"/>
        <v>8.0757036391183625</v>
      </c>
      <c r="Q275">
        <v>265</v>
      </c>
      <c r="R275">
        <v>8.0757036391183625</v>
      </c>
    </row>
    <row r="276" spans="7:18">
      <c r="G276">
        <v>266</v>
      </c>
      <c r="H276">
        <f t="shared" si="24"/>
        <v>185</v>
      </c>
      <c r="I276">
        <f t="shared" si="25"/>
        <v>182.46575342465752</v>
      </c>
      <c r="J276">
        <f t="shared" si="26"/>
        <v>0.84847256353858536</v>
      </c>
      <c r="K276">
        <f t="shared" si="27"/>
        <v>7.5230280867197923</v>
      </c>
      <c r="L276">
        <f t="shared" si="28"/>
        <v>6.4533349506794846E-2</v>
      </c>
      <c r="M276">
        <f t="shared" si="29"/>
        <v>8.4360339997651721</v>
      </c>
      <c r="Q276">
        <v>266</v>
      </c>
      <c r="R276">
        <v>8.4360339997651721</v>
      </c>
    </row>
    <row r="277" spans="7:18">
      <c r="G277">
        <v>267</v>
      </c>
      <c r="H277">
        <f t="shared" si="24"/>
        <v>186</v>
      </c>
      <c r="I277">
        <f t="shared" si="25"/>
        <v>183.45205479452054</v>
      </c>
      <c r="J277">
        <f t="shared" si="26"/>
        <v>1.1864534031566067</v>
      </c>
      <c r="K277">
        <f t="shared" si="27"/>
        <v>7.5163370745730962</v>
      </c>
      <c r="L277">
        <f t="shared" si="28"/>
        <v>9.0319916048689164E-2</v>
      </c>
      <c r="M277">
        <f t="shared" si="29"/>
        <v>8.7931103937783917</v>
      </c>
      <c r="Q277">
        <v>267</v>
      </c>
      <c r="R277">
        <v>8.7931103937783917</v>
      </c>
    </row>
    <row r="278" spans="7:18">
      <c r="G278">
        <v>268</v>
      </c>
      <c r="H278">
        <f t="shared" si="24"/>
        <v>187</v>
      </c>
      <c r="I278">
        <f t="shared" si="25"/>
        <v>184.43835616438355</v>
      </c>
      <c r="J278">
        <f t="shared" si="26"/>
        <v>1.5230280599564487</v>
      </c>
      <c r="K278">
        <f t="shared" si="27"/>
        <v>7.5074188095353636</v>
      </c>
      <c r="L278">
        <f t="shared" si="28"/>
        <v>0.11607971885019416</v>
      </c>
      <c r="M278">
        <f t="shared" si="29"/>
        <v>9.1465265883420059</v>
      </c>
      <c r="Q278">
        <v>268</v>
      </c>
      <c r="R278">
        <v>9.1465265883420059</v>
      </c>
    </row>
    <row r="279" spans="7:18">
      <c r="G279">
        <v>269</v>
      </c>
      <c r="H279">
        <f t="shared" si="24"/>
        <v>188</v>
      </c>
      <c r="I279">
        <f t="shared" si="25"/>
        <v>185.42465753424656</v>
      </c>
      <c r="J279">
        <f t="shared" si="26"/>
        <v>1.8577976261528211</v>
      </c>
      <c r="K279">
        <f t="shared" si="27"/>
        <v>7.496275934280999</v>
      </c>
      <c r="L279">
        <f t="shared" si="28"/>
        <v>0.14180512472579898</v>
      </c>
      <c r="M279">
        <f t="shared" si="29"/>
        <v>9.4958786851596191</v>
      </c>
      <c r="Q279">
        <v>269</v>
      </c>
      <c r="R279">
        <v>9.4958786851596191</v>
      </c>
    </row>
    <row r="280" spans="7:18">
      <c r="G280">
        <v>270</v>
      </c>
      <c r="H280">
        <f t="shared" si="24"/>
        <v>189</v>
      </c>
      <c r="I280">
        <f t="shared" si="25"/>
        <v>186.41095890410958</v>
      </c>
      <c r="J280">
        <f t="shared" si="26"/>
        <v>2.1903653333511039</v>
      </c>
      <c r="K280">
        <f t="shared" si="27"/>
        <v>7.4829117506844218</v>
      </c>
      <c r="L280">
        <f t="shared" si="28"/>
        <v>0.167488510682541</v>
      </c>
      <c r="M280">
        <f t="shared" si="29"/>
        <v>9.8407655947180661</v>
      </c>
      <c r="Q280">
        <v>270</v>
      </c>
      <c r="R280">
        <v>9.8407655947180661</v>
      </c>
    </row>
    <row r="281" spans="7:18">
      <c r="G281">
        <v>271</v>
      </c>
      <c r="H281">
        <f t="shared" si="24"/>
        <v>190</v>
      </c>
      <c r="I281">
        <f t="shared" si="25"/>
        <v>187.39726027397259</v>
      </c>
      <c r="J281">
        <f t="shared" si="26"/>
        <v>2.5203370227967632</v>
      </c>
      <c r="K281">
        <f t="shared" si="27"/>
        <v>7.4673302188416537</v>
      </c>
      <c r="L281">
        <f t="shared" si="28"/>
        <v>0.19312226617887099</v>
      </c>
      <c r="M281">
        <f t="shared" si="29"/>
        <v>10.180789507817288</v>
      </c>
      <c r="Q281">
        <v>271</v>
      </c>
      <c r="R281">
        <v>10.180789507817288</v>
      </c>
    </row>
    <row r="282" spans="7:18">
      <c r="G282">
        <v>272</v>
      </c>
      <c r="H282">
        <f t="shared" si="24"/>
        <v>191</v>
      </c>
      <c r="I282">
        <f t="shared" si="25"/>
        <v>188.38356164383561</v>
      </c>
      <c r="J282">
        <f t="shared" si="26"/>
        <v>2.8473216125316059</v>
      </c>
      <c r="K282">
        <f t="shared" si="27"/>
        <v>7.4495359558968595</v>
      </c>
      <c r="L282">
        <f t="shared" si="28"/>
        <v>0.21869879537981163</v>
      </c>
      <c r="M282">
        <f t="shared" si="29"/>
        <v>10.515556363808276</v>
      </c>
      <c r="Q282">
        <v>272</v>
      </c>
      <c r="R282">
        <v>10.515556363808276</v>
      </c>
    </row>
    <row r="283" spans="7:18">
      <c r="G283">
        <v>273</v>
      </c>
      <c r="H283">
        <f t="shared" si="24"/>
        <v>192</v>
      </c>
      <c r="I283">
        <f t="shared" si="25"/>
        <v>189.36986301369862</v>
      </c>
      <c r="J283">
        <f t="shared" si="26"/>
        <v>3.1709315609036226</v>
      </c>
      <c r="K283">
        <f t="shared" si="27"/>
        <v>7.4295342346741782</v>
      </c>
      <c r="L283">
        <f t="shared" si="28"/>
        <v>0.24421051940777402</v>
      </c>
      <c r="M283">
        <f t="shared" si="29"/>
        <v>10.844676314985575</v>
      </c>
      <c r="Q283">
        <v>273</v>
      </c>
      <c r="R283">
        <v>10.844676314985575</v>
      </c>
    </row>
    <row r="284" spans="7:18">
      <c r="G284">
        <v>274</v>
      </c>
      <c r="H284">
        <f t="shared" si="24"/>
        <v>193</v>
      </c>
      <c r="I284">
        <f t="shared" si="25"/>
        <v>190.35616438356163</v>
      </c>
      <c r="J284">
        <f t="shared" si="26"/>
        <v>3.4907833258807792</v>
      </c>
      <c r="K284">
        <f t="shared" si="27"/>
        <v>7.4073309821152824</v>
      </c>
      <c r="L284">
        <f t="shared" si="28"/>
        <v>0.26964987858834255</v>
      </c>
      <c r="M284">
        <f t="shared" si="29"/>
        <v>11.167764186584405</v>
      </c>
      <c r="Q284">
        <v>274</v>
      </c>
      <c r="R284">
        <v>11.167764186584405</v>
      </c>
    </row>
    <row r="285" spans="7:18">
      <c r="G285">
        <v>275</v>
      </c>
      <c r="H285">
        <f t="shared" si="24"/>
        <v>194</v>
      </c>
      <c r="I285">
        <f t="shared" si="25"/>
        <v>191.34246575342465</v>
      </c>
      <c r="J285">
        <f t="shared" si="26"/>
        <v>3.8064978196244001</v>
      </c>
      <c r="K285">
        <f t="shared" si="27"/>
        <v>7.3829327775230897</v>
      </c>
      <c r="L285">
        <f t="shared" si="28"/>
        <v>0.29500933469036433</v>
      </c>
      <c r="M285">
        <f t="shared" si="29"/>
        <v>11.484439931837855</v>
      </c>
      <c r="Q285">
        <v>275</v>
      </c>
      <c r="R285">
        <v>11.484439931837855</v>
      </c>
    </row>
    <row r="286" spans="7:18">
      <c r="G286">
        <v>276</v>
      </c>
      <c r="H286">
        <f t="shared" si="24"/>
        <v>195</v>
      </c>
      <c r="I286">
        <f t="shared" si="25"/>
        <v>192.32876712328766</v>
      </c>
      <c r="J286">
        <f t="shared" si="26"/>
        <v>4.1177008577835634</v>
      </c>
      <c r="K286">
        <f t="shared" si="27"/>
        <v>7.3563468506121783</v>
      </c>
      <c r="L286">
        <f t="shared" si="28"/>
        <v>0.32028137315969385</v>
      </c>
      <c r="M286">
        <f t="shared" si="29"/>
        <v>11.794329081555436</v>
      </c>
      <c r="Q286">
        <v>276</v>
      </c>
      <c r="R286">
        <v>11.794329081555436</v>
      </c>
    </row>
    <row r="287" spans="7:18">
      <c r="G287">
        <v>277</v>
      </c>
      <c r="H287">
        <f t="shared" si="24"/>
        <v>196</v>
      </c>
      <c r="I287">
        <f t="shared" si="25"/>
        <v>193.31506849315068</v>
      </c>
      <c r="J287">
        <f t="shared" si="26"/>
        <v>4.4240236029778401</v>
      </c>
      <c r="K287">
        <f t="shared" si="27"/>
        <v>7.327581079366464</v>
      </c>
      <c r="L287">
        <f t="shared" si="28"/>
        <v>0.34545850534591732</v>
      </c>
      <c r="M287">
        <f t="shared" si="29"/>
        <v>12.097063187690221</v>
      </c>
      <c r="Q287">
        <v>277</v>
      </c>
      <c r="R287">
        <v>12.097063187690221</v>
      </c>
    </row>
    <row r="288" spans="7:18">
      <c r="G288">
        <v>278</v>
      </c>
      <c r="H288">
        <f t="shared" si="24"/>
        <v>197</v>
      </c>
      <c r="I288">
        <f t="shared" si="25"/>
        <v>194.30136986301369</v>
      </c>
      <c r="J288">
        <f t="shared" si="26"/>
        <v>4.7251030019428253</v>
      </c>
      <c r="K288">
        <f t="shared" si="27"/>
        <v>7.2966439877047797</v>
      </c>
      <c r="L288">
        <f t="shared" si="28"/>
        <v>0.37053327072140291</v>
      </c>
      <c r="M288">
        <f t="shared" si="29"/>
        <v>12.392280260369008</v>
      </c>
      <c r="Q288">
        <v>278</v>
      </c>
      <c r="R288">
        <v>12.392280260369008</v>
      </c>
    </row>
    <row r="289" spans="7:18">
      <c r="G289">
        <v>279</v>
      </c>
      <c r="H289">
        <f t="shared" si="24"/>
        <v>198</v>
      </c>
      <c r="I289">
        <f t="shared" si="25"/>
        <v>195.2876712328767</v>
      </c>
      <c r="J289">
        <f t="shared" si="26"/>
        <v>5.0205822158202711</v>
      </c>
      <c r="K289">
        <f t="shared" si="27"/>
        <v>7.2635447429550641</v>
      </c>
      <c r="L289">
        <f t="shared" si="28"/>
        <v>0.39549823909201082</v>
      </c>
      <c r="M289">
        <f t="shared" si="29"/>
        <v>12.679625197867345</v>
      </c>
      <c r="Q289">
        <v>279</v>
      </c>
      <c r="R289">
        <v>12.679625197867345</v>
      </c>
    </row>
    <row r="290" spans="7:18">
      <c r="G290">
        <v>280</v>
      </c>
      <c r="H290">
        <f t="shared" si="24"/>
        <v>199</v>
      </c>
      <c r="I290">
        <f t="shared" si="25"/>
        <v>196.27397260273972</v>
      </c>
      <c r="J290">
        <f t="shared" si="26"/>
        <v>5.3101110430830154</v>
      </c>
      <c r="K290">
        <f t="shared" si="27"/>
        <v>7.2282931531378765</v>
      </c>
      <c r="L290">
        <f t="shared" si="28"/>
        <v>0.42034601279882411</v>
      </c>
      <c r="M290">
        <f t="shared" si="29"/>
        <v>12.958750209019716</v>
      </c>
      <c r="Q290">
        <v>280</v>
      </c>
      <c r="R290">
        <v>12.958750209019716</v>
      </c>
    </row>
    <row r="291" spans="7:18">
      <c r="G291">
        <v>281</v>
      </c>
      <c r="H291">
        <f t="shared" si="24"/>
        <v>200</v>
      </c>
      <c r="I291">
        <f t="shared" si="25"/>
        <v>197.26027397260273</v>
      </c>
      <c r="J291">
        <f t="shared" si="26"/>
        <v>5.5933463345933205</v>
      </c>
      <c r="K291">
        <f t="shared" si="27"/>
        <v>7.1908996640600735</v>
      </c>
      <c r="L291">
        <f t="shared" si="28"/>
        <v>0.44506922891023448</v>
      </c>
      <c r="M291">
        <f t="shared" si="29"/>
        <v>13.229315227563628</v>
      </c>
      <c r="Q291">
        <v>281</v>
      </c>
      <c r="R291">
        <v>13.229315227563628</v>
      </c>
    </row>
    <row r="292" spans="7:18">
      <c r="G292">
        <v>282</v>
      </c>
      <c r="H292">
        <f t="shared" si="24"/>
        <v>201</v>
      </c>
      <c r="I292">
        <f t="shared" si="25"/>
        <v>198.24657534246575</v>
      </c>
      <c r="J292">
        <f t="shared" si="26"/>
        <v>5.8699524003027292</v>
      </c>
      <c r="K292">
        <f t="shared" si="27"/>
        <v>7.1513753562194813</v>
      </c>
      <c r="L292">
        <f t="shared" si="28"/>
        <v>0.46966056140373935</v>
      </c>
      <c r="M292">
        <f t="shared" si="29"/>
        <v>13.49098831792595</v>
      </c>
      <c r="Q292">
        <v>282</v>
      </c>
      <c r="R292">
        <v>13.49098831792595</v>
      </c>
    </row>
    <row r="293" spans="7:18">
      <c r="G293">
        <v>283</v>
      </c>
      <c r="H293">
        <f t="shared" si="24"/>
        <v>202</v>
      </c>
      <c r="I293">
        <f t="shared" si="25"/>
        <v>199.23287671232876</v>
      </c>
      <c r="J293">
        <f t="shared" si="26"/>
        <v>6.1396014071113632</v>
      </c>
      <c r="K293">
        <f t="shared" si="27"/>
        <v>7.1097319415215221</v>
      </c>
      <c r="L293">
        <f t="shared" si="28"/>
        <v>0.49411272333679523</v>
      </c>
      <c r="M293">
        <f t="shared" si="29"/>
        <v>13.743446071969679</v>
      </c>
      <c r="Q293">
        <v>283</v>
      </c>
      <c r="R293">
        <v>13.743446071969679</v>
      </c>
    </row>
    <row r="294" spans="7:18">
      <c r="G294">
        <v>284</v>
      </c>
      <c r="H294">
        <f t="shared" si="24"/>
        <v>203</v>
      </c>
      <c r="I294">
        <f t="shared" si="25"/>
        <v>200.21917808219177</v>
      </c>
      <c r="J294">
        <f t="shared" si="26"/>
        <v>6.4019737674152664</v>
      </c>
      <c r="K294">
        <f t="shared" si="27"/>
        <v>7.0659817598087074</v>
      </c>
      <c r="L294">
        <f t="shared" si="28"/>
        <v>0.51841846900609989</v>
      </c>
      <c r="M294">
        <f t="shared" si="29"/>
        <v>13.986373996230075</v>
      </c>
      <c r="Q294">
        <v>284</v>
      </c>
      <c r="R294">
        <v>13.986373996230075</v>
      </c>
    </row>
    <row r="295" spans="7:18">
      <c r="G295">
        <v>285</v>
      </c>
      <c r="H295">
        <f t="shared" si="24"/>
        <v>204</v>
      </c>
      <c r="I295">
        <f t="shared" si="25"/>
        <v>201.20547945205479</v>
      </c>
      <c r="J295">
        <f t="shared" si="26"/>
        <v>6.6567585178811637</v>
      </c>
      <c r="K295">
        <f t="shared" si="27"/>
        <v>7.0201377752040868</v>
      </c>
      <c r="L295">
        <f t="shared" si="28"/>
        <v>0.54257059609465053</v>
      </c>
      <c r="M295">
        <f t="shared" si="29"/>
        <v>14.2194668891799</v>
      </c>
      <c r="Q295">
        <v>285</v>
      </c>
      <c r="R295">
        <v>14.2194668891799</v>
      </c>
    </row>
    <row r="296" spans="7:18">
      <c r="G296">
        <v>286</v>
      </c>
      <c r="H296">
        <f t="shared" si="24"/>
        <v>205</v>
      </c>
      <c r="I296">
        <f t="shared" si="25"/>
        <v>202.1917808219178</v>
      </c>
      <c r="J296">
        <f t="shared" si="26"/>
        <v>6.9036536879997534</v>
      </c>
      <c r="K296">
        <f t="shared" si="27"/>
        <v>6.9722135722696903</v>
      </c>
      <c r="L296">
        <f t="shared" si="28"/>
        <v>0.56656194780594693</v>
      </c>
      <c r="M296">
        <f t="shared" si="29"/>
        <v>14.442429208075392</v>
      </c>
      <c r="Q296">
        <v>286</v>
      </c>
      <c r="R296">
        <v>14.442429208075392</v>
      </c>
    </row>
    <row r="297" spans="7:18">
      <c r="G297">
        <v>287</v>
      </c>
      <c r="H297">
        <f t="shared" si="24"/>
        <v>206</v>
      </c>
      <c r="I297">
        <f t="shared" si="25"/>
        <v>203.17808219178082</v>
      </c>
      <c r="J297">
        <f t="shared" si="26"/>
        <v>7.1423666579806566</v>
      </c>
      <c r="K297">
        <f t="shared" si="27"/>
        <v>6.9222233519811365</v>
      </c>
      <c r="L297">
        <f t="shared" si="28"/>
        <v>0.59038541498470032</v>
      </c>
      <c r="M297">
        <f t="shared" si="29"/>
        <v>14.654975424946494</v>
      </c>
      <c r="Q297">
        <v>287</v>
      </c>
      <c r="R297">
        <v>14.654975424946494</v>
      </c>
    </row>
    <row r="298" spans="7:18">
      <c r="G298">
        <v>288</v>
      </c>
      <c r="H298">
        <f t="shared" si="24"/>
        <v>207</v>
      </c>
      <c r="I298">
        <f t="shared" si="25"/>
        <v>204.16438356164383</v>
      </c>
      <c r="J298">
        <f t="shared" si="26"/>
        <v>7.3726145055649948</v>
      </c>
      <c r="K298">
        <f t="shared" si="27"/>
        <v>6.8701819275195781</v>
      </c>
      <c r="L298">
        <f t="shared" si="28"/>
        <v>0.61403393822343166</v>
      </c>
      <c r="M298">
        <f t="shared" si="29"/>
        <v>14.856830371308005</v>
      </c>
      <c r="Q298">
        <v>288</v>
      </c>
      <c r="R298">
        <v>14.856830371308005</v>
      </c>
    </row>
    <row r="299" spans="7:18">
      <c r="G299">
        <v>289</v>
      </c>
      <c r="H299">
        <f t="shared" si="24"/>
        <v>208</v>
      </c>
      <c r="I299">
        <f t="shared" si="25"/>
        <v>205.15068493150685</v>
      </c>
      <c r="J299">
        <f t="shared" si="26"/>
        <v>7.5941243413444601</v>
      </c>
      <c r="K299">
        <f t="shared" si="27"/>
        <v>6.8161047198822242</v>
      </c>
      <c r="L299">
        <f t="shared" si="28"/>
        <v>0.63750050995433027</v>
      </c>
      <c r="M299">
        <f t="shared" si="29"/>
        <v>15.047729571181014</v>
      </c>
      <c r="Q299">
        <v>289</v>
      </c>
      <c r="R299">
        <v>15.047729571181014</v>
      </c>
    </row>
    <row r="300" spans="7:18">
      <c r="G300">
        <v>290</v>
      </c>
      <c r="H300">
        <f t="shared" si="24"/>
        <v>209</v>
      </c>
      <c r="I300">
        <f t="shared" si="25"/>
        <v>206.13698630136986</v>
      </c>
      <c r="J300">
        <f t="shared" si="26"/>
        <v>7.8066336321893894</v>
      </c>
      <c r="K300">
        <f t="shared" si="27"/>
        <v>6.7600077533127809</v>
      </c>
      <c r="L300">
        <f t="shared" si="28"/>
        <v>0.66077817652574222</v>
      </c>
      <c r="M300">
        <f t="shared" si="29"/>
        <v>15.227419562027912</v>
      </c>
      <c r="Q300">
        <v>290</v>
      </c>
      <c r="R300">
        <v>15.227419562027912</v>
      </c>
    </row>
    <row r="301" spans="7:18">
      <c r="G301">
        <v>291</v>
      </c>
      <c r="H301">
        <f t="shared" si="24"/>
        <v>210</v>
      </c>
      <c r="I301">
        <f t="shared" si="25"/>
        <v>207.12328767123287</v>
      </c>
      <c r="J301">
        <f t="shared" si="26"/>
        <v>8.0098905124026558</v>
      </c>
      <c r="K301">
        <f t="shared" si="27"/>
        <v>6.7019076505531148</v>
      </c>
      <c r="L301">
        <f t="shared" si="28"/>
        <v>0.68386004026268854</v>
      </c>
      <c r="M301">
        <f t="shared" si="29"/>
        <v>15.395658203218458</v>
      </c>
      <c r="Q301">
        <v>291</v>
      </c>
      <c r="R301">
        <v>15.395658203218458</v>
      </c>
    </row>
    <row r="302" spans="7:18">
      <c r="G302">
        <v>292</v>
      </c>
      <c r="H302">
        <f t="shared" si="24"/>
        <v>211</v>
      </c>
      <c r="I302">
        <f t="shared" si="25"/>
        <v>208.10958904109589</v>
      </c>
      <c r="J302">
        <f t="shared" si="26"/>
        <v>8.2036540822305213</v>
      </c>
      <c r="K302">
        <f t="shared" si="27"/>
        <v>6.6418216279175795</v>
      </c>
      <c r="L302">
        <f t="shared" si="28"/>
        <v>0.70673926151079536</v>
      </c>
      <c r="M302">
        <f t="shared" si="29"/>
        <v>15.552214971658897</v>
      </c>
      <c r="Q302">
        <v>292</v>
      </c>
      <c r="R302">
        <v>15.552214971658897</v>
      </c>
    </row>
    <row r="303" spans="7:18">
      <c r="G303">
        <v>293</v>
      </c>
      <c r="H303">
        <f t="shared" si="24"/>
        <v>212</v>
      </c>
      <c r="I303">
        <f t="shared" si="25"/>
        <v>209.0958904109589</v>
      </c>
      <c r="J303">
        <f t="shared" si="26"/>
        <v>8.3876946933766963</v>
      </c>
      <c r="K303">
        <f t="shared" si="27"/>
        <v>6.5797674901914398</v>
      </c>
      <c r="L303">
        <f t="shared" si="28"/>
        <v>0.72940906066303468</v>
      </c>
      <c r="M303">
        <f t="shared" si="29"/>
        <v>15.69687124423117</v>
      </c>
      <c r="Q303">
        <v>293</v>
      </c>
      <c r="R303">
        <v>15.69687124423117</v>
      </c>
    </row>
    <row r="304" spans="7:18">
      <c r="G304">
        <v>294</v>
      </c>
      <c r="H304">
        <f t="shared" si="24"/>
        <v>213</v>
      </c>
      <c r="I304">
        <f t="shared" si="25"/>
        <v>210.08219178082192</v>
      </c>
      <c r="J304">
        <f t="shared" si="26"/>
        <v>8.5617942211811204</v>
      </c>
      <c r="K304">
        <f t="shared" si="27"/>
        <v>6.5157636253549418</v>
      </c>
      <c r="L304">
        <f t="shared" si="28"/>
        <v>0.7518627201686634</v>
      </c>
      <c r="M304">
        <f t="shared" si="29"/>
        <v>15.829420566704727</v>
      </c>
      <c r="Q304">
        <v>294</v>
      </c>
      <c r="R304">
        <v>15.829420566704727</v>
      </c>
    </row>
    <row r="305" spans="7:18">
      <c r="G305">
        <v>295</v>
      </c>
      <c r="H305">
        <f t="shared" si="24"/>
        <v>214</v>
      </c>
      <c r="I305">
        <f t="shared" si="25"/>
        <v>211.06849315068493</v>
      </c>
      <c r="J305">
        <f t="shared" si="26"/>
        <v>8.7257463231409975</v>
      </c>
      <c r="K305">
        <f t="shared" si="27"/>
        <v>6.4498289991345583</v>
      </c>
      <c r="L305">
        <f t="shared" si="28"/>
        <v>0.77409358652377891</v>
      </c>
      <c r="M305">
        <f t="shared" si="29"/>
        <v>15.949668908799335</v>
      </c>
      <c r="Q305">
        <v>295</v>
      </c>
      <c r="R305">
        <v>15.949668908799335</v>
      </c>
    </row>
    <row r="306" spans="7:18">
      <c r="G306">
        <v>296</v>
      </c>
      <c r="H306">
        <f t="shared" si="24"/>
        <v>215</v>
      </c>
      <c r="I306">
        <f t="shared" si="25"/>
        <v>212.05479452054794</v>
      </c>
      <c r="J306">
        <f t="shared" si="26"/>
        <v>8.8793566834676394</v>
      </c>
      <c r="K306">
        <f t="shared" si="27"/>
        <v>6.3819831493830197</v>
      </c>
      <c r="L306">
        <f t="shared" si="28"/>
        <v>0.79609507224289966</v>
      </c>
      <c r="M306">
        <f t="shared" si="29"/>
        <v>16.057434905093558</v>
      </c>
      <c r="Q306">
        <v>296</v>
      </c>
      <c r="R306">
        <v>16.057434905093558</v>
      </c>
    </row>
    <row r="307" spans="7:18">
      <c r="G307">
        <v>297</v>
      </c>
      <c r="H307">
        <f t="shared" si="24"/>
        <v>216</v>
      </c>
      <c r="I307">
        <f t="shared" si="25"/>
        <v>213.04109589041096</v>
      </c>
      <c r="J307">
        <f t="shared" si="26"/>
        <v>9.0224432433892421</v>
      </c>
      <c r="K307">
        <f t="shared" si="27"/>
        <v>6.3122461802898426</v>
      </c>
      <c r="L307">
        <f t="shared" si="28"/>
        <v>0.81786065781097617</v>
      </c>
      <c r="M307">
        <f t="shared" si="29"/>
        <v>16.152550081490059</v>
      </c>
      <c r="Q307">
        <v>297</v>
      </c>
      <c r="R307">
        <v>16.152550081490059</v>
      </c>
    </row>
    <row r="308" spans="7:18">
      <c r="G308">
        <v>298</v>
      </c>
      <c r="H308">
        <f t="shared" si="24"/>
        <v>217</v>
      </c>
      <c r="I308">
        <f t="shared" si="25"/>
        <v>214.02739726027397</v>
      </c>
      <c r="J308">
        <f t="shared" si="26"/>
        <v>9.1548364169266705</v>
      </c>
      <c r="K308">
        <f t="shared" si="27"/>
        <v>6.2406387564240129</v>
      </c>
      <c r="L308">
        <f t="shared" si="28"/>
        <v>0.83938389361526511</v>
      </c>
      <c r="M308">
        <f t="shared" si="29"/>
        <v>16.234859066965946</v>
      </c>
      <c r="Q308">
        <v>298</v>
      </c>
      <c r="R308">
        <v>16.234859066965946</v>
      </c>
    </row>
    <row r="309" spans="7:18">
      <c r="G309">
        <v>299</v>
      </c>
      <c r="H309">
        <f t="shared" si="24"/>
        <v>218</v>
      </c>
      <c r="I309">
        <f t="shared" si="25"/>
        <v>215.01369863013699</v>
      </c>
      <c r="J309">
        <f t="shared" si="26"/>
        <v>9.2763792918865065</v>
      </c>
      <c r="K309">
        <f t="shared" si="27"/>
        <v>6.1671820966106425</v>
      </c>
      <c r="L309">
        <f t="shared" si="28"/>
        <v>0.86065840185648712</v>
      </c>
      <c r="M309">
        <f t="shared" si="29"/>
        <v>16.304219790353635</v>
      </c>
      <c r="Q309">
        <v>299</v>
      </c>
      <c r="R309">
        <v>16.304219790353635</v>
      </c>
    </row>
    <row r="310" spans="7:18">
      <c r="G310">
        <v>300</v>
      </c>
      <c r="H310">
        <f t="shared" si="24"/>
        <v>219</v>
      </c>
      <c r="I310">
        <f t="shared" si="25"/>
        <v>216</v>
      </c>
      <c r="J310">
        <f t="shared" si="26"/>
        <v>9.3869278158331646</v>
      </c>
      <c r="K310">
        <f t="shared" si="27"/>
        <v>6.0918979676433551</v>
      </c>
      <c r="L310">
        <f t="shared" si="28"/>
        <v>0.88167787843870959</v>
      </c>
      <c r="M310">
        <f t="shared" si="29"/>
        <v>16.360503661915228</v>
      </c>
      <c r="Q310">
        <v>300</v>
      </c>
      <c r="R310">
        <v>16.360503661915228</v>
      </c>
    </row>
    <row r="311" spans="7:18">
      <c r="G311">
        <v>301</v>
      </c>
      <c r="H311">
        <f t="shared" si="24"/>
        <v>220</v>
      </c>
      <c r="I311">
        <f t="shared" si="25"/>
        <v>216.98630136986301</v>
      </c>
      <c r="J311">
        <f t="shared" si="26"/>
        <v>9.4863509668196073</v>
      </c>
      <c r="K311">
        <f t="shared" si="27"/>
        <v>6.0148086778343286</v>
      </c>
      <c r="L311">
        <f t="shared" si="28"/>
        <v>0.90243609483738352</v>
      </c>
      <c r="M311">
        <f t="shared" si="29"/>
        <v>16.403595739491319</v>
      </c>
      <c r="Q311">
        <v>301</v>
      </c>
      <c r="R311">
        <v>16.403595739491319</v>
      </c>
    </row>
    <row r="312" spans="7:18">
      <c r="G312">
        <v>302</v>
      </c>
      <c r="H312">
        <f t="shared" si="24"/>
        <v>221</v>
      </c>
      <c r="I312">
        <f t="shared" si="25"/>
        <v>217.97260273972603</v>
      </c>
      <c r="J312">
        <f t="shared" si="26"/>
        <v>9.5745309086743742</v>
      </c>
      <c r="K312">
        <f t="shared" si="27"/>
        <v>5.9359370704038561</v>
      </c>
      <c r="L312">
        <f t="shared" si="28"/>
        <v>0.92292689994499155</v>
      </c>
      <c r="M312">
        <f t="shared" si="29"/>
        <v>16.433394879023222</v>
      </c>
      <c r="Q312">
        <v>302</v>
      </c>
      <c r="R312">
        <v>16.433394879023222</v>
      </c>
    </row>
    <row r="313" spans="7:18">
      <c r="G313">
        <v>303</v>
      </c>
      <c r="H313">
        <f t="shared" si="24"/>
        <v>222</v>
      </c>
      <c r="I313">
        <f t="shared" si="25"/>
        <v>218.95890410958904</v>
      </c>
      <c r="J313">
        <f t="shared" si="26"/>
        <v>9.6513631306608314</v>
      </c>
      <c r="K313">
        <f t="shared" si="27"/>
        <v>5.8553065167114129</v>
      </c>
      <c r="L313">
        <f t="shared" si="28"/>
        <v>0.94314422189375124</v>
      </c>
      <c r="M313">
        <f t="shared" si="29"/>
        <v>16.449813869265995</v>
      </c>
      <c r="Q313">
        <v>303</v>
      </c>
      <c r="R313">
        <v>16.449813869265995</v>
      </c>
    </row>
    <row r="314" spans="7:18">
      <c r="G314">
        <v>304</v>
      </c>
      <c r="H314">
        <f t="shared" si="24"/>
        <v>223</v>
      </c>
      <c r="I314">
        <f t="shared" si="25"/>
        <v>219.94520547945206</v>
      </c>
      <c r="J314">
        <f t="shared" si="26"/>
        <v>9.716756571343149</v>
      </c>
      <c r="K314">
        <f t="shared" si="27"/>
        <v>5.7729409093301989</v>
      </c>
      <c r="L314">
        <f t="shared" si="28"/>
        <v>0.96308206985484546</v>
      </c>
      <c r="M314">
        <f t="shared" si="29"/>
        <v>16.452779550528192</v>
      </c>
      <c r="Q314">
        <v>304</v>
      </c>
      <c r="R314">
        <v>16.452779550528192</v>
      </c>
    </row>
    <row r="315" spans="7:18">
      <c r="G315">
        <v>305</v>
      </c>
      <c r="H315">
        <f t="shared" si="24"/>
        <v>224</v>
      </c>
      <c r="I315">
        <f t="shared" si="25"/>
        <v>220.93150684931504</v>
      </c>
      <c r="J315">
        <f t="shared" si="26"/>
        <v>9.7706337265121732</v>
      </c>
      <c r="K315">
        <f t="shared" si="27"/>
        <v>5.6888646549672863</v>
      </c>
      <c r="L315">
        <f t="shared" si="28"/>
        <v>0.98273453581362702</v>
      </c>
      <c r="M315">
        <f t="shared" si="29"/>
        <v>16.442232917293087</v>
      </c>
      <c r="Q315">
        <v>305</v>
      </c>
      <c r="R315">
        <v>16.442232917293087</v>
      </c>
    </row>
    <row r="316" spans="7:18">
      <c r="G316">
        <v>306</v>
      </c>
      <c r="H316">
        <f t="shared" si="24"/>
        <v>225</v>
      </c>
      <c r="I316">
        <f t="shared" si="25"/>
        <v>221.91780821917806</v>
      </c>
      <c r="J316">
        <f t="shared" si="26"/>
        <v>9.8129307410433029</v>
      </c>
      <c r="K316">
        <f t="shared" si="27"/>
        <v>5.60310266723135</v>
      </c>
      <c r="L316">
        <f t="shared" si="28"/>
        <v>1.0020957963202994</v>
      </c>
      <c r="M316">
        <f t="shared" si="29"/>
        <v>16.418129204594955</v>
      </c>
      <c r="Q316">
        <v>306</v>
      </c>
      <c r="R316">
        <v>16.418129204594955</v>
      </c>
    </row>
    <row r="317" spans="7:18">
      <c r="G317">
        <v>307</v>
      </c>
      <c r="H317">
        <f t="shared" si="24"/>
        <v>226</v>
      </c>
      <c r="I317">
        <f t="shared" si="25"/>
        <v>222.90410958904107</v>
      </c>
      <c r="J317">
        <f t="shared" si="26"/>
        <v>9.8435974845774936</v>
      </c>
      <c r="K317">
        <f t="shared" si="27"/>
        <v>5.5156803592502506</v>
      </c>
      <c r="L317">
        <f t="shared" si="28"/>
        <v>1.021160114215524</v>
      </c>
      <c r="M317">
        <f t="shared" si="29"/>
        <v>16.380437958043267</v>
      </c>
      <c r="Q317">
        <v>307</v>
      </c>
      <c r="R317">
        <v>16.380437958043267</v>
      </c>
    </row>
    <row r="318" spans="7:18">
      <c r="G318">
        <v>308</v>
      </c>
      <c r="H318">
        <f t="shared" si="24"/>
        <v>227</v>
      </c>
      <c r="I318">
        <f t="shared" si="25"/>
        <v>223.89041095890408</v>
      </c>
      <c r="J318">
        <f t="shared" si="26"/>
        <v>9.8625976109356746</v>
      </c>
      <c r="K318">
        <f t="shared" si="27"/>
        <v>5.4266236361405795</v>
      </c>
      <c r="L318">
        <f t="shared" si="28"/>
        <v>1.0399218403304653</v>
      </c>
      <c r="M318">
        <f t="shared" si="29"/>
        <v>16.32914308740672</v>
      </c>
      <c r="Q318">
        <v>308</v>
      </c>
      <c r="R318">
        <v>16.32914308740672</v>
      </c>
    </row>
    <row r="319" spans="7:18">
      <c r="G319">
        <v>309</v>
      </c>
      <c r="H319">
        <f t="shared" si="24"/>
        <v>228</v>
      </c>
      <c r="I319">
        <f t="shared" si="25"/>
        <v>224.8767123287671</v>
      </c>
      <c r="J319">
        <f t="shared" si="26"/>
        <v>9.8699086011961956</v>
      </c>
      <c r="K319">
        <f t="shared" si="27"/>
        <v>5.3359588873313841</v>
      </c>
      <c r="L319">
        <f t="shared" si="28"/>
        <v>1.0583754151607661</v>
      </c>
      <c r="M319">
        <f t="shared" si="29"/>
        <v>16.264242903688348</v>
      </c>
      <c r="Q319">
        <v>309</v>
      </c>
      <c r="R319">
        <v>16.264242903688348</v>
      </c>
    </row>
    <row r="320" spans="7:18">
      <c r="G320">
        <v>310</v>
      </c>
      <c r="H320">
        <f t="shared" si="24"/>
        <v>229</v>
      </c>
      <c r="I320">
        <f t="shared" si="25"/>
        <v>225.86301369863011</v>
      </c>
      <c r="J320">
        <f t="shared" si="26"/>
        <v>9.8655217903842161</v>
      </c>
      <c r="K320">
        <f t="shared" si="27"/>
        <v>5.2437129787444512</v>
      </c>
      <c r="L320">
        <f t="shared" si="28"/>
        <v>1.0765153705139423</v>
      </c>
      <c r="M320">
        <f t="shared" si="29"/>
        <v>16.185750139642611</v>
      </c>
      <c r="Q320">
        <v>310</v>
      </c>
      <c r="R320">
        <v>16.185750139642611</v>
      </c>
    </row>
    <row r="321" spans="7:18">
      <c r="G321">
        <v>311</v>
      </c>
      <c r="H321">
        <f t="shared" si="24"/>
        <v>230</v>
      </c>
      <c r="I321">
        <f t="shared" si="25"/>
        <v>226.84931506849313</v>
      </c>
      <c r="J321">
        <f t="shared" si="26"/>
        <v>9.8494423777414202</v>
      </c>
      <c r="K321">
        <f t="shared" si="27"/>
        <v>5.1499132448333187</v>
      </c>
      <c r="L321">
        <f t="shared" si="28"/>
        <v>1.0943363311297309</v>
      </c>
      <c r="M321">
        <f t="shared" si="29"/>
        <v>16.093691953704472</v>
      </c>
      <c r="Q321">
        <v>311</v>
      </c>
      <c r="R321">
        <v>16.093691953704472</v>
      </c>
    </row>
    <row r="322" spans="7:18">
      <c r="G322">
        <v>312</v>
      </c>
      <c r="H322">
        <f t="shared" si="24"/>
        <v>231</v>
      </c>
      <c r="I322">
        <f t="shared" si="25"/>
        <v>227.83561643835614</v>
      </c>
      <c r="J322">
        <f t="shared" si="26"/>
        <v>9.8216894205638852</v>
      </c>
      <c r="K322">
        <f t="shared" si="27"/>
        <v>5.0545874804835176</v>
      </c>
      <c r="L322">
        <f t="shared" si="28"/>
        <v>1.1118330162728927</v>
      </c>
      <c r="M322">
        <f t="shared" si="29"/>
        <v>15.988109917320296</v>
      </c>
      <c r="Q322">
        <v>312</v>
      </c>
      <c r="R322">
        <v>15.988109917320296</v>
      </c>
    </row>
    <row r="323" spans="7:18">
      <c r="G323">
        <v>313</v>
      </c>
      <c r="H323">
        <f t="shared" si="24"/>
        <v>232</v>
      </c>
      <c r="I323">
        <f t="shared" si="25"/>
        <v>228.82191780821915</v>
      </c>
      <c r="J323">
        <f t="shared" si="26"/>
        <v>9.7822958116153984</v>
      </c>
      <c r="K323">
        <f t="shared" si="27"/>
        <v>4.9577639327763103</v>
      </c>
      <c r="L323">
        <f t="shared" si="28"/>
        <v>1.129000241298012</v>
      </c>
      <c r="M323">
        <f t="shared" si="29"/>
        <v>15.86905998568972</v>
      </c>
      <c r="Q323">
        <v>313</v>
      </c>
      <c r="R323">
        <v>15.86905998568972</v>
      </c>
    </row>
    <row r="324" spans="7:18">
      <c r="G324">
        <v>314</v>
      </c>
      <c r="H324">
        <f t="shared" si="24"/>
        <v>233</v>
      </c>
      <c r="I324">
        <f t="shared" si="25"/>
        <v>229.80821917808217</v>
      </c>
      <c r="J324">
        <f t="shared" si="26"/>
        <v>9.7313082401430062</v>
      </c>
      <c r="K324">
        <f t="shared" si="27"/>
        <v>4.8594712926185162</v>
      </c>
      <c r="L324">
        <f t="shared" si="28"/>
        <v>1.1458329191858134</v>
      </c>
      <c r="M324">
        <f t="shared" si="29"/>
        <v>15.736612451947337</v>
      </c>
      <c r="Q324">
        <v>314</v>
      </c>
      <c r="R324">
        <v>15.736612451947337</v>
      </c>
    </row>
    <row r="325" spans="7:18">
      <c r="G325">
        <v>315</v>
      </c>
      <c r="H325">
        <f t="shared" si="24"/>
        <v>234</v>
      </c>
      <c r="I325">
        <f t="shared" si="25"/>
        <v>230.79452054794518</v>
      </c>
      <c r="J325">
        <f t="shared" si="26"/>
        <v>9.6687871365409901</v>
      </c>
      <c r="K325">
        <f t="shared" si="27"/>
        <v>4.759738686240742</v>
      </c>
      <c r="L325">
        <f t="shared" si="28"/>
        <v>1.16232606205056</v>
      </c>
      <c r="M325">
        <f t="shared" si="29"/>
        <v>15.590851884832293</v>
      </c>
      <c r="Q325">
        <v>315</v>
      </c>
      <c r="R325">
        <v>15.590851884832293</v>
      </c>
    </row>
    <row r="326" spans="7:18">
      <c r="G326">
        <v>316</v>
      </c>
      <c r="H326">
        <f t="shared" si="24"/>
        <v>235</v>
      </c>
      <c r="I326">
        <f t="shared" si="25"/>
        <v>231.7808219178082</v>
      </c>
      <c r="J326">
        <f t="shared" si="26"/>
        <v>9.5948066007288375</v>
      </c>
      <c r="K326">
        <f t="shared" si="27"/>
        <v>4.6585956665666552</v>
      </c>
      <c r="L326">
        <f t="shared" si="28"/>
        <v>1.1784747826180708</v>
      </c>
      <c r="M326">
        <f t="shared" si="29"/>
        <v>15.431877049913563</v>
      </c>
      <c r="Q326">
        <v>316</v>
      </c>
      <c r="R326">
        <v>15.431877049913563</v>
      </c>
    </row>
    <row r="327" spans="7:18">
      <c r="G327">
        <v>317</v>
      </c>
      <c r="H327">
        <f t="shared" si="24"/>
        <v>236</v>
      </c>
      <c r="I327">
        <f t="shared" si="25"/>
        <v>232.76712328767121</v>
      </c>
      <c r="J327">
        <f t="shared" si="26"/>
        <v>9.5094543143281509</v>
      </c>
      <c r="K327">
        <f t="shared" si="27"/>
        <v>4.5560722044558357</v>
      </c>
      <c r="L327">
        <f t="shared" si="28"/>
        <v>1.1942742956739232</v>
      </c>
      <c r="M327">
        <f t="shared" si="29"/>
        <v>15.259800814457909</v>
      </c>
      <c r="Q327">
        <v>317</v>
      </c>
      <c r="R327">
        <v>15.259800814457909</v>
      </c>
    </row>
    <row r="328" spans="7:18">
      <c r="G328">
        <v>318</v>
      </c>
      <c r="H328">
        <f t="shared" si="24"/>
        <v>237</v>
      </c>
      <c r="I328">
        <f t="shared" si="25"/>
        <v>233.75342465753423</v>
      </c>
      <c r="J328">
        <f t="shared" si="26"/>
        <v>9.412831436742497</v>
      </c>
      <c r="K328">
        <f t="shared" si="27"/>
        <v>4.4521986798227449</v>
      </c>
      <c r="L328">
        <f t="shared" si="28"/>
        <v>1.209719919481417</v>
      </c>
      <c r="M328">
        <f t="shared" si="29"/>
        <v>15.074750036046659</v>
      </c>
      <c r="Q328">
        <v>318</v>
      </c>
      <c r="R328">
        <v>15.074750036046659</v>
      </c>
    </row>
    <row r="329" spans="7:18">
      <c r="G329">
        <v>319</v>
      </c>
      <c r="H329">
        <f t="shared" si="24"/>
        <v>238</v>
      </c>
      <c r="I329">
        <f t="shared" si="25"/>
        <v>234.73972602739724</v>
      </c>
      <c r="J329">
        <f t="shared" si="26"/>
        <v>9.3050524852634542</v>
      </c>
      <c r="K329">
        <f t="shared" si="27"/>
        <v>4.3470058726345107</v>
      </c>
      <c r="L329">
        <f t="shared" si="28"/>
        <v>1.2248070771688737</v>
      </c>
      <c r="M329">
        <f t="shared" si="29"/>
        <v>14.876865435066838</v>
      </c>
      <c r="Q329">
        <v>319</v>
      </c>
      <c r="R329">
        <v>14.876865435066838</v>
      </c>
    </row>
    <row r="330" spans="7:18">
      <c r="G330">
        <v>320</v>
      </c>
      <c r="H330">
        <f t="shared" si="24"/>
        <v>239</v>
      </c>
      <c r="I330">
        <f t="shared" si="25"/>
        <v>235.72602739726025</v>
      </c>
      <c r="J330">
        <f t="shared" si="26"/>
        <v>9.1862451993448584</v>
      </c>
      <c r="K330">
        <f t="shared" si="27"/>
        <v>4.2405249537901391</v>
      </c>
      <c r="L330">
        <f t="shared" si="28"/>
        <v>1.2395312980858639</v>
      </c>
      <c r="M330">
        <f t="shared" si="29"/>
        <v>14.66630145122086</v>
      </c>
      <c r="Q330">
        <v>320</v>
      </c>
      <c r="R330">
        <v>14.66630145122086</v>
      </c>
    </row>
    <row r="331" spans="7:18">
      <c r="G331">
        <v>321</v>
      </c>
      <c r="H331">
        <f t="shared" si="24"/>
        <v>240</v>
      </c>
      <c r="I331">
        <f t="shared" si="25"/>
        <v>236.71232876712327</v>
      </c>
      <c r="J331">
        <f t="shared" si="26"/>
        <v>9.0565503892062225</v>
      </c>
      <c r="K331">
        <f t="shared" si="27"/>
        <v>4.1327874758839407</v>
      </c>
      <c r="L331">
        <f t="shared" si="28"/>
        <v>1.2538882191279548</v>
      </c>
      <c r="M331">
        <f t="shared" si="29"/>
        <v>14.443226084218118</v>
      </c>
      <c r="Q331">
        <v>321</v>
      </c>
      <c r="R331">
        <v>14.443226084218118</v>
      </c>
    </row>
    <row r="332" spans="7:18">
      <c r="G332">
        <v>322</v>
      </c>
      <c r="H332">
        <f t="shared" ref="H332:H375" si="30">G332-81</f>
        <v>241</v>
      </c>
      <c r="I332">
        <f t="shared" ref="I332:I375" si="31">(360/365)*H332</f>
        <v>237.69863013698628</v>
      </c>
      <c r="J332">
        <f t="shared" ref="J332:J375" si="32">9.87*SIN(2*PI()*I332/180)</f>
        <v>8.9161217689446381</v>
      </c>
      <c r="K332">
        <f t="shared" ref="K332:K375" si="33">-7.53*COS(I332*PI()/180)</f>
        <v>4.0238253638557744</v>
      </c>
      <c r="L332">
        <f t="shared" ref="L332:L375" si="34">-1.5*SIN(I332*PI()/180)</f>
        <v>1.2678735860295944</v>
      </c>
      <c r="M332">
        <f t="shared" ref="M332:M375" si="35">J332+K332+L332</f>
        <v>14.207820718830007</v>
      </c>
      <c r="Q332">
        <v>322</v>
      </c>
      <c r="R332">
        <v>14.207820718830007</v>
      </c>
    </row>
    <row r="333" spans="7:18">
      <c r="G333">
        <v>323</v>
      </c>
      <c r="H333">
        <f t="shared" si="30"/>
        <v>242</v>
      </c>
      <c r="I333">
        <f t="shared" si="31"/>
        <v>238.6849315068493</v>
      </c>
      <c r="J333">
        <f t="shared" si="32"/>
        <v>8.7651257743531055</v>
      </c>
      <c r="K333">
        <f t="shared" si="33"/>
        <v>3.9136709055310384</v>
      </c>
      <c r="L333">
        <f t="shared" si="34"/>
        <v>1.2814832546247397</v>
      </c>
      <c r="M333">
        <f t="shared" si="35"/>
        <v>13.960279934508883</v>
      </c>
      <c r="Q333">
        <v>323</v>
      </c>
      <c r="R333">
        <v>13.960279934508883</v>
      </c>
    </row>
    <row r="334" spans="7:18">
      <c r="G334">
        <v>324</v>
      </c>
      <c r="H334">
        <f t="shared" si="30"/>
        <v>243</v>
      </c>
      <c r="I334">
        <f t="shared" si="31"/>
        <v>239.67123287671231</v>
      </c>
      <c r="J334">
        <f t="shared" si="32"/>
        <v>8.603741365661012</v>
      </c>
      <c r="K334">
        <f t="shared" si="33"/>
        <v>3.8023567420530529</v>
      </c>
      <c r="L334">
        <f t="shared" si="34"/>
        <v>1.2947131920748667</v>
      </c>
      <c r="M334">
        <f t="shared" si="35"/>
        <v>13.700811299788931</v>
      </c>
      <c r="Q334">
        <v>324</v>
      </c>
      <c r="R334">
        <v>13.700811299788931</v>
      </c>
    </row>
    <row r="335" spans="7:18">
      <c r="G335">
        <v>325</v>
      </c>
      <c r="H335">
        <f t="shared" si="30"/>
        <v>244</v>
      </c>
      <c r="I335">
        <f t="shared" si="31"/>
        <v>240.65753424657532</v>
      </c>
      <c r="J335">
        <f t="shared" si="32"/>
        <v>8.4321598154307935</v>
      </c>
      <c r="K335">
        <f t="shared" si="33"/>
        <v>3.6899158582108176</v>
      </c>
      <c r="L335">
        <f t="shared" si="34"/>
        <v>1.3075594780639825</v>
      </c>
      <c r="M335">
        <f t="shared" si="35"/>
        <v>13.429635151705593</v>
      </c>
      <c r="Q335">
        <v>325</v>
      </c>
      <c r="R335">
        <v>13.429635151705593</v>
      </c>
    </row>
    <row r="336" spans="7:18">
      <c r="G336">
        <v>326</v>
      </c>
      <c r="H336">
        <f t="shared" si="30"/>
        <v>245</v>
      </c>
      <c r="I336">
        <f t="shared" si="31"/>
        <v>241.64383561643834</v>
      </c>
      <c r="J336">
        <f t="shared" si="32"/>
        <v>8.250584481861944</v>
      </c>
      <c r="K336">
        <f t="shared" si="33"/>
        <v>3.576381572664888</v>
      </c>
      <c r="L336">
        <f t="shared" si="34"/>
        <v>1.3200183059603035</v>
      </c>
      <c r="M336">
        <f t="shared" si="35"/>
        <v>13.146984360487135</v>
      </c>
      <c r="Q336">
        <v>326</v>
      </c>
      <c r="R336">
        <v>13.146984360487135</v>
      </c>
    </row>
    <row r="337" spans="7:18">
      <c r="G337">
        <v>327</v>
      </c>
      <c r="H337">
        <f t="shared" si="30"/>
        <v>246</v>
      </c>
      <c r="I337">
        <f t="shared" si="31"/>
        <v>242.63013698630135</v>
      </c>
      <c r="J337">
        <f t="shared" si="32"/>
        <v>8.0592305677711948</v>
      </c>
      <c r="K337">
        <f t="shared" si="33"/>
        <v>3.4617875280743475</v>
      </c>
      <c r="L337">
        <f t="shared" si="34"/>
        <v>1.3320859839442396</v>
      </c>
      <c r="M337">
        <f t="shared" si="35"/>
        <v>12.853104079789782</v>
      </c>
      <c r="Q337">
        <v>327</v>
      </c>
      <c r="R337">
        <v>12.853104079789782</v>
      </c>
    </row>
    <row r="338" spans="7:18">
      <c r="G338">
        <v>328</v>
      </c>
      <c r="H338">
        <f t="shared" si="30"/>
        <v>247</v>
      </c>
      <c r="I338">
        <f t="shared" si="31"/>
        <v>243.61643835616437</v>
      </c>
      <c r="J338">
        <f t="shared" si="32"/>
        <v>7.8583248655344162</v>
      </c>
      <c r="K338">
        <f t="shared" si="33"/>
        <v>3.346167681127739</v>
      </c>
      <c r="L338">
        <f t="shared" si="34"/>
        <v>1.3437589361023634</v>
      </c>
      <c r="M338">
        <f t="shared" si="35"/>
        <v>12.548251482764519</v>
      </c>
      <c r="Q338">
        <v>328</v>
      </c>
      <c r="R338">
        <v>12.548251482764519</v>
      </c>
    </row>
    <row r="339" spans="7:18">
      <c r="G339">
        <v>329</v>
      </c>
      <c r="H339">
        <f t="shared" si="30"/>
        <v>248</v>
      </c>
      <c r="I339">
        <f t="shared" si="31"/>
        <v>244.60273972602738</v>
      </c>
      <c r="J339">
        <f t="shared" si="32"/>
        <v>7.648105488292698</v>
      </c>
      <c r="K339">
        <f t="shared" si="33"/>
        <v>3.2295562924810053</v>
      </c>
      <c r="L339">
        <f t="shared" si="34"/>
        <v>1.3550337034870261</v>
      </c>
      <c r="M339">
        <f t="shared" si="35"/>
        <v>12.232695484260729</v>
      </c>
      <c r="Q339">
        <v>329</v>
      </c>
      <c r="R339">
        <v>12.232695484260729</v>
      </c>
    </row>
    <row r="340" spans="7:18">
      <c r="G340">
        <v>330</v>
      </c>
      <c r="H340">
        <f t="shared" si="30"/>
        <v>249</v>
      </c>
      <c r="I340">
        <f t="shared" si="31"/>
        <v>245.58904109589039</v>
      </c>
      <c r="J340">
        <f t="shared" si="32"/>
        <v>7.428821587740936</v>
      </c>
      <c r="K340">
        <f t="shared" si="33"/>
        <v>3.1119879166052762</v>
      </c>
      <c r="L340">
        <f t="shared" si="34"/>
        <v>1.3659069451413237</v>
      </c>
      <c r="M340">
        <f t="shared" si="35"/>
        <v>11.906716449487536</v>
      </c>
      <c r="Q340">
        <v>330</v>
      </c>
      <c r="R340">
        <v>11.906716449487536</v>
      </c>
    </row>
    <row r="341" spans="7:18">
      <c r="G341">
        <v>331</v>
      </c>
      <c r="H341">
        <f t="shared" si="30"/>
        <v>250</v>
      </c>
      <c r="I341">
        <f t="shared" si="31"/>
        <v>246.57534246575341</v>
      </c>
      <c r="J341">
        <f t="shared" si="32"/>
        <v>7.2007330588336416</v>
      </c>
      <c r="K341">
        <f t="shared" si="33"/>
        <v>2.9934973915476513</v>
      </c>
      <c r="L341">
        <f t="shared" si="34"/>
        <v>1.3763754390890901</v>
      </c>
      <c r="M341">
        <f t="shared" si="35"/>
        <v>11.570605889470382</v>
      </c>
      <c r="Q341">
        <v>331</v>
      </c>
      <c r="R341">
        <v>11.570605889470382</v>
      </c>
    </row>
    <row r="342" spans="7:18">
      <c r="G342">
        <v>332</v>
      </c>
      <c r="H342">
        <f t="shared" si="30"/>
        <v>251</v>
      </c>
      <c r="I342">
        <f t="shared" si="31"/>
        <v>247.56164383561642</v>
      </c>
      <c r="J342">
        <f t="shared" si="32"/>
        <v>6.96411023175785</v>
      </c>
      <c r="K342">
        <f t="shared" si="33"/>
        <v>2.8741198286079457</v>
      </c>
      <c r="L342">
        <f t="shared" si="34"/>
        <v>1.3864360832896396</v>
      </c>
      <c r="M342">
        <f t="shared" si="35"/>
        <v>11.224666143655435</v>
      </c>
      <c r="Q342">
        <v>332</v>
      </c>
      <c r="R342">
        <v>11.224666143655435</v>
      </c>
    </row>
    <row r="343" spans="7:18">
      <c r="G343">
        <v>333</v>
      </c>
      <c r="H343">
        <f t="shared" si="30"/>
        <v>252</v>
      </c>
      <c r="I343">
        <f t="shared" si="31"/>
        <v>248.54794520547944</v>
      </c>
      <c r="J343">
        <f t="shared" si="32"/>
        <v>6.7192335515381512</v>
      </c>
      <c r="K343">
        <f t="shared" si="33"/>
        <v>2.7538906019344371</v>
      </c>
      <c r="L343">
        <f t="shared" si="34"/>
        <v>1.3960858965569689</v>
      </c>
      <c r="M343">
        <f t="shared" si="35"/>
        <v>10.869210050029556</v>
      </c>
      <c r="Q343">
        <v>333</v>
      </c>
      <c r="R343">
        <v>10.869210050029556</v>
      </c>
    </row>
    <row r="344" spans="7:18">
      <c r="G344">
        <v>334</v>
      </c>
      <c r="H344">
        <f t="shared" si="30"/>
        <v>253</v>
      </c>
      <c r="I344">
        <f t="shared" si="31"/>
        <v>249.53424657534245</v>
      </c>
      <c r="J344">
        <f t="shared" si="32"/>
        <v>6.4663932456536788</v>
      </c>
      <c r="K344">
        <f t="shared" si="33"/>
        <v>2.6328453380417551</v>
      </c>
      <c r="L344">
        <f t="shared" si="34"/>
        <v>1.4053220194431471</v>
      </c>
      <c r="M344">
        <f t="shared" si="35"/>
        <v>10.504560603138582</v>
      </c>
      <c r="Q344">
        <v>334</v>
      </c>
      <c r="R344">
        <v>10.504560603138582</v>
      </c>
    </row>
    <row r="345" spans="7:18">
      <c r="G345">
        <v>335</v>
      </c>
      <c r="H345">
        <f t="shared" si="30"/>
        <v>254</v>
      </c>
      <c r="I345">
        <f t="shared" si="31"/>
        <v>250.52054794520546</v>
      </c>
      <c r="J345">
        <f t="shared" si="32"/>
        <v>6.2058889800608901</v>
      </c>
      <c r="K345">
        <f t="shared" si="33"/>
        <v>2.5110199052539484</v>
      </c>
      <c r="L345">
        <f t="shared" si="34"/>
        <v>1.414141715085631</v>
      </c>
      <c r="M345">
        <f t="shared" si="35"/>
        <v>10.131050600400469</v>
      </c>
      <c r="Q345">
        <v>335</v>
      </c>
      <c r="R345">
        <v>10.131050600400469</v>
      </c>
    </row>
    <row r="346" spans="7:18">
      <c r="G346">
        <v>336</v>
      </c>
      <c r="H346">
        <f t="shared" si="30"/>
        <v>255</v>
      </c>
      <c r="I346">
        <f t="shared" si="31"/>
        <v>251.50684931506848</v>
      </c>
      <c r="J346">
        <f t="shared" si="32"/>
        <v>5.9380295040299833</v>
      </c>
      <c r="K346">
        <f t="shared" si="33"/>
        <v>2.3884504030759679</v>
      </c>
      <c r="L346">
        <f t="shared" si="34"/>
        <v>1.4225423700182573</v>
      </c>
      <c r="M346">
        <f t="shared" si="35"/>
        <v>9.7490222771242099</v>
      </c>
      <c r="Q346">
        <v>336</v>
      </c>
      <c r="R346">
        <v>9.7490222771242099</v>
      </c>
    </row>
    <row r="347" spans="7:18">
      <c r="G347">
        <v>337</v>
      </c>
      <c r="H347">
        <f t="shared" si="30"/>
        <v>256</v>
      </c>
      <c r="I347">
        <f t="shared" si="31"/>
        <v>252.49315068493149</v>
      </c>
      <c r="J347">
        <f t="shared" si="32"/>
        <v>5.6631322842156919</v>
      </c>
      <c r="K347">
        <f t="shared" si="33"/>
        <v>2.2651731514965801</v>
      </c>
      <c r="L347">
        <f t="shared" si="34"/>
        <v>1.4305214949456682</v>
      </c>
      <c r="M347">
        <f t="shared" si="35"/>
        <v>9.3588269306579406</v>
      </c>
      <c r="Q347">
        <v>337</v>
      </c>
      <c r="R347">
        <v>9.3588269306579406</v>
      </c>
    </row>
    <row r="348" spans="7:18">
      <c r="G348">
        <v>338</v>
      </c>
      <c r="H348">
        <f t="shared" si="30"/>
        <v>257</v>
      </c>
      <c r="I348">
        <f t="shared" si="31"/>
        <v>253.47945205479451</v>
      </c>
      <c r="J348">
        <f t="shared" si="32"/>
        <v>5.3815231283962408</v>
      </c>
      <c r="K348">
        <f t="shared" si="33"/>
        <v>2.1412246802259638</v>
      </c>
      <c r="L348">
        <f t="shared" si="34"/>
        <v>1.4380767254809441</v>
      </c>
      <c r="M348">
        <f t="shared" si="35"/>
        <v>8.9608245341031481</v>
      </c>
      <c r="Q348">
        <v>338</v>
      </c>
      <c r="R348">
        <v>8.9608245341031481</v>
      </c>
    </row>
    <row r="349" spans="7:18">
      <c r="G349">
        <v>339</v>
      </c>
      <c r="H349">
        <f t="shared" si="30"/>
        <v>258</v>
      </c>
      <c r="I349">
        <f t="shared" si="31"/>
        <v>254.46575342465752</v>
      </c>
      <c r="J349">
        <f t="shared" si="32"/>
        <v>5.0935357993264772</v>
      </c>
      <c r="K349">
        <f t="shared" si="33"/>
        <v>2.0166417178711766</v>
      </c>
      <c r="L349">
        <f t="shared" si="34"/>
        <v>1.4452058228462228</v>
      </c>
      <c r="M349">
        <f t="shared" si="35"/>
        <v>8.5553833400438766</v>
      </c>
      <c r="Q349">
        <v>339</v>
      </c>
      <c r="R349">
        <v>8.5553833400438766</v>
      </c>
    </row>
    <row r="350" spans="7:18">
      <c r="G350">
        <v>340</v>
      </c>
      <c r="H350">
        <f t="shared" si="30"/>
        <v>259</v>
      </c>
      <c r="I350">
        <f t="shared" si="31"/>
        <v>255.45205479452054</v>
      </c>
      <c r="J350">
        <f t="shared" si="32"/>
        <v>4.799511619162776</v>
      </c>
      <c r="K350">
        <f t="shared" si="33"/>
        <v>1.8914611810526913</v>
      </c>
      <c r="L350">
        <f t="shared" si="34"/>
        <v>1.451906674536096</v>
      </c>
      <c r="M350">
        <f t="shared" si="35"/>
        <v>8.1428794747515632</v>
      </c>
      <c r="Q350">
        <v>340</v>
      </c>
      <c r="R350">
        <v>8.1428794747515632</v>
      </c>
    </row>
    <row r="351" spans="7:18">
      <c r="G351">
        <v>341</v>
      </c>
      <c r="H351">
        <f t="shared" si="30"/>
        <v>260</v>
      </c>
      <c r="I351">
        <f t="shared" si="31"/>
        <v>256.43835616438355</v>
      </c>
      <c r="J351">
        <f t="shared" si="32"/>
        <v>4.499799064928486</v>
      </c>
      <c r="K351">
        <f t="shared" si="33"/>
        <v>1.7657201634651847</v>
      </c>
      <c r="L351">
        <f t="shared" si="34"/>
        <v>1.4581772949435918</v>
      </c>
      <c r="M351">
        <f t="shared" si="35"/>
        <v>7.7236965233372619</v>
      </c>
      <c r="Q351">
        <v>341</v>
      </c>
      <c r="R351">
        <v>7.7236965233372619</v>
      </c>
    </row>
    <row r="352" spans="7:18">
      <c r="G352">
        <v>342</v>
      </c>
      <c r="H352">
        <f t="shared" si="30"/>
        <v>261</v>
      </c>
      <c r="I352">
        <f t="shared" si="31"/>
        <v>257.42465753424653</v>
      </c>
      <c r="J352">
        <f t="shared" si="32"/>
        <v>4.1947533554995209</v>
      </c>
      <c r="K352">
        <f t="shared" si="33"/>
        <v>1.6394559248858942</v>
      </c>
      <c r="L352">
        <f t="shared" si="34"/>
        <v>1.4640158259485521</v>
      </c>
      <c r="M352">
        <f t="shared" si="35"/>
        <v>7.2982251063339669</v>
      </c>
      <c r="Q352">
        <v>342</v>
      </c>
      <c r="R352">
        <v>7.2982251063339669</v>
      </c>
    </row>
    <row r="353" spans="7:18">
      <c r="G353">
        <v>343</v>
      </c>
      <c r="H353">
        <f t="shared" si="30"/>
        <v>262</v>
      </c>
      <c r="I353">
        <f t="shared" si="31"/>
        <v>258.41095890410958</v>
      </c>
      <c r="J353">
        <f t="shared" si="32"/>
        <v>3.8847360305993286</v>
      </c>
      <c r="K353">
        <f t="shared" si="33"/>
        <v>1.5127058801336837</v>
      </c>
      <c r="L353">
        <f t="shared" si="34"/>
        <v>1.4694205374682352</v>
      </c>
      <c r="M353">
        <f t="shared" si="35"/>
        <v>6.8668624482012479</v>
      </c>
      <c r="Q353">
        <v>343</v>
      </c>
      <c r="R353">
        <v>6.8668624482012479</v>
      </c>
    </row>
    <row r="354" spans="7:18">
      <c r="G354">
        <v>344</v>
      </c>
      <c r="H354">
        <f t="shared" si="30"/>
        <v>263</v>
      </c>
      <c r="I354">
        <f t="shared" si="31"/>
        <v>259.39726027397256</v>
      </c>
      <c r="J354">
        <f t="shared" si="32"/>
        <v>3.5701145223028168</v>
      </c>
      <c r="K354">
        <f t="shared" si="33"/>
        <v>1.385507587982336</v>
      </c>
      <c r="L354">
        <f t="shared" si="34"/>
        <v>1.4743898279699732</v>
      </c>
      <c r="M354">
        <f t="shared" si="35"/>
        <v>6.4300119382551255</v>
      </c>
      <c r="Q354">
        <v>344</v>
      </c>
      <c r="R354">
        <v>6.4300119382551255</v>
      </c>
    </row>
    <row r="355" spans="7:18">
      <c r="G355">
        <v>345</v>
      </c>
      <c r="H355">
        <f t="shared" si="30"/>
        <v>264</v>
      </c>
      <c r="I355">
        <f t="shared" si="31"/>
        <v>260.38356164383561</v>
      </c>
      <c r="J355">
        <f t="shared" si="32"/>
        <v>3.2512617195561173</v>
      </c>
      <c r="K355">
        <f t="shared" si="33"/>
        <v>1.2578987400309598</v>
      </c>
      <c r="L355">
        <f t="shared" si="34"/>
        <v>1.4789222249457454</v>
      </c>
      <c r="M355">
        <f t="shared" si="35"/>
        <v>5.9880826845328228</v>
      </c>
      <c r="Q355">
        <v>345</v>
      </c>
      <c r="R355">
        <v>5.9880826845328228</v>
      </c>
    </row>
    <row r="356" spans="7:18">
      <c r="G356">
        <v>346</v>
      </c>
      <c r="H356">
        <f t="shared" si="30"/>
        <v>265</v>
      </c>
      <c r="I356">
        <f t="shared" si="31"/>
        <v>261.36986301369859</v>
      </c>
      <c r="J356">
        <f t="shared" si="32"/>
        <v>2.9285555262293639</v>
      </c>
      <c r="K356">
        <f t="shared" si="33"/>
        <v>1.1299171495352407</v>
      </c>
      <c r="L356">
        <f t="shared" si="34"/>
        <v>1.4830163853485103</v>
      </c>
      <c r="M356">
        <f t="shared" si="35"/>
        <v>5.5414890611131149</v>
      </c>
      <c r="Q356">
        <v>346</v>
      </c>
      <c r="R356">
        <v>5.5414890611131149</v>
      </c>
    </row>
    <row r="357" spans="7:18">
      <c r="G357">
        <v>347</v>
      </c>
      <c r="H357">
        <f t="shared" si="30"/>
        <v>266</v>
      </c>
      <c r="I357">
        <f t="shared" si="31"/>
        <v>262.35616438356163</v>
      </c>
      <c r="J357">
        <f t="shared" si="32"/>
        <v>2.6023784132254404</v>
      </c>
      <c r="K357">
        <f t="shared" si="33"/>
        <v>1.0016007402024987</v>
      </c>
      <c r="L357">
        <f t="shared" si="34"/>
        <v>1.4866710959901819</v>
      </c>
      <c r="M357">
        <f t="shared" si="35"/>
        <v>5.0906502494181209</v>
      </c>
      <c r="Q357">
        <v>347</v>
      </c>
      <c r="R357">
        <v>5.0906502494181209</v>
      </c>
    </row>
    <row r="358" spans="7:18">
      <c r="G358">
        <v>348</v>
      </c>
      <c r="H358">
        <f t="shared" si="30"/>
        <v>267</v>
      </c>
      <c r="I358">
        <f t="shared" si="31"/>
        <v>263.34246575342462</v>
      </c>
      <c r="J358">
        <f t="shared" si="32"/>
        <v>2.273116965176162</v>
      </c>
      <c r="K358">
        <f t="shared" si="33"/>
        <v>0.87298753495412662</v>
      </c>
      <c r="L358">
        <f t="shared" si="34"/>
        <v>1.4898852739011212</v>
      </c>
      <c r="M358">
        <f t="shared" si="35"/>
        <v>4.63598977403141</v>
      </c>
      <c r="Q358">
        <v>348</v>
      </c>
      <c r="R358">
        <v>4.63598977403141</v>
      </c>
    </row>
    <row r="359" spans="7:18">
      <c r="G359">
        <v>349</v>
      </c>
      <c r="H359">
        <f t="shared" si="30"/>
        <v>268</v>
      </c>
      <c r="I359">
        <f t="shared" si="31"/>
        <v>264.32876712328766</v>
      </c>
      <c r="J359">
        <f t="shared" si="32"/>
        <v>1.9411614222626106</v>
      </c>
      <c r="K359">
        <f t="shared" si="33"/>
        <v>0.74411564465852698</v>
      </c>
      <c r="L359">
        <f t="shared" si="34"/>
        <v>1.4926579666510462</v>
      </c>
      <c r="M359">
        <f t="shared" si="35"/>
        <v>4.1779350335721839</v>
      </c>
      <c r="Q359">
        <v>349</v>
      </c>
      <c r="R359">
        <v>4.1779350335721839</v>
      </c>
    </row>
    <row r="360" spans="7:18">
      <c r="G360">
        <v>350</v>
      </c>
      <c r="H360">
        <f t="shared" si="30"/>
        <v>269</v>
      </c>
      <c r="I360">
        <f t="shared" si="31"/>
        <v>265.31506849315065</v>
      </c>
      <c r="J360">
        <f t="shared" si="32"/>
        <v>1.6069052177031837</v>
      </c>
      <c r="K360">
        <f t="shared" si="33"/>
        <v>0.61502325683809089</v>
      </c>
      <c r="L360">
        <f t="shared" si="34"/>
        <v>1.4949883526312551</v>
      </c>
      <c r="M360">
        <f t="shared" si="35"/>
        <v>3.7169168271725299</v>
      </c>
      <c r="Q360">
        <v>350</v>
      </c>
      <c r="R360">
        <v>3.7169168271725299</v>
      </c>
    </row>
    <row r="361" spans="7:18">
      <c r="G361">
        <v>351</v>
      </c>
      <c r="H361">
        <f t="shared" si="30"/>
        <v>270</v>
      </c>
      <c r="I361">
        <f t="shared" si="31"/>
        <v>266.30136986301369</v>
      </c>
      <c r="J361">
        <f t="shared" si="32"/>
        <v>1.2707445114569713</v>
      </c>
      <c r="K361">
        <f t="shared" si="33"/>
        <v>0.48574862435335137</v>
      </c>
      <c r="L361">
        <f t="shared" si="34"/>
        <v>1.4968757412980882</v>
      </c>
      <c r="M361">
        <f t="shared" si="35"/>
        <v>3.2533688771084108</v>
      </c>
      <c r="Q361">
        <v>351</v>
      </c>
      <c r="R361">
        <v>3.2533688771084108</v>
      </c>
    </row>
    <row r="362" spans="7:18">
      <c r="G362">
        <v>352</v>
      </c>
      <c r="H362">
        <f t="shared" si="30"/>
        <v>271</v>
      </c>
      <c r="I362">
        <f t="shared" si="31"/>
        <v>267.28767123287668</v>
      </c>
      <c r="J362">
        <f t="shared" si="32"/>
        <v>0.93307772069576644</v>
      </c>
      <c r="K362">
        <f t="shared" si="33"/>
        <v>0.3563300540679154</v>
      </c>
      <c r="L362">
        <f t="shared" si="34"/>
        <v>1.4983195733775503</v>
      </c>
      <c r="M362">
        <f t="shared" si="35"/>
        <v>2.7877273481412321</v>
      </c>
      <c r="Q362">
        <v>352</v>
      </c>
      <c r="R362">
        <v>2.7877273481412321</v>
      </c>
    </row>
    <row r="363" spans="7:18">
      <c r="G363">
        <v>353</v>
      </c>
      <c r="H363">
        <f t="shared" si="30"/>
        <v>272</v>
      </c>
      <c r="I363">
        <f t="shared" si="31"/>
        <v>268.27397260273972</v>
      </c>
      <c r="J363">
        <f t="shared" si="32"/>
        <v>0.5943050476003795</v>
      </c>
      <c r="K363">
        <f t="shared" si="33"/>
        <v>0.22680589549721997</v>
      </c>
      <c r="L363">
        <f t="shared" si="34"/>
        <v>1.4993194210310359</v>
      </c>
      <c r="M363">
        <f t="shared" si="35"/>
        <v>2.3204303641286352</v>
      </c>
      <c r="Q363">
        <v>353</v>
      </c>
      <c r="R363">
        <v>2.3204303641286352</v>
      </c>
    </row>
    <row r="364" spans="7:18">
      <c r="G364">
        <v>354</v>
      </c>
      <c r="H364">
        <f t="shared" si="30"/>
        <v>273</v>
      </c>
      <c r="I364">
        <f t="shared" si="31"/>
        <v>269.2602739726027</v>
      </c>
      <c r="J364">
        <f t="shared" si="32"/>
        <v>0.25482800504181469</v>
      </c>
      <c r="K364">
        <f t="shared" si="33"/>
        <v>9.7214529444823283E-2</v>
      </c>
      <c r="L364">
        <f t="shared" si="34"/>
        <v>1.4998749879821069</v>
      </c>
      <c r="M364">
        <f t="shared" si="35"/>
        <v>1.851917522468745</v>
      </c>
      <c r="Q364">
        <v>354</v>
      </c>
      <c r="R364">
        <v>1.851917522468745</v>
      </c>
    </row>
    <row r="365" spans="7:18">
      <c r="G365">
        <v>355</v>
      </c>
      <c r="H365">
        <f t="shared" si="30"/>
        <v>274</v>
      </c>
      <c r="I365">
        <f t="shared" si="31"/>
        <v>270.24657534246575</v>
      </c>
      <c r="J365">
        <f t="shared" si="32"/>
        <v>-8.4951059291348233E-2</v>
      </c>
      <c r="K365">
        <f t="shared" si="33"/>
        <v>-3.2405643370715977E-2</v>
      </c>
      <c r="L365">
        <f t="shared" si="34"/>
        <v>1.4999861096042852</v>
      </c>
      <c r="M365">
        <f t="shared" si="35"/>
        <v>1.3826294069422209</v>
      </c>
      <c r="Q365">
        <v>355</v>
      </c>
      <c r="R365">
        <v>1.3826294069422209</v>
      </c>
    </row>
    <row r="366" spans="7:18">
      <c r="G366">
        <v>356</v>
      </c>
      <c r="H366">
        <f t="shared" si="30"/>
        <v>275</v>
      </c>
      <c r="I366">
        <f t="shared" si="31"/>
        <v>271.23287671232873</v>
      </c>
      <c r="J366">
        <f t="shared" si="32"/>
        <v>-0.42462943975469891</v>
      </c>
      <c r="K366">
        <f t="shared" si="33"/>
        <v>-0.16201621369474672</v>
      </c>
      <c r="L366">
        <f t="shared" si="34"/>
        <v>1.4996527529698362</v>
      </c>
      <c r="M366">
        <f t="shared" si="35"/>
        <v>0.91300709952039061</v>
      </c>
      <c r="Q366">
        <v>356</v>
      </c>
      <c r="R366">
        <v>0.91300709952039061</v>
      </c>
    </row>
    <row r="367" spans="7:18">
      <c r="G367">
        <v>357</v>
      </c>
      <c r="H367">
        <f t="shared" si="30"/>
        <v>276</v>
      </c>
      <c r="I367">
        <f t="shared" si="31"/>
        <v>272.21917808219177</v>
      </c>
      <c r="J367">
        <f t="shared" si="32"/>
        <v>-0.76380455003427061</v>
      </c>
      <c r="K367">
        <f t="shared" si="33"/>
        <v>-0.29157877511807018</v>
      </c>
      <c r="L367">
        <f t="shared" si="34"/>
        <v>1.4988750168595253</v>
      </c>
      <c r="M367">
        <f t="shared" si="35"/>
        <v>0.4434916917071845</v>
      </c>
      <c r="Q367">
        <v>357</v>
      </c>
      <c r="R367">
        <v>0.4434916917071845</v>
      </c>
    </row>
    <row r="368" spans="7:18">
      <c r="G368">
        <v>358</v>
      </c>
      <c r="H368">
        <f t="shared" si="30"/>
        <v>277</v>
      </c>
      <c r="I368">
        <f t="shared" si="31"/>
        <v>273.20547945205476</v>
      </c>
      <c r="J368">
        <f t="shared" si="32"/>
        <v>-1.102074400291104</v>
      </c>
      <c r="K368">
        <f t="shared" si="33"/>
        <v>-0.42105493545753403</v>
      </c>
      <c r="L368">
        <f t="shared" si="34"/>
        <v>1.4976531317333466</v>
      </c>
      <c r="M368">
        <f t="shared" si="35"/>
        <v>-2.5476204015291604E-2</v>
      </c>
      <c r="Q368">
        <v>358</v>
      </c>
      <c r="R368">
        <v>-2.5476204015291604E-2</v>
      </c>
    </row>
    <row r="369" spans="7:18">
      <c r="G369">
        <v>359</v>
      </c>
      <c r="H369">
        <f t="shared" si="30"/>
        <v>278</v>
      </c>
      <c r="I369">
        <f t="shared" si="31"/>
        <v>274.1917808219178</v>
      </c>
      <c r="J369">
        <f t="shared" si="32"/>
        <v>-1.4390380735991668</v>
      </c>
      <c r="K369">
        <f t="shared" si="33"/>
        <v>-0.55040632813252555</v>
      </c>
      <c r="L369">
        <f t="shared" si="34"/>
        <v>1.4959874596622331</v>
      </c>
      <c r="M369">
        <f t="shared" si="35"/>
        <v>-0.49345694206945923</v>
      </c>
      <c r="Q369">
        <v>359</v>
      </c>
      <c r="R369">
        <v>-0.49345694206945923</v>
      </c>
    </row>
    <row r="370" spans="7:18">
      <c r="G370">
        <v>360</v>
      </c>
      <c r="H370">
        <f t="shared" si="30"/>
        <v>279</v>
      </c>
      <c r="I370">
        <f t="shared" si="31"/>
        <v>275.17808219178079</v>
      </c>
      <c r="J370">
        <f t="shared" si="32"/>
        <v>-1.7742962011112917</v>
      </c>
      <c r="K370">
        <f t="shared" si="33"/>
        <v>-0.67959462353373645</v>
      </c>
      <c r="L370">
        <f t="shared" si="34"/>
        <v>1.4938784942207688</v>
      </c>
      <c r="M370">
        <f t="shared" si="35"/>
        <v>-0.96001233042425937</v>
      </c>
      <c r="Q370">
        <v>360</v>
      </c>
      <c r="R370">
        <v>-0.96001233042425937</v>
      </c>
    </row>
    <row r="371" spans="7:18">
      <c r="G371">
        <v>361</v>
      </c>
      <c r="H371">
        <f t="shared" si="30"/>
        <v>280</v>
      </c>
      <c r="I371">
        <f t="shared" si="31"/>
        <v>276.16438356164383</v>
      </c>
      <c r="J371">
        <f t="shared" si="32"/>
        <v>-2.1074514353907872</v>
      </c>
      <c r="K371">
        <f t="shared" si="33"/>
        <v>-0.80858154038114782</v>
      </c>
      <c r="L371">
        <f t="shared" si="34"/>
        <v>1.491326860340928</v>
      </c>
      <c r="M371">
        <f t="shared" si="35"/>
        <v>-1.4247061154310068</v>
      </c>
      <c r="Q371">
        <v>361</v>
      </c>
      <c r="R371">
        <v>-1.4247061154310068</v>
      </c>
    </row>
    <row r="372" spans="7:18">
      <c r="G372">
        <v>362</v>
      </c>
      <c r="H372">
        <f t="shared" si="30"/>
        <v>281</v>
      </c>
      <c r="I372">
        <f t="shared" si="31"/>
        <v>277.15068493150682</v>
      </c>
      <c r="J372">
        <f t="shared" si="32"/>
        <v>-2.4381089213468243</v>
      </c>
      <c r="K372">
        <f t="shared" si="33"/>
        <v>-0.93732885706751889</v>
      </c>
      <c r="L372">
        <f t="shared" si="34"/>
        <v>1.4883333141268986</v>
      </c>
      <c r="M372">
        <f t="shared" si="35"/>
        <v>-1.8871044642874448</v>
      </c>
      <c r="Q372">
        <v>362</v>
      </c>
      <c r="R372">
        <v>-1.8871044642874448</v>
      </c>
    </row>
    <row r="373" spans="7:18">
      <c r="G373">
        <v>363</v>
      </c>
      <c r="H373">
        <f t="shared" si="30"/>
        <v>282</v>
      </c>
      <c r="I373">
        <f t="shared" si="31"/>
        <v>278.13698630136986</v>
      </c>
      <c r="J373">
        <f t="shared" si="32"/>
        <v>-2.7658767642162601</v>
      </c>
      <c r="K373">
        <f t="shared" si="33"/>
        <v>-1.0657984229843338</v>
      </c>
      <c r="L373">
        <f t="shared" si="34"/>
        <v>1.4848987426310296</v>
      </c>
      <c r="M373">
        <f t="shared" si="35"/>
        <v>-2.3467764445695645</v>
      </c>
      <c r="Q373">
        <v>363</v>
      </c>
      <c r="R373">
        <v>-2.3467764445695645</v>
      </c>
    </row>
    <row r="374" spans="7:18">
      <c r="G374">
        <v>364</v>
      </c>
      <c r="H374">
        <f t="shared" si="30"/>
        <v>283</v>
      </c>
      <c r="I374">
        <f t="shared" si="31"/>
        <v>279.12328767123284</v>
      </c>
      <c r="J374">
        <f t="shared" si="32"/>
        <v>-3.0903664940365942</v>
      </c>
      <c r="K374">
        <f t="shared" si="33"/>
        <v>-1.193952169826598</v>
      </c>
      <c r="L374">
        <f t="shared" si="34"/>
        <v>1.4810241635909798</v>
      </c>
      <c r="M374">
        <f t="shared" si="35"/>
        <v>-2.8032945002722132</v>
      </c>
      <c r="Q374">
        <v>364</v>
      </c>
      <c r="R374">
        <v>-2.8032945002722132</v>
      </c>
    </row>
    <row r="375" spans="7:18">
      <c r="G375">
        <v>365</v>
      </c>
      <c r="H375">
        <f t="shared" si="30"/>
        <v>284</v>
      </c>
      <c r="I375">
        <f t="shared" si="31"/>
        <v>280.10958904109589</v>
      </c>
      <c r="J375">
        <f t="shared" si="32"/>
        <v>-3.4111935260601305</v>
      </c>
      <c r="K375">
        <f t="shared" si="33"/>
        <v>-1.3217521228733511</v>
      </c>
      <c r="L375">
        <f t="shared" si="34"/>
        <v>1.4767107251281386</v>
      </c>
      <c r="M375">
        <f t="shared" si="35"/>
        <v>-3.2562349238053434</v>
      </c>
      <c r="Q375">
        <v>365</v>
      </c>
      <c r="R375">
        <v>-3.2562349238053434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2:W186"/>
  <sheetViews>
    <sheetView topLeftCell="A9" zoomScale="95" zoomScaleNormal="95" workbookViewId="0">
      <selection activeCell="D27" sqref="D27"/>
    </sheetView>
  </sheetViews>
  <sheetFormatPr defaultColWidth="9.140625" defaultRowHeight="15"/>
  <cols>
    <col min="1" max="2" width="9.140625" style="99"/>
    <col min="3" max="3" width="12.140625" style="100" bestFit="1" customWidth="1"/>
    <col min="4" max="4" width="19.7109375" style="100" customWidth="1"/>
    <col min="5" max="5" width="18.28515625" style="100" customWidth="1"/>
    <col min="6" max="6" width="43.28515625" style="100" customWidth="1"/>
    <col min="7" max="7" width="18.85546875" style="100" bestFit="1" customWidth="1"/>
    <col min="8" max="8" width="20.28515625" style="100" bestFit="1" customWidth="1"/>
    <col min="9" max="9" width="15.28515625" style="100" customWidth="1"/>
    <col min="10" max="10" width="9.140625" style="99"/>
    <col min="11" max="11" width="12.140625" style="100" bestFit="1" customWidth="1"/>
    <col min="12" max="14" width="12.7109375" style="100" bestFit="1" customWidth="1"/>
    <col min="15" max="15" width="19.28515625" style="99" bestFit="1" customWidth="1"/>
    <col min="16" max="16" width="20.28515625" style="99" bestFit="1" customWidth="1"/>
    <col min="17" max="18" width="9.140625" style="99"/>
    <col min="19" max="19" width="17.7109375" style="99" bestFit="1" customWidth="1"/>
    <col min="20" max="16384" width="9.140625" style="99"/>
  </cols>
  <sheetData>
    <row r="2" spans="1:23">
      <c r="C2" s="99" t="s">
        <v>173</v>
      </c>
      <c r="D2" s="99">
        <f>D8+O117+D19</f>
        <v>338.18385924994647</v>
      </c>
    </row>
    <row r="3" spans="1:23">
      <c r="C3" s="99" t="s">
        <v>174</v>
      </c>
      <c r="D3" s="99">
        <f>O180</f>
        <v>2.788965967252063</v>
      </c>
    </row>
    <row r="4" spans="1:23">
      <c r="C4" s="99" t="s">
        <v>175</v>
      </c>
      <c r="D4" s="99">
        <f>385000.56+P117</f>
        <v>358235.83250433969</v>
      </c>
    </row>
    <row r="5" spans="1:23">
      <c r="C5" s="99" t="s">
        <v>176</v>
      </c>
      <c r="D5" s="99">
        <f>ASIN(6378.14/D4)*180/PI()</f>
        <v>1.020165432289692</v>
      </c>
    </row>
    <row r="6" spans="1:23">
      <c r="C6" s="100" t="s">
        <v>153</v>
      </c>
      <c r="D6" s="100">
        <f>MEEUS!E12</f>
        <v>2457100.5</v>
      </c>
    </row>
    <row r="7" spans="1:23" ht="15.75">
      <c r="C7" s="100" t="s">
        <v>152</v>
      </c>
      <c r="D7" s="100">
        <f>(D6-2451545)/36525</f>
        <v>0.15210130047912387</v>
      </c>
      <c r="P7"/>
      <c r="Q7" s="101" t="s">
        <v>241</v>
      </c>
      <c r="R7"/>
      <c r="S7"/>
      <c r="T7"/>
      <c r="U7"/>
      <c r="V7"/>
      <c r="W7"/>
    </row>
    <row r="8" spans="1:23">
      <c r="A8" s="99" t="s">
        <v>151</v>
      </c>
      <c r="D8" s="100">
        <f>MOD(218.3164591+481267.881342*D7-0.0013267*D7^2+D7^3/538841-D7^4/65194000,360)</f>
        <v>339.78705936444749</v>
      </c>
    </row>
    <row r="9" spans="1:23">
      <c r="C9" s="100" t="s">
        <v>154</v>
      </c>
      <c r="D9" s="100">
        <f>MOD(297.8502042+445267.1115186*D7-0.00163*D7^2+D7^3/545868-D7^4/113065000,360)</f>
        <v>343.556889058862</v>
      </c>
    </row>
    <row r="10" spans="1:23">
      <c r="C10" s="100" t="s">
        <v>136</v>
      </c>
      <c r="D10" s="100">
        <f>MOD(357.5291092+35999.0502909*D7-0.0001536*D7^2+D7^3/24490000,360)</f>
        <v>73.031470905910282</v>
      </c>
    </row>
    <row r="11" spans="1:23">
      <c r="C11" s="100" t="s">
        <v>155</v>
      </c>
      <c r="D11" s="100">
        <f>MOD(134.9634114+477198.8676313*D7+0.008997*D7^2+D7^3/69699-D7^4/14712000,360)</f>
        <v>357.53197348030517</v>
      </c>
    </row>
    <row r="12" spans="1:23">
      <c r="C12" s="100" t="s">
        <v>138</v>
      </c>
      <c r="D12" s="100">
        <f>MOD(93.2720993+483202.0175273*D7-0.0034029*D7^2-D7^3/3526000+D7^4/863310000,360)</f>
        <v>148.92728061230446</v>
      </c>
    </row>
    <row r="13" spans="1:23">
      <c r="C13" s="100" t="s">
        <v>156</v>
      </c>
      <c r="D13" s="100">
        <f>MOD(119.75+131.849*D7,360)</f>
        <v>139.80440436687201</v>
      </c>
    </row>
    <row r="14" spans="1:23">
      <c r="C14" s="100" t="s">
        <v>157</v>
      </c>
      <c r="D14" s="100">
        <f>MOD(53.09+479264.29*D7,360)</f>
        <v>229.81178220396396</v>
      </c>
    </row>
    <row r="15" spans="1:23">
      <c r="C15" s="100" t="s">
        <v>158</v>
      </c>
      <c r="D15" s="100">
        <f>MOD(313.45+481266.484*D7,360)</f>
        <v>74.708093415465555</v>
      </c>
    </row>
    <row r="16" spans="1:23">
      <c r="C16" s="100" t="s">
        <v>235</v>
      </c>
      <c r="D16" s="100">
        <f>MOD(125.04452-1934.136261*D7+0.0020708*D7^2+D7^3/450000,306)</f>
        <v>136.8599273134449</v>
      </c>
    </row>
    <row r="17" spans="3:7">
      <c r="C17" s="100" t="s">
        <v>236</v>
      </c>
      <c r="D17" s="100">
        <f>MOD(280.4665+36000.769*D7+0.0003032*D7^2,360)</f>
        <v>356.23029016300188</v>
      </c>
    </row>
    <row r="18" spans="3:7">
      <c r="C18" s="100" t="s">
        <v>237</v>
      </c>
      <c r="D18" s="100">
        <f>MOD(218.3165+481267.881*D7,360)</f>
        <v>339.78707893223327</v>
      </c>
    </row>
    <row r="19" spans="3:7">
      <c r="C19" s="100" t="s">
        <v>238</v>
      </c>
      <c r="D19" s="100">
        <f>(-17.2*SIN(D16*PI()/180)-1.32*SIN(2*D17*PI()/180)-0.23*SIN(2*D18*PI()/180)+21*SIN(2*D16*PI()/180))/3600</f>
        <v>-8.998473689688263E-3</v>
      </c>
    </row>
    <row r="20" spans="3:7">
      <c r="C20" s="100" t="s">
        <v>239</v>
      </c>
      <c r="D20" s="100">
        <f>(9.2*COS(D16*PI()/180)+0.57*COS(2*D17*PI()/180)+0.1*COS(2*D18*PI()/180)-0.09*COS(2*D16*PI()/180))/3600</f>
        <v>-1.6882602717025175E-3</v>
      </c>
      <c r="F20" s="99"/>
      <c r="G20" s="99"/>
    </row>
    <row r="21" spans="3:7">
      <c r="C21" s="100" t="s">
        <v>240</v>
      </c>
      <c r="D21" s="100">
        <f>23.4392911 - 0.01300416667*D7 - 0.00000016389*D7^2+0.00000050361 *D7^3+0.00255625*COS(D16*PI()/180)</f>
        <v>23.435447892040788</v>
      </c>
      <c r="F21" s="99"/>
      <c r="G21" s="99"/>
    </row>
    <row r="22" spans="3:7">
      <c r="D22" s="100">
        <f>D21+D20</f>
        <v>23.433759631769085</v>
      </c>
      <c r="F22" s="99"/>
      <c r="G22" s="99"/>
    </row>
    <row r="23" spans="3:7">
      <c r="C23" s="100" t="s">
        <v>184</v>
      </c>
      <c r="D23" s="99">
        <f>SIN(D2*PI()/180)*COS(D22*PI()/180)-TAN(D3*PI()/180)*SIN(D22*PI()/180)</f>
        <v>-0.36035101024076699</v>
      </c>
      <c r="F23" s="99"/>
      <c r="G23" s="99"/>
    </row>
    <row r="24" spans="3:7">
      <c r="C24" s="100" t="s">
        <v>243</v>
      </c>
      <c r="D24" s="100">
        <f>COS(D2*PI()/180)</f>
        <v>0.9283811722921298</v>
      </c>
      <c r="F24" s="99"/>
      <c r="G24" s="99"/>
    </row>
    <row r="25" spans="3:7">
      <c r="D25" s="100">
        <f>ATAN(D23/D24)*180/PI()</f>
        <v>-21.213714974302295</v>
      </c>
      <c r="F25" s="99"/>
      <c r="G25" s="99"/>
    </row>
    <row r="26" spans="3:7">
      <c r="D26" s="100">
        <f>ATAN((SIN(D2*PI()/180)*COS(D22*PI()/180)-TAN(D3*PI()/180)*SIN(D22*PI()/180))/COS(D2*PI()/180))*180/PI()</f>
        <v>-21.213714974302295</v>
      </c>
      <c r="F26" s="99"/>
      <c r="G26" s="99"/>
    </row>
    <row r="27" spans="3:7" ht="15.75">
      <c r="C27" s="107" t="s">
        <v>242</v>
      </c>
      <c r="D27" s="107">
        <f>IF(D24&lt;0,D25+180,IF(D23&lt;0,D25+360,D25))</f>
        <v>338.78628502569768</v>
      </c>
      <c r="E27" s="100">
        <f>D27/15</f>
        <v>22.585752335046511</v>
      </c>
      <c r="F27" s="99"/>
      <c r="G27" s="99"/>
    </row>
    <row r="28" spans="3:7" ht="15.75">
      <c r="C28" s="107" t="s">
        <v>244</v>
      </c>
      <c r="D28" s="107">
        <f>ASIN(SIN(D3*PI()/180)*COS(D22*PI()/180)+COS(D3*PI()/180)*SIN(D22*PI()/180)*SIN(D2*PI()/180))*180/PI()</f>
        <v>-5.9104253247685472</v>
      </c>
      <c r="F28" s="99"/>
      <c r="G28" s="99"/>
    </row>
    <row r="29" spans="3:7">
      <c r="F29" s="99"/>
      <c r="G29" s="99"/>
    </row>
    <row r="30" spans="3:7">
      <c r="C30" s="100" t="s">
        <v>245</v>
      </c>
      <c r="F30" s="101" t="s">
        <v>246</v>
      </c>
      <c r="G30" t="s">
        <v>247</v>
      </c>
    </row>
    <row r="31" spans="3:7">
      <c r="C31" s="100" t="s">
        <v>249</v>
      </c>
      <c r="D31" s="100">
        <f>-SIN(0.83*PI()/180)-SIN(D12*PI()/180)*SIN(D28*PI()/180)</f>
        <v>3.8661544454982218E-2</v>
      </c>
      <c r="F31" s="101" t="s">
        <v>248</v>
      </c>
      <c r="G31"/>
    </row>
    <row r="32" spans="3:7">
      <c r="C32" s="100" t="s">
        <v>250</v>
      </c>
      <c r="D32" s="100">
        <f>COS(D12*PI()/180)*SIN(D28*PI()/180)</f>
        <v>8.8198157511722913E-2</v>
      </c>
      <c r="F32" s="99"/>
      <c r="G32" s="99"/>
    </row>
    <row r="33" spans="1:7">
      <c r="C33" s="100" t="s">
        <v>245</v>
      </c>
      <c r="D33" s="102">
        <f>ACOS(D31/D32)*180/PI()</f>
        <v>64.001433252094088</v>
      </c>
      <c r="F33" s="99"/>
      <c r="G33" s="99"/>
    </row>
    <row r="34" spans="1:7">
      <c r="F34" s="99"/>
      <c r="G34" s="99"/>
    </row>
    <row r="35" spans="1:7">
      <c r="F35" s="99"/>
      <c r="G35" s="99"/>
    </row>
    <row r="36" spans="1:7">
      <c r="C36" s="100" t="s">
        <v>251</v>
      </c>
      <c r="F36" s="99"/>
      <c r="G36" s="99"/>
    </row>
    <row r="37" spans="1:7">
      <c r="F37" s="99"/>
      <c r="G37" s="99"/>
    </row>
    <row r="38" spans="1:7">
      <c r="F38" s="99"/>
      <c r="G38" s="99"/>
    </row>
    <row r="39" spans="1:7">
      <c r="F39" s="99"/>
      <c r="G39" s="99"/>
    </row>
    <row r="40" spans="1:7">
      <c r="F40" s="99"/>
      <c r="G40" s="99"/>
    </row>
    <row r="41" spans="1:7">
      <c r="F41" s="99"/>
      <c r="G41" s="99"/>
    </row>
    <row r="42" spans="1:7">
      <c r="F42" s="99"/>
      <c r="G42" s="99"/>
    </row>
    <row r="43" spans="1:7">
      <c r="A43" s="99" t="s">
        <v>161</v>
      </c>
      <c r="C43" s="100" t="s">
        <v>162</v>
      </c>
      <c r="D43" s="100">
        <f>3958*SIN(D13*PI()/180)+1963*SIN((D8-D12)*PI()/180)+318*SIN(D14*PI()/180)</f>
        <v>1941.7186802176222</v>
      </c>
      <c r="F43" s="99"/>
      <c r="G43" s="99"/>
    </row>
    <row r="45" spans="1:7">
      <c r="A45" s="99" t="s">
        <v>163</v>
      </c>
      <c r="C45" s="100" t="s">
        <v>164</v>
      </c>
      <c r="D45" s="100">
        <f>-2235*SIN(D8*PI()/180)+382*SIN(D15*PI()/180)+175*SIN((D13-D12)*PI()/180)+175*SIN((D13+D12)*PI()/180)+127*SIN((D8-D11)*PI()/180)-115*SIN((D8+D11)*PI()/180)</f>
        <v>952.84988922891023</v>
      </c>
    </row>
    <row r="47" spans="1:7">
      <c r="C47" s="100" t="s">
        <v>143</v>
      </c>
      <c r="D47" s="100">
        <f>(1-0.002516*D7-0*D7^2)</f>
        <v>0.99961731312799451</v>
      </c>
    </row>
    <row r="48" spans="1:7">
      <c r="C48" s="100" t="s">
        <v>232</v>
      </c>
      <c r="D48" s="100">
        <f>D47*D47</f>
        <v>0.99923477270523098</v>
      </c>
    </row>
    <row r="49" spans="3:16">
      <c r="C49" s="100" t="s">
        <v>233</v>
      </c>
      <c r="D49" s="100">
        <v>1</v>
      </c>
    </row>
    <row r="55" spans="3:16">
      <c r="C55" s="100" t="s">
        <v>159</v>
      </c>
      <c r="D55" s="100" t="s">
        <v>32</v>
      </c>
      <c r="E55" s="100" t="s">
        <v>66</v>
      </c>
      <c r="F55" s="100" t="s">
        <v>160</v>
      </c>
      <c r="G55" s="100" t="s">
        <v>167</v>
      </c>
      <c r="H55" s="100" t="s">
        <v>168</v>
      </c>
      <c r="I55" s="100" t="s">
        <v>234</v>
      </c>
      <c r="J55" s="100"/>
      <c r="K55" s="100" t="s">
        <v>159</v>
      </c>
      <c r="L55" s="100" t="s">
        <v>166</v>
      </c>
      <c r="M55" s="100" t="s">
        <v>165</v>
      </c>
      <c r="N55" s="100" t="s">
        <v>160</v>
      </c>
      <c r="O55" s="100" t="s">
        <v>169</v>
      </c>
      <c r="P55" s="100" t="s">
        <v>170</v>
      </c>
    </row>
    <row r="56" spans="3:16">
      <c r="C56" s="100">
        <v>0</v>
      </c>
      <c r="D56" s="100">
        <v>0</v>
      </c>
      <c r="E56" s="100">
        <v>1</v>
      </c>
      <c r="F56" s="100">
        <v>0</v>
      </c>
      <c r="G56" s="100">
        <v>6288774</v>
      </c>
      <c r="H56" s="100">
        <v>-20905355</v>
      </c>
      <c r="I56" s="100">
        <f>IF(ABS(D56)=2,$D$48,IF(ABS(E56)=2,$D$48,IF(ABS(D56)=1,$D$47,IF(ABS(E56)=1,$D$47,1))))</f>
        <v>0.99961731312799451</v>
      </c>
      <c r="J56" s="100"/>
      <c r="K56" s="100">
        <f>C56</f>
        <v>0</v>
      </c>
      <c r="L56" s="100">
        <f>D56</f>
        <v>0</v>
      </c>
      <c r="M56" s="100">
        <f>E56</f>
        <v>1</v>
      </c>
      <c r="N56" s="100">
        <f>F56</f>
        <v>0</v>
      </c>
      <c r="O56" s="99">
        <f>I56*G56*SIN(((K56*$D$9+L56*$D$10+M56*$D$11+N56*$D$12))*PI()/180)</f>
        <v>-270702.7295689017</v>
      </c>
      <c r="P56" s="99">
        <f>I56*H56*COS(((K56*D$9+L56*D$10+M56*D$11+N56*D$12))*PI()/180)</f>
        <v>-20877970.56540994</v>
      </c>
    </row>
    <row r="57" spans="3:16">
      <c r="C57" s="100">
        <v>2</v>
      </c>
      <c r="D57" s="100">
        <v>0</v>
      </c>
      <c r="E57" s="100">
        <v>-1</v>
      </c>
      <c r="F57" s="100">
        <v>0</v>
      </c>
      <c r="G57" s="100">
        <v>1274027</v>
      </c>
      <c r="H57" s="100">
        <v>-3699111</v>
      </c>
      <c r="I57" s="100">
        <f t="shared" ref="I57:I115" si="0">IF(ABS(D57)=2,$D$48,IF(ABS(E57)=2,$D$48,IF(ABS(D57)=1,$D$47,IF(ABS(E57)=1,$D$47,1))))</f>
        <v>0.99961731312799451</v>
      </c>
      <c r="J57" s="100"/>
      <c r="K57" s="100">
        <f t="shared" ref="K57:K115" si="1">C57</f>
        <v>2</v>
      </c>
      <c r="L57" s="100">
        <f t="shared" ref="L57:L115" si="2">D57</f>
        <v>0</v>
      </c>
      <c r="M57" s="100">
        <f t="shared" ref="M57:M115" si="3">E57</f>
        <v>-1</v>
      </c>
      <c r="N57" s="100">
        <f t="shared" ref="N57:N115" si="4">F57</f>
        <v>0</v>
      </c>
      <c r="O57" s="99">
        <f t="shared" ref="O57:O115" si="5">I57*G57*SIN(((K57*$D$9+L57*$D$10+M57*$D$11+N57*$D$12))*PI()/180)</f>
        <v>-644802.75953541696</v>
      </c>
      <c r="P57" s="99">
        <f t="shared" ref="P57:P115" si="6">I57*H57*COS(((K57*D$9+L57*D$10+M57*D$11+N57*D$12))*PI()/180)</f>
        <v>-3188718.4432261689</v>
      </c>
    </row>
    <row r="58" spans="3:16">
      <c r="C58" s="100">
        <v>2</v>
      </c>
      <c r="D58" s="100">
        <v>0</v>
      </c>
      <c r="E58" s="100">
        <v>0</v>
      </c>
      <c r="F58" s="100">
        <v>0</v>
      </c>
      <c r="G58" s="100">
        <v>658314</v>
      </c>
      <c r="H58" s="100">
        <v>-2955968</v>
      </c>
      <c r="I58" s="100">
        <f t="shared" si="0"/>
        <v>1</v>
      </c>
      <c r="J58" s="100"/>
      <c r="K58" s="100">
        <f t="shared" si="1"/>
        <v>2</v>
      </c>
      <c r="L58" s="100">
        <f t="shared" si="2"/>
        <v>0</v>
      </c>
      <c r="M58" s="100">
        <f t="shared" si="3"/>
        <v>0</v>
      </c>
      <c r="N58" s="100">
        <f t="shared" si="4"/>
        <v>0</v>
      </c>
      <c r="O58" s="99">
        <f t="shared" si="5"/>
        <v>-357446.41673455917</v>
      </c>
      <c r="P58" s="99">
        <f t="shared" si="6"/>
        <v>-2482275.4857588876</v>
      </c>
    </row>
    <row r="59" spans="3:16">
      <c r="C59" s="100">
        <v>0</v>
      </c>
      <c r="D59" s="100">
        <v>0</v>
      </c>
      <c r="E59" s="100">
        <v>2</v>
      </c>
      <c r="F59" s="100">
        <v>0</v>
      </c>
      <c r="G59" s="100">
        <v>213618</v>
      </c>
      <c r="H59" s="100">
        <v>-569925</v>
      </c>
      <c r="I59" s="100">
        <f t="shared" si="0"/>
        <v>0.99923477270523098</v>
      </c>
      <c r="J59" s="100"/>
      <c r="K59" s="100">
        <f t="shared" si="1"/>
        <v>0</v>
      </c>
      <c r="L59" s="100">
        <f t="shared" si="2"/>
        <v>0</v>
      </c>
      <c r="M59" s="100">
        <f t="shared" si="3"/>
        <v>2</v>
      </c>
      <c r="N59" s="100">
        <f t="shared" si="4"/>
        <v>0</v>
      </c>
      <c r="O59" s="99">
        <f t="shared" si="5"/>
        <v>-18366.450032602021</v>
      </c>
      <c r="P59" s="99">
        <f t="shared" si="6"/>
        <v>-567376.84338375507</v>
      </c>
    </row>
    <row r="60" spans="3:16">
      <c r="C60" s="100">
        <v>0</v>
      </c>
      <c r="D60" s="100">
        <v>1</v>
      </c>
      <c r="E60" s="100">
        <v>0</v>
      </c>
      <c r="F60" s="100">
        <v>0</v>
      </c>
      <c r="G60" s="100">
        <v>-185116</v>
      </c>
      <c r="H60" s="100">
        <v>48888</v>
      </c>
      <c r="I60" s="100">
        <f t="shared" si="0"/>
        <v>0.99961731312799451</v>
      </c>
      <c r="J60" s="100"/>
      <c r="K60" s="100">
        <f t="shared" si="1"/>
        <v>0</v>
      </c>
      <c r="L60" s="100">
        <f t="shared" si="2"/>
        <v>1</v>
      </c>
      <c r="M60" s="100">
        <f t="shared" si="3"/>
        <v>0</v>
      </c>
      <c r="N60" s="100">
        <f t="shared" si="4"/>
        <v>0</v>
      </c>
      <c r="O60" s="99">
        <f t="shared" si="5"/>
        <v>-176989.25511950208</v>
      </c>
      <c r="P60" s="99">
        <f t="shared" si="6"/>
        <v>14262.326231805067</v>
      </c>
    </row>
    <row r="61" spans="3:16">
      <c r="C61" s="100">
        <v>0</v>
      </c>
      <c r="D61" s="100">
        <v>0</v>
      </c>
      <c r="E61" s="100">
        <v>0</v>
      </c>
      <c r="F61" s="100">
        <v>2</v>
      </c>
      <c r="G61" s="100">
        <v>-114332</v>
      </c>
      <c r="H61" s="100">
        <v>-3149</v>
      </c>
      <c r="I61" s="100">
        <f t="shared" si="0"/>
        <v>1</v>
      </c>
      <c r="J61" s="100"/>
      <c r="K61" s="100">
        <f t="shared" si="1"/>
        <v>0</v>
      </c>
      <c r="L61" s="100">
        <f t="shared" si="2"/>
        <v>0</v>
      </c>
      <c r="M61" s="100">
        <f t="shared" si="3"/>
        <v>0</v>
      </c>
      <c r="N61" s="100">
        <f t="shared" si="4"/>
        <v>2</v>
      </c>
      <c r="O61" s="99">
        <f t="shared" si="5"/>
        <v>101085.08823454022</v>
      </c>
      <c r="P61" s="99">
        <f t="shared" si="6"/>
        <v>-1471.3034639237935</v>
      </c>
    </row>
    <row r="62" spans="3:16">
      <c r="C62" s="100">
        <v>2</v>
      </c>
      <c r="D62" s="100">
        <v>0</v>
      </c>
      <c r="E62" s="100">
        <v>-2</v>
      </c>
      <c r="F62" s="100">
        <v>0</v>
      </c>
      <c r="G62" s="100">
        <v>58793</v>
      </c>
      <c r="H62" s="100">
        <v>246158</v>
      </c>
      <c r="I62" s="100">
        <f t="shared" si="0"/>
        <v>0.99923477270523098</v>
      </c>
      <c r="J62" s="100"/>
      <c r="K62" s="100">
        <f t="shared" si="1"/>
        <v>2</v>
      </c>
      <c r="L62" s="100">
        <f t="shared" si="2"/>
        <v>0</v>
      </c>
      <c r="M62" s="100">
        <f t="shared" si="3"/>
        <v>-2</v>
      </c>
      <c r="N62" s="100">
        <f t="shared" si="4"/>
        <v>0</v>
      </c>
      <c r="O62" s="99">
        <f t="shared" si="5"/>
        <v>-27535.39614586921</v>
      </c>
      <c r="P62" s="99">
        <f t="shared" si="6"/>
        <v>217278.64469099324</v>
      </c>
    </row>
    <row r="63" spans="3:16">
      <c r="C63" s="100">
        <v>2</v>
      </c>
      <c r="D63" s="100">
        <v>-1</v>
      </c>
      <c r="E63" s="100">
        <v>-1</v>
      </c>
      <c r="F63" s="100">
        <v>0</v>
      </c>
      <c r="G63" s="100">
        <v>57066</v>
      </c>
      <c r="H63" s="100">
        <v>-152138</v>
      </c>
      <c r="I63" s="100">
        <f t="shared" si="0"/>
        <v>0.99961731312799451</v>
      </c>
      <c r="J63" s="100"/>
      <c r="K63" s="100">
        <f t="shared" si="1"/>
        <v>2</v>
      </c>
      <c r="L63" s="100">
        <f t="shared" si="2"/>
        <v>-1</v>
      </c>
      <c r="M63" s="100">
        <f t="shared" si="3"/>
        <v>-1</v>
      </c>
      <c r="N63" s="100">
        <f t="shared" si="4"/>
        <v>0</v>
      </c>
      <c r="O63" s="99">
        <f t="shared" si="5"/>
        <v>-55479.704034955634</v>
      </c>
      <c r="P63" s="99">
        <f t="shared" si="6"/>
        <v>35372.396537910397</v>
      </c>
    </row>
    <row r="64" spans="3:16">
      <c r="C64" s="100">
        <v>2</v>
      </c>
      <c r="D64" s="100">
        <v>0</v>
      </c>
      <c r="E64" s="100">
        <v>1</v>
      </c>
      <c r="F64" s="100">
        <v>0</v>
      </c>
      <c r="G64" s="100">
        <v>53322</v>
      </c>
      <c r="H64" s="100">
        <v>-170733</v>
      </c>
      <c r="I64" s="100">
        <f t="shared" si="0"/>
        <v>0.99961731312799451</v>
      </c>
      <c r="J64" s="100"/>
      <c r="K64" s="100">
        <f t="shared" si="1"/>
        <v>2</v>
      </c>
      <c r="L64" s="100">
        <f t="shared" si="2"/>
        <v>0</v>
      </c>
      <c r="M64" s="100">
        <f t="shared" si="3"/>
        <v>1</v>
      </c>
      <c r="N64" s="100">
        <f t="shared" si="4"/>
        <v>0</v>
      </c>
      <c r="O64" s="99">
        <f t="shared" si="5"/>
        <v>-30841.906620860409</v>
      </c>
      <c r="P64" s="99">
        <f t="shared" si="6"/>
        <v>-139194.8562947879</v>
      </c>
    </row>
    <row r="65" spans="3:16">
      <c r="C65" s="100">
        <v>2</v>
      </c>
      <c r="D65" s="100">
        <v>-1</v>
      </c>
      <c r="E65" s="100">
        <v>0</v>
      </c>
      <c r="F65" s="100">
        <v>0</v>
      </c>
      <c r="G65" s="100">
        <v>45758</v>
      </c>
      <c r="H65" s="100">
        <v>-204586</v>
      </c>
      <c r="I65" s="100">
        <f t="shared" si="0"/>
        <v>0.99961731312799451</v>
      </c>
      <c r="J65" s="100"/>
      <c r="K65" s="100">
        <f t="shared" si="1"/>
        <v>2</v>
      </c>
      <c r="L65" s="100">
        <f t="shared" si="2"/>
        <v>-1</v>
      </c>
      <c r="M65" s="100">
        <f t="shared" si="3"/>
        <v>0</v>
      </c>
      <c r="N65" s="100">
        <f t="shared" si="4"/>
        <v>0</v>
      </c>
      <c r="O65" s="99">
        <f t="shared" si="5"/>
        <v>-43986.646157379582</v>
      </c>
      <c r="P65" s="99">
        <f t="shared" si="6"/>
        <v>56087.504483132572</v>
      </c>
    </row>
    <row r="66" spans="3:16">
      <c r="C66" s="100">
        <v>0</v>
      </c>
      <c r="D66" s="100">
        <v>1</v>
      </c>
      <c r="E66" s="100">
        <v>-1</v>
      </c>
      <c r="F66" s="100">
        <v>0</v>
      </c>
      <c r="G66" s="100">
        <v>-40923</v>
      </c>
      <c r="H66" s="100">
        <v>-129620</v>
      </c>
      <c r="I66" s="100">
        <f t="shared" si="0"/>
        <v>0.99961731312799451</v>
      </c>
      <c r="J66" s="100"/>
      <c r="K66" s="100">
        <f t="shared" si="1"/>
        <v>0</v>
      </c>
      <c r="L66" s="100">
        <f t="shared" si="2"/>
        <v>1</v>
      </c>
      <c r="M66" s="100">
        <f t="shared" si="3"/>
        <v>-1</v>
      </c>
      <c r="N66" s="100">
        <f t="shared" si="4"/>
        <v>0</v>
      </c>
      <c r="O66" s="99">
        <f t="shared" si="5"/>
        <v>-39604.254179058938</v>
      </c>
      <c r="P66" s="99">
        <f t="shared" si="6"/>
        <v>-32442.936641975652</v>
      </c>
    </row>
    <row r="67" spans="3:16">
      <c r="C67" s="100">
        <v>1</v>
      </c>
      <c r="D67" s="100">
        <v>0</v>
      </c>
      <c r="E67" s="100">
        <v>0</v>
      </c>
      <c r="F67" s="100">
        <v>0</v>
      </c>
      <c r="G67" s="100">
        <v>-34720</v>
      </c>
      <c r="H67" s="100">
        <v>108743</v>
      </c>
      <c r="I67" s="100">
        <f t="shared" si="0"/>
        <v>1</v>
      </c>
      <c r="J67" s="100"/>
      <c r="K67" s="100">
        <f t="shared" si="1"/>
        <v>1</v>
      </c>
      <c r="L67" s="100">
        <f t="shared" si="2"/>
        <v>0</v>
      </c>
      <c r="M67" s="100">
        <f t="shared" si="3"/>
        <v>0</v>
      </c>
      <c r="N67" s="100">
        <f t="shared" si="4"/>
        <v>0</v>
      </c>
      <c r="O67" s="99">
        <f t="shared" si="5"/>
        <v>9827.9540060485178</v>
      </c>
      <c r="P67" s="99">
        <f t="shared" si="6"/>
        <v>104295.54847096739</v>
      </c>
    </row>
    <row r="68" spans="3:16">
      <c r="C68" s="100">
        <v>0</v>
      </c>
      <c r="D68" s="100">
        <v>1</v>
      </c>
      <c r="E68" s="100">
        <v>1</v>
      </c>
      <c r="F68" s="100">
        <v>0</v>
      </c>
      <c r="G68" s="100">
        <v>-30383</v>
      </c>
      <c r="H68" s="100">
        <v>104755</v>
      </c>
      <c r="I68" s="100">
        <f t="shared" si="0"/>
        <v>0.99961731312799451</v>
      </c>
      <c r="J68" s="100"/>
      <c r="K68" s="100">
        <f t="shared" si="1"/>
        <v>0</v>
      </c>
      <c r="L68" s="100">
        <f t="shared" si="2"/>
        <v>1</v>
      </c>
      <c r="M68" s="100">
        <f t="shared" si="3"/>
        <v>1</v>
      </c>
      <c r="N68" s="100">
        <f t="shared" si="4"/>
        <v>0</v>
      </c>
      <c r="O68" s="99">
        <f t="shared" si="5"/>
        <v>-28640.524746604846</v>
      </c>
      <c r="P68" s="99">
        <f t="shared" si="6"/>
        <v>34845.23297988237</v>
      </c>
    </row>
    <row r="69" spans="3:16">
      <c r="C69" s="100">
        <v>2</v>
      </c>
      <c r="D69" s="100">
        <v>0</v>
      </c>
      <c r="E69" s="100">
        <v>0</v>
      </c>
      <c r="F69" s="100">
        <v>-2</v>
      </c>
      <c r="G69" s="100">
        <v>15327</v>
      </c>
      <c r="H69" s="100">
        <v>10321</v>
      </c>
      <c r="I69" s="100">
        <f t="shared" si="0"/>
        <v>1</v>
      </c>
      <c r="J69" s="100"/>
      <c r="K69" s="100">
        <f t="shared" si="1"/>
        <v>2</v>
      </c>
      <c r="L69" s="100">
        <f t="shared" si="2"/>
        <v>0</v>
      </c>
      <c r="M69" s="100">
        <f t="shared" si="3"/>
        <v>0</v>
      </c>
      <c r="N69" s="100">
        <f t="shared" si="4"/>
        <v>-2</v>
      </c>
      <c r="O69" s="99">
        <f t="shared" si="5"/>
        <v>7491.2488801089385</v>
      </c>
      <c r="P69" s="99">
        <f t="shared" si="6"/>
        <v>9004.2199200034902</v>
      </c>
    </row>
    <row r="70" spans="3:16">
      <c r="C70" s="100">
        <v>0</v>
      </c>
      <c r="D70" s="100">
        <v>0</v>
      </c>
      <c r="E70" s="100">
        <v>1</v>
      </c>
      <c r="F70" s="100">
        <v>2</v>
      </c>
      <c r="G70" s="100">
        <v>-12528</v>
      </c>
      <c r="H70" s="100">
        <v>0</v>
      </c>
      <c r="I70" s="100">
        <f t="shared" si="0"/>
        <v>0.99961731312799451</v>
      </c>
      <c r="J70" s="100"/>
      <c r="K70" s="100">
        <f t="shared" si="1"/>
        <v>0</v>
      </c>
      <c r="L70" s="100">
        <f t="shared" si="2"/>
        <v>0</v>
      </c>
      <c r="M70" s="100">
        <f t="shared" si="3"/>
        <v>1</v>
      </c>
      <c r="N70" s="100">
        <f t="shared" si="4"/>
        <v>2</v>
      </c>
      <c r="O70" s="99">
        <f t="shared" si="5"/>
        <v>11313.91578501239</v>
      </c>
      <c r="P70" s="99">
        <f t="shared" si="6"/>
        <v>0</v>
      </c>
    </row>
    <row r="71" spans="3:16">
      <c r="C71" s="100">
        <v>0</v>
      </c>
      <c r="D71" s="100">
        <v>0</v>
      </c>
      <c r="E71" s="100">
        <v>1</v>
      </c>
      <c r="F71" s="100">
        <v>-2</v>
      </c>
      <c r="G71" s="100">
        <v>10980</v>
      </c>
      <c r="H71" s="100">
        <v>79661</v>
      </c>
      <c r="I71" s="100">
        <f t="shared" si="0"/>
        <v>0.99961731312799451</v>
      </c>
      <c r="J71" s="100"/>
      <c r="K71" s="100">
        <f t="shared" si="1"/>
        <v>0</v>
      </c>
      <c r="L71" s="100">
        <f t="shared" si="2"/>
        <v>0</v>
      </c>
      <c r="M71" s="100">
        <f t="shared" si="3"/>
        <v>1</v>
      </c>
      <c r="N71" s="100">
        <f t="shared" si="4"/>
        <v>-2</v>
      </c>
      <c r="O71" s="99">
        <f t="shared" si="5"/>
        <v>9474.2714177121325</v>
      </c>
      <c r="P71" s="99">
        <f t="shared" si="6"/>
        <v>40202.895668101657</v>
      </c>
    </row>
    <row r="72" spans="3:16">
      <c r="C72" s="100">
        <v>4</v>
      </c>
      <c r="D72" s="100">
        <v>0</v>
      </c>
      <c r="E72" s="100">
        <v>-1</v>
      </c>
      <c r="F72" s="100">
        <v>0</v>
      </c>
      <c r="G72" s="100">
        <v>10675</v>
      </c>
      <c r="H72" s="100">
        <v>-34782</v>
      </c>
      <c r="I72" s="100">
        <f t="shared" si="0"/>
        <v>0.99961731312799451</v>
      </c>
      <c r="J72" s="100"/>
      <c r="K72" s="100">
        <f t="shared" si="1"/>
        <v>4</v>
      </c>
      <c r="L72" s="100">
        <f t="shared" si="2"/>
        <v>0</v>
      </c>
      <c r="M72" s="100">
        <f t="shared" si="3"/>
        <v>-1</v>
      </c>
      <c r="N72" s="100">
        <f t="shared" si="4"/>
        <v>0</v>
      </c>
      <c r="O72" s="99">
        <f t="shared" si="5"/>
        <v>-9533.4596024080874</v>
      </c>
      <c r="P72" s="99">
        <f t="shared" si="6"/>
        <v>-15619.837961878597</v>
      </c>
    </row>
    <row r="73" spans="3:16">
      <c r="C73" s="100">
        <v>0</v>
      </c>
      <c r="D73" s="100">
        <v>0</v>
      </c>
      <c r="E73" s="100">
        <v>3</v>
      </c>
      <c r="F73" s="100">
        <v>0</v>
      </c>
      <c r="G73" s="100">
        <v>10034</v>
      </c>
      <c r="H73" s="100">
        <v>-23210</v>
      </c>
      <c r="I73" s="100">
        <f t="shared" si="0"/>
        <v>1</v>
      </c>
      <c r="J73" s="100"/>
      <c r="K73" s="100">
        <f t="shared" si="1"/>
        <v>0</v>
      </c>
      <c r="L73" s="100">
        <f t="shared" si="2"/>
        <v>0</v>
      </c>
      <c r="M73" s="100">
        <f t="shared" si="3"/>
        <v>3</v>
      </c>
      <c r="N73" s="100">
        <f t="shared" si="4"/>
        <v>0</v>
      </c>
      <c r="O73" s="99">
        <f t="shared" si="5"/>
        <v>-1293.0435005823631</v>
      </c>
      <c r="P73" s="99">
        <f t="shared" si="6"/>
        <v>-23016.474773951639</v>
      </c>
    </row>
    <row r="74" spans="3:16">
      <c r="C74" s="100">
        <v>4</v>
      </c>
      <c r="D74" s="100">
        <v>0</v>
      </c>
      <c r="E74" s="100">
        <v>-2</v>
      </c>
      <c r="F74" s="100">
        <v>0</v>
      </c>
      <c r="G74" s="100">
        <v>8548</v>
      </c>
      <c r="H74" s="100">
        <v>-21636</v>
      </c>
      <c r="I74" s="100">
        <f t="shared" si="0"/>
        <v>0.99923477270523098</v>
      </c>
      <c r="J74" s="100"/>
      <c r="K74" s="100">
        <f t="shared" si="1"/>
        <v>4</v>
      </c>
      <c r="L74" s="100">
        <f t="shared" si="2"/>
        <v>0</v>
      </c>
      <c r="M74" s="100">
        <f t="shared" si="3"/>
        <v>-2</v>
      </c>
      <c r="N74" s="100">
        <f t="shared" si="4"/>
        <v>0</v>
      </c>
      <c r="O74" s="99">
        <f t="shared" si="5"/>
        <v>-7458.673127933409</v>
      </c>
      <c r="P74" s="99">
        <f t="shared" si="6"/>
        <v>-10535.265850034022</v>
      </c>
    </row>
    <row r="75" spans="3:16">
      <c r="C75" s="100">
        <v>2</v>
      </c>
      <c r="D75" s="100">
        <v>1</v>
      </c>
      <c r="E75" s="100">
        <v>-1</v>
      </c>
      <c r="F75" s="100">
        <v>0</v>
      </c>
      <c r="G75" s="100">
        <v>-7888</v>
      </c>
      <c r="H75" s="100">
        <v>24208</v>
      </c>
      <c r="I75" s="100">
        <f t="shared" si="0"/>
        <v>0.99961731312799451</v>
      </c>
      <c r="J75" s="100"/>
      <c r="K75" s="100">
        <f t="shared" si="1"/>
        <v>2</v>
      </c>
      <c r="L75" s="100">
        <f t="shared" si="2"/>
        <v>1</v>
      </c>
      <c r="M75" s="100">
        <f t="shared" si="3"/>
        <v>-1</v>
      </c>
      <c r="N75" s="100">
        <f t="shared" si="4"/>
        <v>0</v>
      </c>
      <c r="O75" s="99">
        <f t="shared" si="5"/>
        <v>-5338.4990887067688</v>
      </c>
      <c r="P75" s="99">
        <f t="shared" si="6"/>
        <v>17808.823369918347</v>
      </c>
    </row>
    <row r="76" spans="3:16">
      <c r="C76" s="100">
        <v>2</v>
      </c>
      <c r="D76" s="100">
        <v>1</v>
      </c>
      <c r="E76" s="100">
        <v>0</v>
      </c>
      <c r="F76" s="100">
        <v>0</v>
      </c>
      <c r="G76" s="100">
        <v>-6766</v>
      </c>
      <c r="H76" s="100">
        <v>30824</v>
      </c>
      <c r="I76" s="100">
        <f t="shared" si="0"/>
        <v>0.99961731312799451</v>
      </c>
      <c r="J76" s="100"/>
      <c r="K76" s="100">
        <f t="shared" si="1"/>
        <v>2</v>
      </c>
      <c r="L76" s="100">
        <f t="shared" si="2"/>
        <v>1</v>
      </c>
      <c r="M76" s="100">
        <f t="shared" si="3"/>
        <v>0</v>
      </c>
      <c r="N76" s="100">
        <f t="shared" si="4"/>
        <v>0</v>
      </c>
      <c r="O76" s="99">
        <f t="shared" si="5"/>
        <v>-4360.5570420498043</v>
      </c>
      <c r="P76" s="99">
        <f t="shared" si="6"/>
        <v>23553.232992221394</v>
      </c>
    </row>
    <row r="77" spans="3:16">
      <c r="C77" s="100">
        <v>1</v>
      </c>
      <c r="D77" s="100">
        <v>0</v>
      </c>
      <c r="E77" s="100">
        <v>-1</v>
      </c>
      <c r="F77" s="100">
        <v>0</v>
      </c>
      <c r="G77" s="100">
        <v>-5163</v>
      </c>
      <c r="H77" s="100">
        <v>-8379</v>
      </c>
      <c r="I77" s="100">
        <f t="shared" si="0"/>
        <v>0.99961731312799451</v>
      </c>
      <c r="J77" s="100"/>
      <c r="K77" s="100">
        <f t="shared" si="1"/>
        <v>1</v>
      </c>
      <c r="L77" s="100">
        <f t="shared" si="2"/>
        <v>0</v>
      </c>
      <c r="M77" s="100">
        <f t="shared" si="3"/>
        <v>-1</v>
      </c>
      <c r="N77" s="100">
        <f t="shared" si="4"/>
        <v>0</v>
      </c>
      <c r="O77" s="99">
        <f t="shared" si="5"/>
        <v>1246.3869853448525</v>
      </c>
      <c r="P77" s="99">
        <f t="shared" si="6"/>
        <v>-8127.8769857236721</v>
      </c>
    </row>
    <row r="78" spans="3:16">
      <c r="C78" s="100">
        <v>1</v>
      </c>
      <c r="D78" s="100">
        <v>1</v>
      </c>
      <c r="E78" s="100">
        <v>0</v>
      </c>
      <c r="F78" s="100">
        <v>0</v>
      </c>
      <c r="G78" s="100">
        <v>4987</v>
      </c>
      <c r="H78" s="100">
        <v>-16675</v>
      </c>
      <c r="I78" s="100">
        <f t="shared" si="0"/>
        <v>0.99961731312799451</v>
      </c>
      <c r="J78" s="100"/>
      <c r="K78" s="100">
        <f t="shared" si="1"/>
        <v>1</v>
      </c>
      <c r="L78" s="100">
        <f t="shared" si="2"/>
        <v>1</v>
      </c>
      <c r="M78" s="100">
        <f t="shared" si="3"/>
        <v>0</v>
      </c>
      <c r="N78" s="100">
        <f t="shared" si="4"/>
        <v>0</v>
      </c>
      <c r="O78" s="99">
        <f t="shared" si="5"/>
        <v>4161.2354322958954</v>
      </c>
      <c r="P78" s="99">
        <f t="shared" si="6"/>
        <v>-9178.5804501791663</v>
      </c>
    </row>
    <row r="79" spans="3:16">
      <c r="C79" s="100">
        <v>2</v>
      </c>
      <c r="D79" s="100">
        <v>-1</v>
      </c>
      <c r="E79" s="100">
        <v>1</v>
      </c>
      <c r="F79" s="100">
        <v>0</v>
      </c>
      <c r="G79" s="100">
        <v>4036</v>
      </c>
      <c r="H79" s="100">
        <v>-12831</v>
      </c>
      <c r="I79" s="100">
        <f t="shared" si="0"/>
        <v>0.99961731312799451</v>
      </c>
      <c r="J79" s="100"/>
      <c r="K79" s="100">
        <f t="shared" si="1"/>
        <v>2</v>
      </c>
      <c r="L79" s="100">
        <f t="shared" si="2"/>
        <v>-1</v>
      </c>
      <c r="M79" s="100">
        <f t="shared" si="3"/>
        <v>1</v>
      </c>
      <c r="N79" s="100">
        <f t="shared" si="4"/>
        <v>0</v>
      </c>
      <c r="O79" s="99">
        <f t="shared" si="5"/>
        <v>-3828.5153087551757</v>
      </c>
      <c r="P79" s="99">
        <f t="shared" si="6"/>
        <v>4045.5093452315491</v>
      </c>
    </row>
    <row r="80" spans="3:16">
      <c r="C80" s="100">
        <v>2</v>
      </c>
      <c r="D80" s="100">
        <v>0</v>
      </c>
      <c r="E80" s="100">
        <v>2</v>
      </c>
      <c r="F80" s="100">
        <v>0</v>
      </c>
      <c r="G80" s="100">
        <v>3994</v>
      </c>
      <c r="H80" s="100">
        <v>-10445</v>
      </c>
      <c r="I80" s="100">
        <f t="shared" si="0"/>
        <v>0.99923477270523098</v>
      </c>
      <c r="J80" s="100"/>
      <c r="K80" s="100">
        <f t="shared" si="1"/>
        <v>2</v>
      </c>
      <c r="L80" s="100">
        <f t="shared" si="2"/>
        <v>0</v>
      </c>
      <c r="M80" s="100">
        <f t="shared" si="3"/>
        <v>2</v>
      </c>
      <c r="N80" s="100">
        <f t="shared" si="4"/>
        <v>0</v>
      </c>
      <c r="O80" s="99">
        <f t="shared" si="5"/>
        <v>-2447.3033232000612</v>
      </c>
      <c r="P80" s="99">
        <f t="shared" si="6"/>
        <v>-8244.3659974308648</v>
      </c>
    </row>
    <row r="81" spans="3:16">
      <c r="C81" s="100">
        <v>4</v>
      </c>
      <c r="D81" s="100">
        <v>0</v>
      </c>
      <c r="E81" s="100">
        <v>0</v>
      </c>
      <c r="F81" s="100">
        <v>0</v>
      </c>
      <c r="G81" s="100">
        <v>3861</v>
      </c>
      <c r="H81" s="100">
        <v>-11650</v>
      </c>
      <c r="I81" s="100">
        <f t="shared" si="0"/>
        <v>1</v>
      </c>
      <c r="J81" s="100"/>
      <c r="K81" s="100">
        <f t="shared" si="1"/>
        <v>4</v>
      </c>
      <c r="L81" s="100">
        <f t="shared" si="2"/>
        <v>0</v>
      </c>
      <c r="M81" s="100">
        <f t="shared" si="3"/>
        <v>0</v>
      </c>
      <c r="N81" s="100">
        <f t="shared" si="4"/>
        <v>0</v>
      </c>
      <c r="O81" s="99">
        <f t="shared" si="5"/>
        <v>-3520.9341602192949</v>
      </c>
      <c r="P81" s="99">
        <f t="shared" si="6"/>
        <v>-4780.7134308392124</v>
      </c>
    </row>
    <row r="82" spans="3:16">
      <c r="C82" s="100">
        <v>2</v>
      </c>
      <c r="D82" s="100">
        <v>0</v>
      </c>
      <c r="E82" s="100">
        <v>-3</v>
      </c>
      <c r="F82" s="100">
        <v>0</v>
      </c>
      <c r="G82" s="100">
        <v>3665</v>
      </c>
      <c r="H82" s="100">
        <v>14403</v>
      </c>
      <c r="I82" s="100">
        <f t="shared" si="0"/>
        <v>1</v>
      </c>
      <c r="J82" s="100"/>
      <c r="K82" s="100">
        <f t="shared" si="1"/>
        <v>2</v>
      </c>
      <c r="L82" s="100">
        <f t="shared" si="2"/>
        <v>0</v>
      </c>
      <c r="M82" s="100">
        <f t="shared" si="3"/>
        <v>-3</v>
      </c>
      <c r="N82" s="100">
        <f t="shared" si="4"/>
        <v>0</v>
      </c>
      <c r="O82" s="99">
        <f t="shared" si="5"/>
        <v>-1576.7920792036482</v>
      </c>
      <c r="P82" s="99">
        <f t="shared" si="6"/>
        <v>13001.867808639767</v>
      </c>
    </row>
    <row r="83" spans="3:16">
      <c r="C83" s="100">
        <v>0</v>
      </c>
      <c r="D83" s="100">
        <v>1</v>
      </c>
      <c r="E83" s="100">
        <v>-2</v>
      </c>
      <c r="F83" s="100">
        <v>0</v>
      </c>
      <c r="G83" s="100">
        <v>-2689</v>
      </c>
      <c r="H83" s="100">
        <v>-7003</v>
      </c>
      <c r="I83" s="100">
        <f t="shared" si="0"/>
        <v>0.99923477270523098</v>
      </c>
      <c r="J83" s="100"/>
      <c r="K83" s="100">
        <f t="shared" si="1"/>
        <v>0</v>
      </c>
      <c r="L83" s="100">
        <f t="shared" si="2"/>
        <v>1</v>
      </c>
      <c r="M83" s="100">
        <f t="shared" si="3"/>
        <v>-2</v>
      </c>
      <c r="N83" s="100">
        <f t="shared" si="4"/>
        <v>0</v>
      </c>
      <c r="O83" s="99">
        <f t="shared" si="5"/>
        <v>-2627.9090967708098</v>
      </c>
      <c r="P83" s="99">
        <f t="shared" si="6"/>
        <v>-1458.7708486845252</v>
      </c>
    </row>
    <row r="84" spans="3:16">
      <c r="C84" s="100">
        <v>2</v>
      </c>
      <c r="D84" s="100">
        <v>0</v>
      </c>
      <c r="E84" s="100">
        <v>-1</v>
      </c>
      <c r="F84" s="100">
        <v>2</v>
      </c>
      <c r="G84" s="100">
        <v>-2602</v>
      </c>
      <c r="H84" s="100">
        <v>0</v>
      </c>
      <c r="I84" s="100">
        <f t="shared" si="0"/>
        <v>0.99961731312799451</v>
      </c>
      <c r="J84" s="100"/>
      <c r="K84" s="100">
        <f t="shared" si="1"/>
        <v>2</v>
      </c>
      <c r="L84" s="100">
        <f t="shared" si="2"/>
        <v>0</v>
      </c>
      <c r="M84" s="100">
        <f t="shared" si="3"/>
        <v>-1</v>
      </c>
      <c r="N84" s="100">
        <f t="shared" si="4"/>
        <v>2</v>
      </c>
      <c r="O84" s="99">
        <f t="shared" si="5"/>
        <v>2598.4010613386758</v>
      </c>
      <c r="P84" s="99">
        <f t="shared" si="6"/>
        <v>0</v>
      </c>
    </row>
    <row r="85" spans="3:16">
      <c r="C85" s="100">
        <v>2</v>
      </c>
      <c r="D85" s="100">
        <v>-1</v>
      </c>
      <c r="E85" s="100">
        <v>-2</v>
      </c>
      <c r="F85" s="100">
        <v>0</v>
      </c>
      <c r="G85" s="100">
        <v>2390</v>
      </c>
      <c r="H85" s="100">
        <v>10056</v>
      </c>
      <c r="I85" s="100">
        <f t="shared" si="0"/>
        <v>0.99923477270523098</v>
      </c>
      <c r="J85" s="100"/>
      <c r="K85" s="100">
        <f t="shared" si="1"/>
        <v>2</v>
      </c>
      <c r="L85" s="100">
        <f t="shared" si="2"/>
        <v>-1</v>
      </c>
      <c r="M85" s="100">
        <f t="shared" si="3"/>
        <v>-2</v>
      </c>
      <c r="N85" s="100">
        <f t="shared" si="4"/>
        <v>0</v>
      </c>
      <c r="O85" s="99">
        <f t="shared" si="5"/>
        <v>-2344.4395794248248</v>
      </c>
      <c r="P85" s="99">
        <f t="shared" si="6"/>
        <v>-1914.1460719312024</v>
      </c>
    </row>
    <row r="86" spans="3:16">
      <c r="C86" s="100">
        <v>1</v>
      </c>
      <c r="D86" s="100">
        <v>0</v>
      </c>
      <c r="E86" s="100">
        <v>1</v>
      </c>
      <c r="F86" s="100">
        <v>0</v>
      </c>
      <c r="G86" s="100">
        <v>-2348</v>
      </c>
      <c r="H86" s="100">
        <v>6322</v>
      </c>
      <c r="I86" s="100">
        <f t="shared" si="0"/>
        <v>0.99961731312799451</v>
      </c>
      <c r="J86" s="100"/>
      <c r="K86" s="100">
        <f t="shared" si="1"/>
        <v>1</v>
      </c>
      <c r="L86" s="100">
        <f t="shared" si="2"/>
        <v>0</v>
      </c>
      <c r="M86" s="100">
        <f t="shared" si="3"/>
        <v>1</v>
      </c>
      <c r="N86" s="100">
        <f t="shared" si="4"/>
        <v>0</v>
      </c>
      <c r="O86" s="99">
        <f t="shared" si="5"/>
        <v>760.69867199573912</v>
      </c>
      <c r="P86" s="99">
        <f t="shared" si="6"/>
        <v>5978.4647061803962</v>
      </c>
    </row>
    <row r="87" spans="3:16">
      <c r="C87" s="100">
        <v>2</v>
      </c>
      <c r="D87" s="100">
        <v>-2</v>
      </c>
      <c r="E87" s="100">
        <v>0</v>
      </c>
      <c r="F87" s="100">
        <v>0</v>
      </c>
      <c r="G87" s="100">
        <v>2236</v>
      </c>
      <c r="H87" s="100">
        <v>-9884</v>
      </c>
      <c r="I87" s="100">
        <f t="shared" si="0"/>
        <v>0.99923477270523098</v>
      </c>
      <c r="J87" s="100"/>
      <c r="K87" s="100">
        <f t="shared" si="1"/>
        <v>2</v>
      </c>
      <c r="L87" s="100">
        <f t="shared" si="2"/>
        <v>-2</v>
      </c>
      <c r="M87" s="100">
        <f t="shared" si="3"/>
        <v>0</v>
      </c>
      <c r="N87" s="100">
        <f t="shared" si="4"/>
        <v>0</v>
      </c>
      <c r="O87" s="99">
        <f t="shared" si="5"/>
        <v>-40.97579861274005</v>
      </c>
      <c r="P87" s="99">
        <f t="shared" si="6"/>
        <v>9874.7754423716688</v>
      </c>
    </row>
    <row r="88" spans="3:16">
      <c r="C88" s="100">
        <v>0</v>
      </c>
      <c r="D88" s="100">
        <v>1</v>
      </c>
      <c r="E88" s="100">
        <v>2</v>
      </c>
      <c r="F88" s="100">
        <v>0</v>
      </c>
      <c r="G88" s="100">
        <v>-2120</v>
      </c>
      <c r="H88" s="100">
        <v>5751</v>
      </c>
      <c r="I88" s="100">
        <f t="shared" si="0"/>
        <v>0.99923477270523098</v>
      </c>
      <c r="J88" s="100"/>
      <c r="K88" s="100">
        <f t="shared" si="1"/>
        <v>0</v>
      </c>
      <c r="L88" s="100">
        <f t="shared" si="2"/>
        <v>1</v>
      </c>
      <c r="M88" s="100">
        <f t="shared" si="3"/>
        <v>2</v>
      </c>
      <c r="N88" s="100">
        <f t="shared" si="4"/>
        <v>0</v>
      </c>
      <c r="O88" s="99">
        <f t="shared" si="5"/>
        <v>-1965.4444508152392</v>
      </c>
      <c r="P88" s="99">
        <f t="shared" si="6"/>
        <v>2143.8376878028625</v>
      </c>
    </row>
    <row r="89" spans="3:16">
      <c r="C89" s="100">
        <v>0</v>
      </c>
      <c r="D89" s="100">
        <v>2</v>
      </c>
      <c r="E89" s="100">
        <v>0</v>
      </c>
      <c r="F89" s="100">
        <v>0</v>
      </c>
      <c r="G89" s="100">
        <v>-2069</v>
      </c>
      <c r="H89" s="100">
        <v>0</v>
      </c>
      <c r="I89" s="100">
        <f t="shared" si="0"/>
        <v>0.99923477270523098</v>
      </c>
      <c r="J89" s="100"/>
      <c r="K89" s="100">
        <f t="shared" si="1"/>
        <v>0</v>
      </c>
      <c r="L89" s="100">
        <f t="shared" si="2"/>
        <v>2</v>
      </c>
      <c r="M89" s="100">
        <f t="shared" si="3"/>
        <v>0</v>
      </c>
      <c r="N89" s="100">
        <f t="shared" si="4"/>
        <v>0</v>
      </c>
      <c r="O89" s="99">
        <f t="shared" si="5"/>
        <v>-1154.2012114069746</v>
      </c>
      <c r="P89" s="99">
        <f t="shared" si="6"/>
        <v>0</v>
      </c>
    </row>
    <row r="90" spans="3:16">
      <c r="C90" s="100">
        <v>2</v>
      </c>
      <c r="D90" s="100">
        <v>-2</v>
      </c>
      <c r="E90" s="100">
        <v>-1</v>
      </c>
      <c r="F90" s="100">
        <v>0</v>
      </c>
      <c r="G90" s="100">
        <v>2048</v>
      </c>
      <c r="H90" s="100">
        <v>-4950</v>
      </c>
      <c r="I90" s="100">
        <f t="shared" si="0"/>
        <v>0.99923477270523098</v>
      </c>
      <c r="J90" s="100"/>
      <c r="K90" s="100">
        <f t="shared" si="1"/>
        <v>2</v>
      </c>
      <c r="L90" s="100">
        <f t="shared" si="2"/>
        <v>-2</v>
      </c>
      <c r="M90" s="100">
        <f t="shared" si="3"/>
        <v>-1</v>
      </c>
      <c r="N90" s="100">
        <f t="shared" si="4"/>
        <v>0</v>
      </c>
      <c r="O90" s="99">
        <f t="shared" si="5"/>
        <v>-125.60419453241008</v>
      </c>
      <c r="P90" s="99">
        <f t="shared" si="6"/>
        <v>4936.8867642130544</v>
      </c>
    </row>
    <row r="91" spans="3:16">
      <c r="C91" s="100">
        <v>2</v>
      </c>
      <c r="D91" s="100">
        <v>0</v>
      </c>
      <c r="E91" s="100">
        <v>1</v>
      </c>
      <c r="F91" s="100">
        <v>-2</v>
      </c>
      <c r="G91" s="100">
        <v>-1773</v>
      </c>
      <c r="H91" s="100">
        <v>4130</v>
      </c>
      <c r="I91" s="100">
        <f t="shared" si="0"/>
        <v>0.99961731312799451</v>
      </c>
      <c r="J91" s="100"/>
      <c r="K91" s="100">
        <f t="shared" si="1"/>
        <v>2</v>
      </c>
      <c r="L91" s="100">
        <f t="shared" si="2"/>
        <v>0</v>
      </c>
      <c r="M91" s="100">
        <f t="shared" si="3"/>
        <v>1</v>
      </c>
      <c r="N91" s="100">
        <f t="shared" si="4"/>
        <v>-2</v>
      </c>
      <c r="O91" s="99">
        <f t="shared" si="5"/>
        <v>-798.85671234074027</v>
      </c>
      <c r="P91" s="99">
        <f t="shared" si="6"/>
        <v>3685.2548626836083</v>
      </c>
    </row>
    <row r="92" spans="3:16">
      <c r="C92" s="100">
        <v>2</v>
      </c>
      <c r="D92" s="100">
        <v>0</v>
      </c>
      <c r="E92" s="100">
        <v>0</v>
      </c>
      <c r="F92" s="100">
        <v>2</v>
      </c>
      <c r="G92" s="100">
        <v>-1595</v>
      </c>
      <c r="H92" s="100">
        <v>0</v>
      </c>
      <c r="I92" s="100">
        <f t="shared" si="0"/>
        <v>1</v>
      </c>
      <c r="J92" s="100"/>
      <c r="K92" s="100">
        <f t="shared" si="1"/>
        <v>2</v>
      </c>
      <c r="L92" s="100">
        <f t="shared" si="2"/>
        <v>0</v>
      </c>
      <c r="M92" s="100">
        <f t="shared" si="3"/>
        <v>0</v>
      </c>
      <c r="N92" s="100">
        <f t="shared" si="4"/>
        <v>2</v>
      </c>
      <c r="O92" s="99">
        <f t="shared" si="5"/>
        <v>1588.8534844641481</v>
      </c>
      <c r="P92" s="99">
        <f t="shared" si="6"/>
        <v>0</v>
      </c>
    </row>
    <row r="93" spans="3:16">
      <c r="C93" s="100">
        <v>4</v>
      </c>
      <c r="D93" s="100">
        <v>-1</v>
      </c>
      <c r="E93" s="100">
        <v>-1</v>
      </c>
      <c r="F93" s="100">
        <v>0</v>
      </c>
      <c r="G93" s="100">
        <v>1215</v>
      </c>
      <c r="H93" s="100">
        <v>-3958</v>
      </c>
      <c r="I93" s="100">
        <f t="shared" si="0"/>
        <v>0.99961731312799451</v>
      </c>
      <c r="J93" s="100"/>
      <c r="K93" s="100">
        <f t="shared" si="1"/>
        <v>4</v>
      </c>
      <c r="L93" s="100">
        <f t="shared" si="2"/>
        <v>-1</v>
      </c>
      <c r="M93" s="100">
        <f t="shared" si="3"/>
        <v>-1</v>
      </c>
      <c r="N93" s="100">
        <f t="shared" si="4"/>
        <v>0</v>
      </c>
      <c r="O93" s="99">
        <f t="shared" si="5"/>
        <v>-838.55073619341556</v>
      </c>
      <c r="P93" s="99">
        <f t="shared" si="6"/>
        <v>2862.1204935935698</v>
      </c>
    </row>
    <row r="94" spans="3:16">
      <c r="C94" s="100">
        <v>0</v>
      </c>
      <c r="D94" s="100">
        <v>0</v>
      </c>
      <c r="E94" s="100">
        <v>2</v>
      </c>
      <c r="F94" s="100">
        <v>2</v>
      </c>
      <c r="G94" s="100">
        <v>-1110</v>
      </c>
      <c r="H94" s="100">
        <v>0</v>
      </c>
      <c r="I94" s="100">
        <f t="shared" si="0"/>
        <v>0.99923477270523098</v>
      </c>
      <c r="J94" s="100"/>
      <c r="K94" s="100">
        <f t="shared" si="1"/>
        <v>0</v>
      </c>
      <c r="L94" s="100">
        <f t="shared" si="2"/>
        <v>0</v>
      </c>
      <c r="M94" s="100">
        <f t="shared" si="3"/>
        <v>2</v>
      </c>
      <c r="N94" s="100">
        <f t="shared" si="4"/>
        <v>2</v>
      </c>
      <c r="O94" s="99">
        <f t="shared" si="5"/>
        <v>1021.5938716047307</v>
      </c>
      <c r="P94" s="99">
        <f t="shared" si="6"/>
        <v>0</v>
      </c>
    </row>
    <row r="95" spans="3:16">
      <c r="C95" s="100">
        <v>3</v>
      </c>
      <c r="D95" s="100">
        <v>0</v>
      </c>
      <c r="E95" s="100">
        <v>-1</v>
      </c>
      <c r="F95" s="100">
        <v>0</v>
      </c>
      <c r="G95" s="100">
        <v>-892</v>
      </c>
      <c r="H95" s="100">
        <v>3258</v>
      </c>
      <c r="I95" s="100">
        <f t="shared" si="0"/>
        <v>0.99961731312799451</v>
      </c>
      <c r="J95" s="100"/>
      <c r="K95" s="100">
        <f t="shared" si="1"/>
        <v>3</v>
      </c>
      <c r="L95" s="100">
        <f t="shared" si="2"/>
        <v>0</v>
      </c>
      <c r="M95" s="100">
        <f t="shared" si="3"/>
        <v>-1</v>
      </c>
      <c r="N95" s="100">
        <f t="shared" si="4"/>
        <v>0</v>
      </c>
      <c r="O95" s="99">
        <f t="shared" si="5"/>
        <v>650.64391231881655</v>
      </c>
      <c r="P95" s="99">
        <f t="shared" si="6"/>
        <v>2226.8594578748011</v>
      </c>
    </row>
    <row r="96" spans="3:16">
      <c r="C96" s="100">
        <v>2</v>
      </c>
      <c r="D96" s="100">
        <v>1</v>
      </c>
      <c r="E96" s="100">
        <v>1</v>
      </c>
      <c r="F96" s="100">
        <v>0</v>
      </c>
      <c r="G96" s="100">
        <v>-810</v>
      </c>
      <c r="H96" s="100">
        <v>2616</v>
      </c>
      <c r="I96" s="100">
        <f t="shared" si="0"/>
        <v>0.99961731312799451</v>
      </c>
      <c r="J96" s="100"/>
      <c r="K96" s="100">
        <f t="shared" si="1"/>
        <v>2</v>
      </c>
      <c r="L96" s="100">
        <f t="shared" si="2"/>
        <v>1</v>
      </c>
      <c r="M96" s="100">
        <f t="shared" si="3"/>
        <v>1</v>
      </c>
      <c r="N96" s="100">
        <f t="shared" si="4"/>
        <v>0</v>
      </c>
      <c r="O96" s="99">
        <f t="shared" si="5"/>
        <v>-494.89262069459846</v>
      </c>
      <c r="P96" s="99">
        <f t="shared" si="6"/>
        <v>2069.6842246460378</v>
      </c>
    </row>
    <row r="97" spans="3:16">
      <c r="C97" s="100">
        <v>4</v>
      </c>
      <c r="D97" s="100">
        <v>-1</v>
      </c>
      <c r="E97" s="100">
        <v>-2</v>
      </c>
      <c r="F97" s="100">
        <v>0</v>
      </c>
      <c r="G97" s="100">
        <v>759</v>
      </c>
      <c r="H97" s="100">
        <v>-1897</v>
      </c>
      <c r="I97" s="100">
        <f t="shared" si="0"/>
        <v>0.99923477270523098</v>
      </c>
      <c r="J97" s="100"/>
      <c r="K97" s="100">
        <f t="shared" si="1"/>
        <v>4</v>
      </c>
      <c r="L97" s="100">
        <f t="shared" si="2"/>
        <v>-1</v>
      </c>
      <c r="M97" s="100">
        <f t="shared" si="3"/>
        <v>-2</v>
      </c>
      <c r="N97" s="100">
        <f t="shared" si="4"/>
        <v>0</v>
      </c>
      <c r="O97" s="99">
        <f t="shared" si="5"/>
        <v>-546.77468826502911</v>
      </c>
      <c r="P97" s="99">
        <f t="shared" si="6"/>
        <v>1313.6103671621293</v>
      </c>
    </row>
    <row r="98" spans="3:16">
      <c r="C98" s="100">
        <v>0</v>
      </c>
      <c r="D98" s="100">
        <v>2</v>
      </c>
      <c r="E98" s="100">
        <v>-1</v>
      </c>
      <c r="F98" s="100">
        <v>0</v>
      </c>
      <c r="G98" s="100">
        <v>-713</v>
      </c>
      <c r="H98" s="100">
        <v>-2117</v>
      </c>
      <c r="I98" s="100">
        <f t="shared" si="0"/>
        <v>0.99923477270523098</v>
      </c>
      <c r="J98" s="100"/>
      <c r="K98" s="100">
        <f t="shared" si="1"/>
        <v>0</v>
      </c>
      <c r="L98" s="100">
        <f t="shared" si="2"/>
        <v>2</v>
      </c>
      <c r="M98" s="100">
        <f t="shared" si="3"/>
        <v>-1</v>
      </c>
      <c r="N98" s="100">
        <f t="shared" si="4"/>
        <v>0</v>
      </c>
      <c r="O98" s="99">
        <f t="shared" si="5"/>
        <v>-371.92800773409039</v>
      </c>
      <c r="P98" s="99">
        <f t="shared" si="6"/>
        <v>1804.2551039163848</v>
      </c>
    </row>
    <row r="99" spans="3:16">
      <c r="C99" s="100">
        <v>2</v>
      </c>
      <c r="D99" s="100">
        <v>2</v>
      </c>
      <c r="E99" s="100">
        <v>-1</v>
      </c>
      <c r="F99" s="100">
        <v>0</v>
      </c>
      <c r="G99" s="100">
        <v>-700</v>
      </c>
      <c r="H99" s="100">
        <v>2354</v>
      </c>
      <c r="I99" s="100">
        <f t="shared" si="0"/>
        <v>0.99923477270523098</v>
      </c>
      <c r="J99" s="100"/>
      <c r="K99" s="100">
        <f t="shared" si="1"/>
        <v>2</v>
      </c>
      <c r="L99" s="100">
        <f t="shared" si="2"/>
        <v>2</v>
      </c>
      <c r="M99" s="100">
        <f t="shared" si="3"/>
        <v>-1</v>
      </c>
      <c r="N99" s="100">
        <f t="shared" si="4"/>
        <v>0</v>
      </c>
      <c r="O99" s="99">
        <f t="shared" si="5"/>
        <v>-630.56346901840766</v>
      </c>
      <c r="P99" s="99">
        <f t="shared" si="6"/>
        <v>-1018.0078763934092</v>
      </c>
    </row>
    <row r="100" spans="3:16">
      <c r="C100" s="100">
        <v>2</v>
      </c>
      <c r="D100" s="100">
        <v>1</v>
      </c>
      <c r="E100" s="100">
        <v>-2</v>
      </c>
      <c r="F100" s="100">
        <v>0</v>
      </c>
      <c r="G100" s="100">
        <v>691</v>
      </c>
      <c r="H100" s="100">
        <v>0</v>
      </c>
      <c r="I100" s="100">
        <f t="shared" si="0"/>
        <v>0.99923477270523098</v>
      </c>
      <c r="J100" s="100"/>
      <c r="K100" s="100">
        <f t="shared" si="1"/>
        <v>2</v>
      </c>
      <c r="L100" s="100">
        <f t="shared" si="2"/>
        <v>1</v>
      </c>
      <c r="M100" s="100">
        <f t="shared" si="3"/>
        <v>-2</v>
      </c>
      <c r="N100" s="100">
        <f t="shared" si="4"/>
        <v>0</v>
      </c>
      <c r="O100" s="99">
        <f t="shared" si="5"/>
        <v>488.92919833876039</v>
      </c>
      <c r="P100" s="99">
        <f t="shared" si="6"/>
        <v>0</v>
      </c>
    </row>
    <row r="101" spans="3:16">
      <c r="C101" s="100">
        <v>2</v>
      </c>
      <c r="D101" s="100">
        <v>-1</v>
      </c>
      <c r="E101" s="100">
        <v>0</v>
      </c>
      <c r="F101" s="100">
        <v>-2</v>
      </c>
      <c r="G101" s="100">
        <v>596</v>
      </c>
      <c r="H101" s="100">
        <v>0</v>
      </c>
      <c r="I101" s="100">
        <f t="shared" si="0"/>
        <v>0.99961731312799451</v>
      </c>
      <c r="J101" s="100"/>
      <c r="K101" s="100">
        <f t="shared" si="1"/>
        <v>2</v>
      </c>
      <c r="L101" s="100">
        <f t="shared" si="2"/>
        <v>-1</v>
      </c>
      <c r="M101" s="100">
        <f t="shared" si="3"/>
        <v>0</v>
      </c>
      <c r="N101" s="100">
        <f t="shared" si="4"/>
        <v>-2</v>
      </c>
      <c r="O101" s="99">
        <f t="shared" si="5"/>
        <v>-412.15118485231363</v>
      </c>
      <c r="P101" s="99">
        <f t="shared" si="6"/>
        <v>0</v>
      </c>
    </row>
    <row r="102" spans="3:16">
      <c r="C102" s="100">
        <v>4</v>
      </c>
      <c r="D102" s="100">
        <v>0</v>
      </c>
      <c r="E102" s="100">
        <v>1</v>
      </c>
      <c r="F102" s="100">
        <v>0</v>
      </c>
      <c r="G102" s="100">
        <v>549</v>
      </c>
      <c r="H102" s="100">
        <v>-1423</v>
      </c>
      <c r="I102" s="100">
        <f t="shared" si="0"/>
        <v>0.99961731312799451</v>
      </c>
      <c r="J102" s="100"/>
      <c r="K102" s="100">
        <f t="shared" si="1"/>
        <v>4</v>
      </c>
      <c r="L102" s="100">
        <f t="shared" si="2"/>
        <v>0</v>
      </c>
      <c r="M102" s="100">
        <f t="shared" si="3"/>
        <v>1</v>
      </c>
      <c r="N102" s="100">
        <f t="shared" si="4"/>
        <v>0</v>
      </c>
      <c r="O102" s="99">
        <f t="shared" si="5"/>
        <v>-509.68747561475141</v>
      </c>
      <c r="P102" s="99">
        <f t="shared" si="6"/>
        <v>-527.32118110916031</v>
      </c>
    </row>
    <row r="103" spans="3:16">
      <c r="C103" s="100">
        <v>0</v>
      </c>
      <c r="D103" s="100">
        <v>0</v>
      </c>
      <c r="E103" s="100">
        <v>4</v>
      </c>
      <c r="F103" s="100">
        <v>0</v>
      </c>
      <c r="G103" s="100">
        <v>537</v>
      </c>
      <c r="H103" s="100">
        <v>-1117</v>
      </c>
      <c r="I103" s="100">
        <f t="shared" si="0"/>
        <v>1</v>
      </c>
      <c r="J103" s="100"/>
      <c r="K103" s="100">
        <f t="shared" si="1"/>
        <v>0</v>
      </c>
      <c r="L103" s="100">
        <f t="shared" si="2"/>
        <v>0</v>
      </c>
      <c r="M103" s="100">
        <f t="shared" si="3"/>
        <v>4</v>
      </c>
      <c r="N103" s="100">
        <f t="shared" si="4"/>
        <v>0</v>
      </c>
      <c r="O103" s="99">
        <f t="shared" si="5"/>
        <v>-92.068375348147796</v>
      </c>
      <c r="P103" s="99">
        <f t="shared" si="6"/>
        <v>-1100.4604821501152</v>
      </c>
    </row>
    <row r="104" spans="3:16">
      <c r="C104" s="100">
        <v>4</v>
      </c>
      <c r="D104" s="100">
        <v>-1</v>
      </c>
      <c r="E104" s="100">
        <v>0</v>
      </c>
      <c r="F104" s="100">
        <v>0</v>
      </c>
      <c r="G104" s="100">
        <v>520</v>
      </c>
      <c r="H104" s="100">
        <v>-1571</v>
      </c>
      <c r="I104" s="100">
        <f t="shared" si="0"/>
        <v>0.99961731312799451</v>
      </c>
      <c r="J104" s="100"/>
      <c r="K104" s="100">
        <f t="shared" si="1"/>
        <v>4</v>
      </c>
      <c r="L104" s="100">
        <f t="shared" si="2"/>
        <v>-1</v>
      </c>
      <c r="M104" s="100">
        <f t="shared" si="3"/>
        <v>0</v>
      </c>
      <c r="N104" s="100">
        <f t="shared" si="4"/>
        <v>0</v>
      </c>
      <c r="O104" s="99">
        <f t="shared" si="5"/>
        <v>-342.36071923737052</v>
      </c>
      <c r="P104" s="99">
        <f t="shared" si="6"/>
        <v>1181.6621410458865</v>
      </c>
    </row>
    <row r="105" spans="3:16">
      <c r="C105" s="100">
        <v>1</v>
      </c>
      <c r="D105" s="100">
        <v>0</v>
      </c>
      <c r="E105" s="100">
        <v>-2</v>
      </c>
      <c r="F105" s="100">
        <v>0</v>
      </c>
      <c r="G105" s="100">
        <v>-487</v>
      </c>
      <c r="H105" s="100">
        <v>-1739</v>
      </c>
      <c r="I105" s="100">
        <f t="shared" si="0"/>
        <v>0.99923477270523098</v>
      </c>
      <c r="J105" s="100"/>
      <c r="K105" s="100">
        <f t="shared" si="1"/>
        <v>1</v>
      </c>
      <c r="L105" s="100">
        <f t="shared" si="2"/>
        <v>0</v>
      </c>
      <c r="M105" s="100">
        <f t="shared" si="3"/>
        <v>-2</v>
      </c>
      <c r="N105" s="100">
        <f t="shared" si="4"/>
        <v>0</v>
      </c>
      <c r="O105" s="99">
        <f t="shared" si="5"/>
        <v>97.076626850150376</v>
      </c>
      <c r="P105" s="99">
        <f t="shared" si="6"/>
        <v>-1702.7423577697089</v>
      </c>
    </row>
    <row r="106" spans="3:16">
      <c r="C106" s="100">
        <v>2</v>
      </c>
      <c r="D106" s="100">
        <v>1</v>
      </c>
      <c r="E106" s="100">
        <v>0</v>
      </c>
      <c r="F106" s="100">
        <v>-2</v>
      </c>
      <c r="G106" s="100">
        <v>-399</v>
      </c>
      <c r="H106" s="100">
        <v>0</v>
      </c>
      <c r="I106" s="100">
        <f t="shared" si="0"/>
        <v>0.99961731312799451</v>
      </c>
      <c r="J106" s="100"/>
      <c r="K106" s="100">
        <f t="shared" si="1"/>
        <v>2</v>
      </c>
      <c r="L106" s="100">
        <f t="shared" si="2"/>
        <v>1</v>
      </c>
      <c r="M106" s="100">
        <f t="shared" si="3"/>
        <v>0</v>
      </c>
      <c r="N106" s="100">
        <f t="shared" si="4"/>
        <v>-2</v>
      </c>
      <c r="O106" s="99">
        <f t="shared" si="5"/>
        <v>-389.70580144844297</v>
      </c>
      <c r="P106" s="99">
        <f t="shared" si="6"/>
        <v>0</v>
      </c>
    </row>
    <row r="107" spans="3:16">
      <c r="C107" s="100">
        <v>0</v>
      </c>
      <c r="D107" s="100">
        <v>0</v>
      </c>
      <c r="E107" s="100">
        <v>2</v>
      </c>
      <c r="F107" s="100">
        <v>-2</v>
      </c>
      <c r="G107" s="100">
        <v>-381</v>
      </c>
      <c r="H107" s="100">
        <v>-4421</v>
      </c>
      <c r="I107" s="100">
        <f t="shared" si="0"/>
        <v>0.99923477270523098</v>
      </c>
      <c r="J107" s="100"/>
      <c r="K107" s="100">
        <f t="shared" si="1"/>
        <v>0</v>
      </c>
      <c r="L107" s="100">
        <f t="shared" si="2"/>
        <v>0</v>
      </c>
      <c r="M107" s="100">
        <f t="shared" si="3"/>
        <v>2</v>
      </c>
      <c r="N107" s="100">
        <f t="shared" si="4"/>
        <v>-2</v>
      </c>
      <c r="O107" s="99">
        <f t="shared" si="5"/>
        <v>-320.04458652219216</v>
      </c>
      <c r="P107" s="99">
        <f t="shared" si="6"/>
        <v>-2392.4510455392506</v>
      </c>
    </row>
    <row r="108" spans="3:16">
      <c r="C108" s="100">
        <v>1</v>
      </c>
      <c r="D108" s="100">
        <v>1</v>
      </c>
      <c r="E108" s="100">
        <v>1</v>
      </c>
      <c r="F108" s="100">
        <v>0</v>
      </c>
      <c r="G108" s="100">
        <v>351</v>
      </c>
      <c r="H108" s="100">
        <v>0</v>
      </c>
      <c r="I108" s="100">
        <f t="shared" si="0"/>
        <v>0.99961731312799451</v>
      </c>
      <c r="J108" s="100"/>
      <c r="K108" s="100">
        <f t="shared" si="1"/>
        <v>1</v>
      </c>
      <c r="L108" s="100">
        <f t="shared" si="2"/>
        <v>1</v>
      </c>
      <c r="M108" s="100">
        <f t="shared" si="3"/>
        <v>1</v>
      </c>
      <c r="N108" s="100">
        <f t="shared" si="4"/>
        <v>0</v>
      </c>
      <c r="O108" s="99">
        <f t="shared" si="5"/>
        <v>284.28880402236075</v>
      </c>
      <c r="P108" s="99">
        <f t="shared" si="6"/>
        <v>0</v>
      </c>
    </row>
    <row r="109" spans="3:16">
      <c r="C109" s="100">
        <v>3</v>
      </c>
      <c r="D109" s="100">
        <v>0</v>
      </c>
      <c r="E109" s="100">
        <v>-2</v>
      </c>
      <c r="F109" s="100">
        <v>0</v>
      </c>
      <c r="G109" s="100">
        <v>-340</v>
      </c>
      <c r="H109" s="100">
        <v>0</v>
      </c>
      <c r="I109" s="100">
        <f t="shared" si="0"/>
        <v>0.99923477270523098</v>
      </c>
      <c r="J109" s="100"/>
      <c r="K109" s="100">
        <f t="shared" si="1"/>
        <v>3</v>
      </c>
      <c r="L109" s="100">
        <f t="shared" si="2"/>
        <v>0</v>
      </c>
      <c r="M109" s="100">
        <f t="shared" si="3"/>
        <v>-2</v>
      </c>
      <c r="N109" s="100">
        <f t="shared" si="4"/>
        <v>0</v>
      </c>
      <c r="O109" s="99">
        <f t="shared" si="5"/>
        <v>237.67502729278814</v>
      </c>
      <c r="P109" s="99">
        <f t="shared" si="6"/>
        <v>0</v>
      </c>
    </row>
    <row r="110" spans="3:16">
      <c r="C110" s="100">
        <v>4</v>
      </c>
      <c r="D110" s="100">
        <v>0</v>
      </c>
      <c r="E110" s="100">
        <v>-3</v>
      </c>
      <c r="F110" s="100">
        <v>0</v>
      </c>
      <c r="G110" s="100">
        <v>330</v>
      </c>
      <c r="H110" s="100">
        <v>0</v>
      </c>
      <c r="I110" s="100">
        <f t="shared" si="0"/>
        <v>1</v>
      </c>
      <c r="J110" s="100"/>
      <c r="K110" s="100">
        <f t="shared" si="1"/>
        <v>4</v>
      </c>
      <c r="L110" s="100">
        <f t="shared" si="2"/>
        <v>0</v>
      </c>
      <c r="M110" s="100">
        <f t="shared" si="3"/>
        <v>-3</v>
      </c>
      <c r="N110" s="100">
        <f t="shared" si="4"/>
        <v>0</v>
      </c>
      <c r="O110" s="99">
        <f t="shared" si="5"/>
        <v>-280.974370429114</v>
      </c>
      <c r="P110" s="99">
        <f t="shared" si="6"/>
        <v>0</v>
      </c>
    </row>
    <row r="111" spans="3:16">
      <c r="C111" s="100">
        <v>2</v>
      </c>
      <c r="D111" s="100">
        <v>-1</v>
      </c>
      <c r="E111" s="100">
        <v>2</v>
      </c>
      <c r="F111" s="100">
        <v>0</v>
      </c>
      <c r="G111" s="100">
        <v>327</v>
      </c>
      <c r="H111" s="100">
        <v>0</v>
      </c>
      <c r="I111" s="100">
        <f t="shared" si="0"/>
        <v>0.99923477270523098</v>
      </c>
      <c r="J111" s="100"/>
      <c r="K111" s="100">
        <f t="shared" si="1"/>
        <v>2</v>
      </c>
      <c r="L111" s="100">
        <f t="shared" si="2"/>
        <v>-1</v>
      </c>
      <c r="M111" s="100">
        <f t="shared" si="3"/>
        <v>2</v>
      </c>
      <c r="N111" s="100">
        <f t="shared" si="4"/>
        <v>0</v>
      </c>
      <c r="O111" s="99">
        <f t="shared" si="5"/>
        <v>-305.34509898927905</v>
      </c>
      <c r="P111" s="99">
        <f t="shared" si="6"/>
        <v>0</v>
      </c>
    </row>
    <row r="112" spans="3:16">
      <c r="C112" s="100">
        <v>0</v>
      </c>
      <c r="D112" s="100">
        <v>2</v>
      </c>
      <c r="E112" s="100">
        <v>1</v>
      </c>
      <c r="F112" s="100">
        <v>0</v>
      </c>
      <c r="G112" s="100">
        <v>-323</v>
      </c>
      <c r="H112" s="100">
        <v>1165</v>
      </c>
      <c r="I112" s="100">
        <f t="shared" si="0"/>
        <v>0.99923477270523098</v>
      </c>
      <c r="J112" s="100"/>
      <c r="K112" s="100">
        <f t="shared" si="1"/>
        <v>0</v>
      </c>
      <c r="L112" s="100">
        <f t="shared" si="2"/>
        <v>2</v>
      </c>
      <c r="M112" s="100">
        <f t="shared" si="3"/>
        <v>1</v>
      </c>
      <c r="N112" s="100">
        <f t="shared" si="4"/>
        <v>0</v>
      </c>
      <c r="O112" s="99">
        <f t="shared" si="5"/>
        <v>-191.55067951645134</v>
      </c>
      <c r="P112" s="99">
        <f t="shared" si="6"/>
        <v>-936.92241029533432</v>
      </c>
    </row>
    <row r="113" spans="3:16">
      <c r="C113" s="100">
        <v>1</v>
      </c>
      <c r="D113" s="100">
        <v>1</v>
      </c>
      <c r="E113" s="100">
        <v>-1</v>
      </c>
      <c r="F113" s="100">
        <v>0</v>
      </c>
      <c r="G113" s="100">
        <v>299</v>
      </c>
      <c r="H113" s="100">
        <v>0</v>
      </c>
      <c r="I113" s="100">
        <f t="shared" si="0"/>
        <v>0.99961731312799451</v>
      </c>
      <c r="J113" s="100"/>
      <c r="K113" s="100">
        <f t="shared" si="1"/>
        <v>1</v>
      </c>
      <c r="L113" s="100">
        <f t="shared" si="2"/>
        <v>1</v>
      </c>
      <c r="M113" s="100">
        <f t="shared" si="3"/>
        <v>-1</v>
      </c>
      <c r="N113" s="100">
        <f t="shared" si="4"/>
        <v>0</v>
      </c>
      <c r="O113" s="99">
        <f t="shared" si="5"/>
        <v>256.34631328138073</v>
      </c>
      <c r="P113" s="99">
        <f t="shared" si="6"/>
        <v>0</v>
      </c>
    </row>
    <row r="114" spans="3:16">
      <c r="C114" s="100">
        <v>2</v>
      </c>
      <c r="D114" s="100">
        <v>0</v>
      </c>
      <c r="E114" s="100">
        <v>3</v>
      </c>
      <c r="F114" s="100">
        <v>0</v>
      </c>
      <c r="G114" s="100">
        <v>294</v>
      </c>
      <c r="H114" s="100">
        <v>0</v>
      </c>
      <c r="I114" s="100">
        <f t="shared" si="0"/>
        <v>1</v>
      </c>
      <c r="J114" s="100"/>
      <c r="K114" s="100">
        <f t="shared" si="1"/>
        <v>2</v>
      </c>
      <c r="L114" s="100">
        <f t="shared" si="2"/>
        <v>0</v>
      </c>
      <c r="M114" s="100">
        <f t="shared" si="3"/>
        <v>3</v>
      </c>
      <c r="N114" s="100">
        <f t="shared" si="4"/>
        <v>0</v>
      </c>
      <c r="O114" s="99">
        <f t="shared" si="5"/>
        <v>-190.11823757341523</v>
      </c>
      <c r="P114" s="99">
        <f t="shared" si="6"/>
        <v>0</v>
      </c>
    </row>
    <row r="115" spans="3:16">
      <c r="C115" s="100">
        <v>2</v>
      </c>
      <c r="D115" s="100">
        <v>0</v>
      </c>
      <c r="E115" s="100">
        <v>-1</v>
      </c>
      <c r="F115" s="100">
        <v>-2</v>
      </c>
      <c r="G115" s="100">
        <v>0</v>
      </c>
      <c r="H115" s="100">
        <v>8752</v>
      </c>
      <c r="I115" s="100">
        <f t="shared" si="0"/>
        <v>0.99961731312799451</v>
      </c>
      <c r="J115" s="100"/>
      <c r="K115" s="100">
        <f t="shared" si="1"/>
        <v>2</v>
      </c>
      <c r="L115" s="100">
        <f t="shared" si="2"/>
        <v>0</v>
      </c>
      <c r="M115" s="100">
        <f t="shared" si="3"/>
        <v>-1</v>
      </c>
      <c r="N115" s="100">
        <f t="shared" si="4"/>
        <v>-2</v>
      </c>
      <c r="O115" s="99">
        <f t="shared" si="5"/>
        <v>0</v>
      </c>
      <c r="P115" s="99">
        <f t="shared" si="6"/>
        <v>7441.262492760945</v>
      </c>
    </row>
    <row r="116" spans="3:16">
      <c r="O116" s="99">
        <f>SUM(O56:O115)+D43</f>
        <v>-1594201.6408113223</v>
      </c>
      <c r="P116" s="99">
        <f>SUM(P56:P115)</f>
        <v>-26764727.49566029</v>
      </c>
    </row>
    <row r="117" spans="3:16">
      <c r="O117" s="99">
        <f>O116/1000000</f>
        <v>-1.5942016408113222</v>
      </c>
      <c r="P117" s="99">
        <f>P116/1000</f>
        <v>-26764.727495660289</v>
      </c>
    </row>
    <row r="118" spans="3:16">
      <c r="C118" s="100" t="s">
        <v>159</v>
      </c>
      <c r="D118" s="100" t="s">
        <v>32</v>
      </c>
      <c r="E118" s="100" t="s">
        <v>66</v>
      </c>
      <c r="F118" s="100" t="s">
        <v>160</v>
      </c>
      <c r="G118" s="100" t="s">
        <v>171</v>
      </c>
      <c r="I118" s="100" t="s">
        <v>166</v>
      </c>
      <c r="J118" s="100"/>
      <c r="K118" s="100" t="s">
        <v>159</v>
      </c>
      <c r="L118" s="100" t="s">
        <v>166</v>
      </c>
      <c r="M118" s="100" t="s">
        <v>165</v>
      </c>
      <c r="N118" s="100" t="s">
        <v>160</v>
      </c>
      <c r="O118" s="100" t="s">
        <v>172</v>
      </c>
    </row>
    <row r="119" spans="3:16">
      <c r="C119" s="100">
        <v>0</v>
      </c>
      <c r="D119" s="100">
        <v>0</v>
      </c>
      <c r="E119" s="100">
        <v>0</v>
      </c>
      <c r="F119" s="100">
        <v>1</v>
      </c>
      <c r="G119" s="100">
        <v>5128122</v>
      </c>
      <c r="I119" s="100">
        <f>IF(ABS(D119)=2,$D$48,IF(ABS(E119)=2,$D$48,IF(ABS(D119)=1,$D$47,IF(ABS(E119)=1,$D$47,1))))</f>
        <v>1</v>
      </c>
      <c r="J119" s="100"/>
      <c r="K119" s="100">
        <f>C119</f>
        <v>0</v>
      </c>
      <c r="L119" s="100">
        <f t="shared" ref="L119:N119" si="7">D119</f>
        <v>0</v>
      </c>
      <c r="M119" s="100">
        <f t="shared" si="7"/>
        <v>0</v>
      </c>
      <c r="N119" s="100">
        <f t="shared" si="7"/>
        <v>1</v>
      </c>
      <c r="O119" s="99">
        <f t="shared" ref="O119:O178" si="8">I119*G119*SIN(((K119*$D$9+L119*$D$10+M119*$D$11+N119*$D$12))*PI()/180)</f>
        <v>2646754.8918847018</v>
      </c>
    </row>
    <row r="120" spans="3:16">
      <c r="C120" s="100">
        <v>0</v>
      </c>
      <c r="D120" s="100">
        <v>0</v>
      </c>
      <c r="E120" s="100">
        <v>1</v>
      </c>
      <c r="F120" s="100">
        <v>1</v>
      </c>
      <c r="G120" s="100">
        <v>280602</v>
      </c>
      <c r="I120" s="100">
        <f t="shared" ref="I120:I178" si="9">IF(ABS(D120)=2,$D$48,IF(ABS(E120)=2,$D$48,IF(ABS(D120)=1,$D$47,IF(ABS(E120)=1,$D$47,1))))</f>
        <v>0.99961731312799451</v>
      </c>
      <c r="J120" s="100"/>
      <c r="K120" s="100">
        <f t="shared" ref="K120:K178" si="10">C120</f>
        <v>0</v>
      </c>
      <c r="L120" s="100">
        <f t="shared" ref="L120:L178" si="11">D120</f>
        <v>0</v>
      </c>
      <c r="M120" s="100">
        <f t="shared" ref="M120:M178" si="12">E120</f>
        <v>1</v>
      </c>
      <c r="N120" s="100">
        <f t="shared" ref="N120:N178" si="13">F120</f>
        <v>1</v>
      </c>
      <c r="O120" s="99">
        <f t="shared" si="8"/>
        <v>154981.65269201025</v>
      </c>
    </row>
    <row r="121" spans="3:16">
      <c r="C121" s="100">
        <v>0</v>
      </c>
      <c r="D121" s="100">
        <v>0</v>
      </c>
      <c r="E121" s="100">
        <v>1</v>
      </c>
      <c r="F121" s="100">
        <v>-1</v>
      </c>
      <c r="G121" s="100">
        <v>277693</v>
      </c>
      <c r="I121" s="100">
        <f t="shared" si="9"/>
        <v>0.99961731312799451</v>
      </c>
      <c r="J121" s="100"/>
      <c r="K121" s="100">
        <f t="shared" si="10"/>
        <v>0</v>
      </c>
      <c r="L121" s="100">
        <f t="shared" si="11"/>
        <v>0</v>
      </c>
      <c r="M121" s="100">
        <f t="shared" si="12"/>
        <v>1</v>
      </c>
      <c r="N121" s="100">
        <f t="shared" si="13"/>
        <v>-1</v>
      </c>
      <c r="O121" s="99">
        <f t="shared" si="8"/>
        <v>-132898.46917035794</v>
      </c>
    </row>
    <row r="122" spans="3:16">
      <c r="C122" s="100">
        <v>2</v>
      </c>
      <c r="D122" s="100">
        <v>0</v>
      </c>
      <c r="E122" s="100">
        <v>0</v>
      </c>
      <c r="F122" s="100">
        <v>-1</v>
      </c>
      <c r="G122" s="100">
        <v>173237</v>
      </c>
      <c r="I122" s="100">
        <f t="shared" si="9"/>
        <v>1</v>
      </c>
      <c r="J122" s="100"/>
      <c r="K122" s="100">
        <f t="shared" si="10"/>
        <v>2</v>
      </c>
      <c r="L122" s="100">
        <f t="shared" si="11"/>
        <v>0</v>
      </c>
      <c r="M122" s="100">
        <f t="shared" si="12"/>
        <v>0</v>
      </c>
      <c r="N122" s="100">
        <f t="shared" si="13"/>
        <v>-1</v>
      </c>
      <c r="O122" s="99">
        <f t="shared" si="8"/>
        <v>5482.3109229869724</v>
      </c>
    </row>
    <row r="123" spans="3:16">
      <c r="C123" s="100">
        <v>2</v>
      </c>
      <c r="D123" s="100">
        <v>0</v>
      </c>
      <c r="E123" s="100">
        <v>-1</v>
      </c>
      <c r="F123" s="100">
        <v>1</v>
      </c>
      <c r="G123" s="100">
        <v>55413</v>
      </c>
      <c r="I123" s="100">
        <f t="shared" si="9"/>
        <v>0.99961731312799451</v>
      </c>
      <c r="J123" s="100"/>
      <c r="K123" s="100">
        <f t="shared" si="10"/>
        <v>2</v>
      </c>
      <c r="L123" s="100">
        <f t="shared" si="11"/>
        <v>0</v>
      </c>
      <c r="M123" s="100">
        <f t="shared" si="12"/>
        <v>-1</v>
      </c>
      <c r="N123" s="100">
        <f t="shared" si="13"/>
        <v>1</v>
      </c>
      <c r="O123" s="99">
        <f t="shared" si="8"/>
        <v>48675.064960370008</v>
      </c>
    </row>
    <row r="124" spans="3:16">
      <c r="C124" s="100">
        <v>2</v>
      </c>
      <c r="D124" s="100">
        <v>0</v>
      </c>
      <c r="E124" s="100">
        <v>-1</v>
      </c>
      <c r="F124" s="100">
        <v>-1</v>
      </c>
      <c r="G124" s="100">
        <v>46271</v>
      </c>
      <c r="I124" s="100">
        <f t="shared" si="9"/>
        <v>0.99961731312799451</v>
      </c>
      <c r="J124" s="100"/>
      <c r="K124" s="100">
        <f t="shared" si="10"/>
        <v>2</v>
      </c>
      <c r="L124" s="100">
        <f t="shared" si="11"/>
        <v>0</v>
      </c>
      <c r="M124" s="100">
        <f t="shared" si="12"/>
        <v>-1</v>
      </c>
      <c r="N124" s="100">
        <f t="shared" si="13"/>
        <v>-1</v>
      </c>
      <c r="O124" s="99">
        <f t="shared" si="8"/>
        <v>-528.36758870209837</v>
      </c>
    </row>
    <row r="125" spans="3:16">
      <c r="C125" s="100">
        <v>2</v>
      </c>
      <c r="D125" s="100">
        <v>0</v>
      </c>
      <c r="E125" s="100">
        <v>0</v>
      </c>
      <c r="F125" s="100">
        <v>1</v>
      </c>
      <c r="G125" s="100">
        <v>32573</v>
      </c>
      <c r="I125" s="100">
        <f t="shared" si="9"/>
        <v>1</v>
      </c>
      <c r="J125" s="100"/>
      <c r="K125" s="100">
        <f t="shared" si="10"/>
        <v>2</v>
      </c>
      <c r="L125" s="100">
        <f t="shared" si="11"/>
        <v>0</v>
      </c>
      <c r="M125" s="100">
        <f t="shared" si="12"/>
        <v>0</v>
      </c>
      <c r="N125" s="100">
        <f t="shared" si="13"/>
        <v>1</v>
      </c>
      <c r="O125" s="99">
        <f t="shared" si="8"/>
        <v>29266.178433856054</v>
      </c>
    </row>
    <row r="126" spans="3:16">
      <c r="C126" s="100">
        <v>0</v>
      </c>
      <c r="D126" s="100">
        <v>0</v>
      </c>
      <c r="E126" s="100">
        <v>2</v>
      </c>
      <c r="F126" s="100">
        <v>1</v>
      </c>
      <c r="G126" s="100">
        <v>17198</v>
      </c>
      <c r="I126" s="100">
        <f t="shared" si="9"/>
        <v>0.99923477270523098</v>
      </c>
      <c r="J126" s="100"/>
      <c r="K126" s="100">
        <f t="shared" si="10"/>
        <v>0</v>
      </c>
      <c r="L126" s="100">
        <f t="shared" si="11"/>
        <v>0</v>
      </c>
      <c r="M126" s="100">
        <f t="shared" si="12"/>
        <v>2</v>
      </c>
      <c r="N126" s="100">
        <f t="shared" si="13"/>
        <v>1</v>
      </c>
      <c r="O126" s="99">
        <f t="shared" si="8"/>
        <v>10103.123804236258</v>
      </c>
    </row>
    <row r="127" spans="3:16">
      <c r="C127" s="100">
        <v>2</v>
      </c>
      <c r="D127" s="100">
        <v>0</v>
      </c>
      <c r="E127" s="100">
        <v>1</v>
      </c>
      <c r="F127" s="100">
        <v>-1</v>
      </c>
      <c r="G127" s="100">
        <v>9266</v>
      </c>
      <c r="I127" s="100">
        <f t="shared" si="9"/>
        <v>0.99961731312799451</v>
      </c>
      <c r="J127" s="100"/>
      <c r="K127" s="100">
        <f t="shared" si="10"/>
        <v>2</v>
      </c>
      <c r="L127" s="100">
        <f t="shared" si="11"/>
        <v>0</v>
      </c>
      <c r="M127" s="100">
        <f t="shared" si="12"/>
        <v>1</v>
      </c>
      <c r="N127" s="100">
        <f t="shared" si="13"/>
        <v>-1</v>
      </c>
      <c r="O127" s="99">
        <f t="shared" si="8"/>
        <v>691.50935373706648</v>
      </c>
    </row>
    <row r="128" spans="3:16">
      <c r="C128" s="100">
        <v>0</v>
      </c>
      <c r="D128" s="100">
        <v>0</v>
      </c>
      <c r="E128" s="100">
        <v>2</v>
      </c>
      <c r="F128" s="100">
        <v>-1</v>
      </c>
      <c r="G128" s="100">
        <v>8822</v>
      </c>
      <c r="I128" s="100">
        <f t="shared" si="9"/>
        <v>0.99923477270523098</v>
      </c>
      <c r="J128" s="100"/>
      <c r="K128" s="100">
        <f t="shared" si="10"/>
        <v>0</v>
      </c>
      <c r="L128" s="100">
        <f t="shared" si="11"/>
        <v>0</v>
      </c>
      <c r="M128" s="100">
        <f t="shared" si="12"/>
        <v>2</v>
      </c>
      <c r="N128" s="100">
        <f t="shared" si="13"/>
        <v>-1</v>
      </c>
      <c r="O128" s="99">
        <f t="shared" si="8"/>
        <v>-3883.2386530749404</v>
      </c>
    </row>
    <row r="129" spans="3:15">
      <c r="C129" s="100">
        <v>2</v>
      </c>
      <c r="D129" s="100">
        <v>-1</v>
      </c>
      <c r="E129" s="100">
        <v>0</v>
      </c>
      <c r="F129" s="100">
        <v>-1</v>
      </c>
      <c r="G129" s="100">
        <v>8216</v>
      </c>
      <c r="I129" s="100">
        <f t="shared" si="9"/>
        <v>0.99961731312799451</v>
      </c>
      <c r="J129" s="100"/>
      <c r="K129" s="100">
        <f t="shared" si="10"/>
        <v>2</v>
      </c>
      <c r="L129" s="100">
        <f t="shared" si="11"/>
        <v>-1</v>
      </c>
      <c r="M129" s="100">
        <f t="shared" si="12"/>
        <v>0</v>
      </c>
      <c r="N129" s="100">
        <f t="shared" si="13"/>
        <v>-1</v>
      </c>
      <c r="O129" s="99">
        <f t="shared" si="8"/>
        <v>7927.2291305092131</v>
      </c>
    </row>
    <row r="130" spans="3:15">
      <c r="C130" s="100">
        <v>2</v>
      </c>
      <c r="D130" s="100">
        <v>0</v>
      </c>
      <c r="E130" s="100">
        <v>-2</v>
      </c>
      <c r="F130" s="100">
        <v>-1</v>
      </c>
      <c r="G130" s="100">
        <v>4324</v>
      </c>
      <c r="I130" s="100">
        <f t="shared" si="9"/>
        <v>0.99923477270523098</v>
      </c>
      <c r="J130" s="100"/>
      <c r="K130" s="100">
        <f t="shared" si="10"/>
        <v>2</v>
      </c>
      <c r="L130" s="100">
        <f t="shared" si="11"/>
        <v>0</v>
      </c>
      <c r="M130" s="100">
        <f t="shared" si="12"/>
        <v>-2</v>
      </c>
      <c r="N130" s="100">
        <f t="shared" si="13"/>
        <v>-1</v>
      </c>
      <c r="O130" s="99">
        <f t="shared" si="8"/>
        <v>-235.35588550577856</v>
      </c>
    </row>
    <row r="131" spans="3:15">
      <c r="C131" s="100">
        <v>2</v>
      </c>
      <c r="D131" s="100">
        <v>0</v>
      </c>
      <c r="E131" s="100">
        <v>1</v>
      </c>
      <c r="F131" s="100">
        <v>1</v>
      </c>
      <c r="G131" s="100">
        <v>4200</v>
      </c>
      <c r="I131" s="100">
        <f t="shared" si="9"/>
        <v>0.99961731312799451</v>
      </c>
      <c r="J131" s="100"/>
      <c r="K131" s="100">
        <f t="shared" si="10"/>
        <v>2</v>
      </c>
      <c r="L131" s="100">
        <f t="shared" si="11"/>
        <v>0</v>
      </c>
      <c r="M131" s="100">
        <f t="shared" si="12"/>
        <v>1</v>
      </c>
      <c r="N131" s="100">
        <f t="shared" si="13"/>
        <v>1</v>
      </c>
      <c r="O131" s="99">
        <f t="shared" si="8"/>
        <v>3848.0413060411465</v>
      </c>
    </row>
    <row r="132" spans="3:15">
      <c r="C132" s="100">
        <v>2</v>
      </c>
      <c r="D132" s="100">
        <v>1</v>
      </c>
      <c r="E132" s="100">
        <v>0</v>
      </c>
      <c r="F132" s="100">
        <v>-1</v>
      </c>
      <c r="G132" s="100">
        <v>-3359</v>
      </c>
      <c r="I132" s="100">
        <f t="shared" si="9"/>
        <v>0.99961731312799451</v>
      </c>
      <c r="J132" s="100"/>
      <c r="K132" s="100">
        <f t="shared" si="10"/>
        <v>2</v>
      </c>
      <c r="L132" s="100">
        <f t="shared" si="11"/>
        <v>1</v>
      </c>
      <c r="M132" s="100">
        <f t="shared" si="12"/>
        <v>0</v>
      </c>
      <c r="N132" s="100">
        <f t="shared" si="13"/>
        <v>-1</v>
      </c>
      <c r="O132" s="99">
        <f t="shared" si="8"/>
        <v>3178.9171903579931</v>
      </c>
    </row>
    <row r="133" spans="3:15">
      <c r="C133" s="100">
        <v>2</v>
      </c>
      <c r="D133" s="100">
        <v>-1</v>
      </c>
      <c r="E133" s="100">
        <v>-1</v>
      </c>
      <c r="F133" s="100">
        <v>1</v>
      </c>
      <c r="G133" s="100">
        <v>2463</v>
      </c>
      <c r="I133" s="100">
        <f t="shared" si="9"/>
        <v>0.99961731312799451</v>
      </c>
      <c r="J133" s="100"/>
      <c r="K133" s="100">
        <f t="shared" si="10"/>
        <v>2</v>
      </c>
      <c r="L133" s="100">
        <f t="shared" si="11"/>
        <v>-1</v>
      </c>
      <c r="M133" s="100">
        <f t="shared" si="12"/>
        <v>-1</v>
      </c>
      <c r="N133" s="100">
        <f t="shared" si="13"/>
        <v>1</v>
      </c>
      <c r="O133" s="99">
        <f t="shared" si="8"/>
        <v>1755.3892138915039</v>
      </c>
    </row>
    <row r="134" spans="3:15">
      <c r="C134" s="100">
        <v>2</v>
      </c>
      <c r="D134" s="100">
        <v>-1</v>
      </c>
      <c r="E134" s="100">
        <v>0</v>
      </c>
      <c r="F134" s="100">
        <v>1</v>
      </c>
      <c r="G134" s="100">
        <v>2211</v>
      </c>
      <c r="I134" s="100">
        <f t="shared" si="9"/>
        <v>0.99961731312799451</v>
      </c>
      <c r="J134" s="100"/>
      <c r="K134" s="100">
        <f t="shared" si="10"/>
        <v>2</v>
      </c>
      <c r="L134" s="100">
        <f t="shared" si="11"/>
        <v>-1</v>
      </c>
      <c r="M134" s="100">
        <f t="shared" si="12"/>
        <v>0</v>
      </c>
      <c r="N134" s="100">
        <f t="shared" si="13"/>
        <v>1</v>
      </c>
      <c r="O134" s="99">
        <f t="shared" si="8"/>
        <v>1507.5917877064178</v>
      </c>
    </row>
    <row r="135" spans="3:15">
      <c r="C135" s="100">
        <v>2</v>
      </c>
      <c r="D135" s="100">
        <v>-1</v>
      </c>
      <c r="E135" s="100">
        <v>-1</v>
      </c>
      <c r="F135" s="100">
        <v>-1</v>
      </c>
      <c r="G135" s="100">
        <v>2065</v>
      </c>
      <c r="I135" s="100">
        <f t="shared" si="9"/>
        <v>0.99961731312799451</v>
      </c>
      <c r="J135" s="100"/>
      <c r="K135" s="100">
        <f t="shared" si="10"/>
        <v>2</v>
      </c>
      <c r="L135" s="100">
        <f t="shared" si="11"/>
        <v>-1</v>
      </c>
      <c r="M135" s="100">
        <f t="shared" si="12"/>
        <v>-1</v>
      </c>
      <c r="N135" s="100">
        <f t="shared" si="13"/>
        <v>-1</v>
      </c>
      <c r="O135" s="99">
        <f t="shared" si="8"/>
        <v>1967.3341818609215</v>
      </c>
    </row>
    <row r="136" spans="3:15">
      <c r="C136" s="100">
        <v>0</v>
      </c>
      <c r="D136" s="100">
        <v>1</v>
      </c>
      <c r="E136" s="100">
        <v>-1</v>
      </c>
      <c r="F136" s="100">
        <v>-1</v>
      </c>
      <c r="G136" s="100">
        <v>-1870</v>
      </c>
      <c r="I136" s="100">
        <f t="shared" si="9"/>
        <v>0.99961731312799451</v>
      </c>
      <c r="J136" s="100"/>
      <c r="K136" s="100">
        <f t="shared" si="10"/>
        <v>0</v>
      </c>
      <c r="L136" s="100">
        <f t="shared" si="11"/>
        <v>1</v>
      </c>
      <c r="M136" s="100">
        <f t="shared" si="12"/>
        <v>-1</v>
      </c>
      <c r="N136" s="100">
        <f t="shared" si="13"/>
        <v>-1</v>
      </c>
      <c r="O136" s="99">
        <f t="shared" si="8"/>
        <v>1791.6361613881045</v>
      </c>
    </row>
    <row r="137" spans="3:15">
      <c r="C137" s="100">
        <v>4</v>
      </c>
      <c r="D137" s="100">
        <v>0</v>
      </c>
      <c r="E137" s="100">
        <v>-1</v>
      </c>
      <c r="F137" s="100">
        <v>-1</v>
      </c>
      <c r="G137" s="100">
        <v>1828</v>
      </c>
      <c r="I137" s="100">
        <f t="shared" si="9"/>
        <v>0.99961731312799451</v>
      </c>
      <c r="J137" s="100"/>
      <c r="K137" s="100">
        <f t="shared" si="10"/>
        <v>4</v>
      </c>
      <c r="L137" s="100">
        <f t="shared" si="11"/>
        <v>0</v>
      </c>
      <c r="M137" s="100">
        <f t="shared" si="12"/>
        <v>-1</v>
      </c>
      <c r="N137" s="100">
        <f t="shared" si="13"/>
        <v>-1</v>
      </c>
      <c r="O137" s="99">
        <f t="shared" si="8"/>
        <v>974.58034361868965</v>
      </c>
    </row>
    <row r="138" spans="3:15">
      <c r="C138" s="100">
        <v>0</v>
      </c>
      <c r="D138" s="100">
        <v>1</v>
      </c>
      <c r="E138" s="100">
        <v>0</v>
      </c>
      <c r="F138" s="100">
        <v>1</v>
      </c>
      <c r="G138" s="100">
        <v>-1794</v>
      </c>
      <c r="I138" s="100">
        <f t="shared" si="9"/>
        <v>0.99961731312799451</v>
      </c>
      <c r="J138" s="100"/>
      <c r="K138" s="100">
        <f t="shared" si="10"/>
        <v>0</v>
      </c>
      <c r="L138" s="100">
        <f t="shared" si="11"/>
        <v>1</v>
      </c>
      <c r="M138" s="100">
        <f t="shared" si="12"/>
        <v>0</v>
      </c>
      <c r="N138" s="100">
        <f t="shared" si="13"/>
        <v>1</v>
      </c>
      <c r="O138" s="99">
        <f t="shared" si="8"/>
        <v>1199.0011780623479</v>
      </c>
    </row>
    <row r="139" spans="3:15">
      <c r="C139" s="100">
        <v>0</v>
      </c>
      <c r="D139" s="100">
        <v>0</v>
      </c>
      <c r="E139" s="100">
        <v>0</v>
      </c>
      <c r="F139" s="100">
        <v>3</v>
      </c>
      <c r="G139" s="100">
        <v>-1749</v>
      </c>
      <c r="I139" s="100">
        <f t="shared" si="9"/>
        <v>1</v>
      </c>
      <c r="J139" s="100"/>
      <c r="K139" s="100">
        <f t="shared" si="10"/>
        <v>0</v>
      </c>
      <c r="L139" s="100">
        <f t="shared" si="11"/>
        <v>0</v>
      </c>
      <c r="M139" s="100">
        <f t="shared" si="12"/>
        <v>0</v>
      </c>
      <c r="N139" s="100">
        <f t="shared" si="13"/>
        <v>3</v>
      </c>
      <c r="O139" s="99">
        <f t="shared" si="8"/>
        <v>-1746.2418674108578</v>
      </c>
    </row>
    <row r="140" spans="3:15">
      <c r="C140" s="100">
        <v>0</v>
      </c>
      <c r="D140" s="100">
        <v>1</v>
      </c>
      <c r="E140" s="100">
        <v>-1</v>
      </c>
      <c r="F140" s="100">
        <v>1</v>
      </c>
      <c r="G140" s="100">
        <v>-1565</v>
      </c>
      <c r="I140" s="100">
        <f t="shared" si="9"/>
        <v>0.99961731312799451</v>
      </c>
      <c r="J140" s="100"/>
      <c r="K140" s="100">
        <f t="shared" si="10"/>
        <v>0</v>
      </c>
      <c r="L140" s="100">
        <f t="shared" si="11"/>
        <v>1</v>
      </c>
      <c r="M140" s="100">
        <f t="shared" si="12"/>
        <v>-1</v>
      </c>
      <c r="N140" s="100">
        <f t="shared" si="13"/>
        <v>1</v>
      </c>
      <c r="O140" s="99">
        <f t="shared" si="8"/>
        <v>1095.076360490671</v>
      </c>
    </row>
    <row r="141" spans="3:15">
      <c r="C141" s="100">
        <v>1</v>
      </c>
      <c r="D141" s="100">
        <v>0</v>
      </c>
      <c r="E141" s="100">
        <v>0</v>
      </c>
      <c r="F141" s="100">
        <v>1</v>
      </c>
      <c r="G141" s="100">
        <v>-1491</v>
      </c>
      <c r="I141" s="100">
        <f t="shared" si="9"/>
        <v>1</v>
      </c>
      <c r="J141" s="100"/>
      <c r="K141" s="100">
        <f t="shared" si="10"/>
        <v>1</v>
      </c>
      <c r="L141" s="100">
        <f t="shared" si="11"/>
        <v>0</v>
      </c>
      <c r="M141" s="100">
        <f t="shared" si="12"/>
        <v>0</v>
      </c>
      <c r="N141" s="100">
        <f t="shared" si="13"/>
        <v>1</v>
      </c>
      <c r="O141" s="99">
        <f t="shared" si="8"/>
        <v>-1099.5587768905912</v>
      </c>
    </row>
    <row r="142" spans="3:15">
      <c r="C142" s="100">
        <v>0</v>
      </c>
      <c r="D142" s="100">
        <v>1</v>
      </c>
      <c r="E142" s="100">
        <v>1</v>
      </c>
      <c r="F142" s="100">
        <v>1</v>
      </c>
      <c r="G142" s="100">
        <v>-1475</v>
      </c>
      <c r="I142" s="100">
        <f t="shared" si="9"/>
        <v>0.99961731312799451</v>
      </c>
      <c r="J142" s="100"/>
      <c r="K142" s="100">
        <f t="shared" si="10"/>
        <v>0</v>
      </c>
      <c r="L142" s="100">
        <f t="shared" si="11"/>
        <v>1</v>
      </c>
      <c r="M142" s="100">
        <f t="shared" si="12"/>
        <v>1</v>
      </c>
      <c r="N142" s="100">
        <f t="shared" si="13"/>
        <v>1</v>
      </c>
      <c r="O142" s="99">
        <f t="shared" si="8"/>
        <v>937.67214808648566</v>
      </c>
    </row>
    <row r="143" spans="3:15">
      <c r="C143" s="100">
        <v>0</v>
      </c>
      <c r="D143" s="100">
        <v>1</v>
      </c>
      <c r="E143" s="100">
        <v>1</v>
      </c>
      <c r="F143" s="100">
        <v>-1</v>
      </c>
      <c r="G143" s="100">
        <v>-1410</v>
      </c>
      <c r="I143" s="100">
        <f t="shared" si="9"/>
        <v>0.99961731312799451</v>
      </c>
      <c r="J143" s="100"/>
      <c r="K143" s="100">
        <f t="shared" si="10"/>
        <v>0</v>
      </c>
      <c r="L143" s="100">
        <f t="shared" si="11"/>
        <v>1</v>
      </c>
      <c r="M143" s="100">
        <f t="shared" si="12"/>
        <v>1</v>
      </c>
      <c r="N143" s="100">
        <f t="shared" si="13"/>
        <v>-1</v>
      </c>
      <c r="O143" s="99">
        <f t="shared" si="8"/>
        <v>1380.4933766818999</v>
      </c>
    </row>
    <row r="144" spans="3:15">
      <c r="C144" s="100">
        <v>0</v>
      </c>
      <c r="D144" s="100">
        <v>1</v>
      </c>
      <c r="E144" s="100">
        <v>0</v>
      </c>
      <c r="F144" s="100">
        <v>-1</v>
      </c>
      <c r="G144" s="100">
        <v>-1344</v>
      </c>
      <c r="I144" s="100">
        <f t="shared" si="9"/>
        <v>0.99961731312799451</v>
      </c>
      <c r="J144" s="100"/>
      <c r="K144" s="100">
        <f t="shared" si="10"/>
        <v>0</v>
      </c>
      <c r="L144" s="100">
        <f t="shared" si="11"/>
        <v>1</v>
      </c>
      <c r="M144" s="100">
        <f t="shared" si="12"/>
        <v>0</v>
      </c>
      <c r="N144" s="100">
        <f t="shared" si="13"/>
        <v>-1</v>
      </c>
      <c r="O144" s="99">
        <f t="shared" si="8"/>
        <v>1302.9852132592835</v>
      </c>
    </row>
    <row r="145" spans="3:15">
      <c r="C145" s="100">
        <v>1</v>
      </c>
      <c r="D145" s="100">
        <v>0</v>
      </c>
      <c r="E145" s="100">
        <v>0</v>
      </c>
      <c r="F145" s="100">
        <v>-1</v>
      </c>
      <c r="G145" s="100">
        <v>-1335</v>
      </c>
      <c r="I145" s="100">
        <f t="shared" si="9"/>
        <v>1</v>
      </c>
      <c r="J145" s="100"/>
      <c r="K145" s="100">
        <f t="shared" si="10"/>
        <v>1</v>
      </c>
      <c r="L145" s="100">
        <f t="shared" si="11"/>
        <v>0</v>
      </c>
      <c r="M145" s="100">
        <f t="shared" si="12"/>
        <v>0</v>
      </c>
      <c r="N145" s="100">
        <f t="shared" si="13"/>
        <v>-1</v>
      </c>
      <c r="O145" s="99">
        <f t="shared" si="8"/>
        <v>337.18015257250522</v>
      </c>
    </row>
    <row r="146" spans="3:15">
      <c r="C146" s="100">
        <v>0</v>
      </c>
      <c r="D146" s="100">
        <v>0</v>
      </c>
      <c r="E146" s="100">
        <v>3</v>
      </c>
      <c r="F146" s="100">
        <v>1</v>
      </c>
      <c r="G146" s="100">
        <v>1107</v>
      </c>
      <c r="I146" s="100">
        <f t="shared" si="9"/>
        <v>1</v>
      </c>
      <c r="J146" s="100"/>
      <c r="K146" s="100">
        <f t="shared" si="10"/>
        <v>0</v>
      </c>
      <c r="L146" s="100">
        <f t="shared" si="11"/>
        <v>0</v>
      </c>
      <c r="M146" s="100">
        <f t="shared" si="12"/>
        <v>3</v>
      </c>
      <c r="N146" s="100">
        <f t="shared" si="13"/>
        <v>1</v>
      </c>
      <c r="O146" s="99">
        <f t="shared" si="8"/>
        <v>688.77283215390435</v>
      </c>
    </row>
    <row r="147" spans="3:15">
      <c r="C147" s="100">
        <v>4</v>
      </c>
      <c r="D147" s="100">
        <v>0</v>
      </c>
      <c r="E147" s="100">
        <v>0</v>
      </c>
      <c r="F147" s="100">
        <v>-1</v>
      </c>
      <c r="G147" s="100">
        <v>1021</v>
      </c>
      <c r="I147" s="100">
        <f t="shared" si="9"/>
        <v>1</v>
      </c>
      <c r="J147" s="100"/>
      <c r="K147" s="100">
        <f t="shared" si="10"/>
        <v>4</v>
      </c>
      <c r="L147" s="100">
        <f t="shared" si="11"/>
        <v>0</v>
      </c>
      <c r="M147" s="100">
        <f t="shared" si="12"/>
        <v>0</v>
      </c>
      <c r="N147" s="100">
        <f t="shared" si="13"/>
        <v>-1</v>
      </c>
      <c r="O147" s="99">
        <f t="shared" si="8"/>
        <v>581.23035541254228</v>
      </c>
    </row>
    <row r="148" spans="3:15">
      <c r="C148" s="100">
        <v>4</v>
      </c>
      <c r="D148" s="100">
        <v>0</v>
      </c>
      <c r="E148" s="100">
        <v>-1</v>
      </c>
      <c r="F148" s="100">
        <v>1</v>
      </c>
      <c r="G148" s="100">
        <v>833</v>
      </c>
      <c r="I148" s="100">
        <f t="shared" si="9"/>
        <v>0.99961731312799451</v>
      </c>
      <c r="J148" s="100"/>
      <c r="K148" s="100">
        <f t="shared" si="10"/>
        <v>4</v>
      </c>
      <c r="L148" s="100">
        <f t="shared" si="11"/>
        <v>0</v>
      </c>
      <c r="M148" s="100">
        <f t="shared" si="12"/>
        <v>-1</v>
      </c>
      <c r="N148" s="100">
        <f t="shared" si="13"/>
        <v>1</v>
      </c>
      <c r="O148" s="99">
        <f t="shared" si="8"/>
        <v>830.25252959499312</v>
      </c>
    </row>
    <row r="149" spans="3:15">
      <c r="C149" s="100">
        <v>0</v>
      </c>
      <c r="D149" s="100">
        <v>0</v>
      </c>
      <c r="E149" s="100">
        <v>1</v>
      </c>
      <c r="F149" s="100">
        <v>-3</v>
      </c>
      <c r="G149" s="100">
        <v>777</v>
      </c>
      <c r="I149" s="100">
        <f t="shared" si="9"/>
        <v>0.99961731312799451</v>
      </c>
      <c r="J149" s="100"/>
      <c r="K149" s="100">
        <f t="shared" si="10"/>
        <v>0</v>
      </c>
      <c r="L149" s="100">
        <f t="shared" si="11"/>
        <v>0</v>
      </c>
      <c r="M149" s="100">
        <f t="shared" si="12"/>
        <v>1</v>
      </c>
      <c r="N149" s="100">
        <f t="shared" si="13"/>
        <v>-3</v>
      </c>
      <c r="O149" s="99">
        <f t="shared" si="8"/>
        <v>-776.63608693873186</v>
      </c>
    </row>
    <row r="150" spans="3:15">
      <c r="C150" s="100">
        <v>4</v>
      </c>
      <c r="D150" s="100">
        <v>0</v>
      </c>
      <c r="E150" s="100">
        <v>-2</v>
      </c>
      <c r="F150" s="100">
        <v>1</v>
      </c>
      <c r="G150" s="100">
        <v>671</v>
      </c>
      <c r="I150" s="100">
        <f t="shared" si="9"/>
        <v>0.99923477270523098</v>
      </c>
      <c r="J150" s="100"/>
      <c r="K150" s="100">
        <f t="shared" si="10"/>
        <v>4</v>
      </c>
      <c r="L150" s="100">
        <f t="shared" si="11"/>
        <v>0</v>
      </c>
      <c r="M150" s="100">
        <f t="shared" si="12"/>
        <v>-2</v>
      </c>
      <c r="N150" s="100">
        <f t="shared" si="13"/>
        <v>1</v>
      </c>
      <c r="O150" s="99">
        <f t="shared" si="8"/>
        <v>670.11436658906428</v>
      </c>
    </row>
    <row r="151" spans="3:15">
      <c r="C151" s="100">
        <v>2</v>
      </c>
      <c r="D151" s="100">
        <v>0</v>
      </c>
      <c r="E151" s="100">
        <v>0</v>
      </c>
      <c r="F151" s="100">
        <v>-3</v>
      </c>
      <c r="G151" s="100">
        <v>607</v>
      </c>
      <c r="I151" s="100">
        <f t="shared" si="9"/>
        <v>1</v>
      </c>
      <c r="J151" s="100"/>
      <c r="K151" s="100">
        <f t="shared" si="10"/>
        <v>2</v>
      </c>
      <c r="L151" s="100">
        <f t="shared" si="11"/>
        <v>0</v>
      </c>
      <c r="M151" s="100">
        <f t="shared" si="12"/>
        <v>0</v>
      </c>
      <c r="N151" s="100">
        <f t="shared" si="13"/>
        <v>-3</v>
      </c>
      <c r="O151" s="99">
        <f t="shared" si="8"/>
        <v>-527.42687969691372</v>
      </c>
    </row>
    <row r="152" spans="3:15">
      <c r="C152" s="100">
        <v>2</v>
      </c>
      <c r="D152" s="100">
        <v>0</v>
      </c>
      <c r="E152" s="100">
        <v>2</v>
      </c>
      <c r="F152" s="100">
        <v>-1</v>
      </c>
      <c r="G152" s="100">
        <v>596</v>
      </c>
      <c r="I152" s="100">
        <f t="shared" si="9"/>
        <v>0.99923477270523098</v>
      </c>
      <c r="J152" s="100"/>
      <c r="K152" s="100">
        <f t="shared" si="10"/>
        <v>2</v>
      </c>
      <c r="L152" s="100">
        <f t="shared" si="11"/>
        <v>0</v>
      </c>
      <c r="M152" s="100">
        <f t="shared" si="12"/>
        <v>2</v>
      </c>
      <c r="N152" s="100">
        <f t="shared" si="13"/>
        <v>-1</v>
      </c>
      <c r="O152" s="99">
        <f t="shared" si="8"/>
        <v>69.994095112236735</v>
      </c>
    </row>
    <row r="153" spans="3:15">
      <c r="C153" s="100">
        <v>2</v>
      </c>
      <c r="D153" s="100">
        <v>-1</v>
      </c>
      <c r="E153" s="100">
        <v>1</v>
      </c>
      <c r="F153" s="100">
        <v>-1</v>
      </c>
      <c r="G153" s="100">
        <v>491</v>
      </c>
      <c r="I153" s="100">
        <f t="shared" si="9"/>
        <v>0.99961731312799451</v>
      </c>
      <c r="J153" s="100"/>
      <c r="K153" s="100">
        <f t="shared" si="10"/>
        <v>2</v>
      </c>
      <c r="L153" s="100">
        <f t="shared" si="11"/>
        <v>-1</v>
      </c>
      <c r="M153" s="100">
        <f t="shared" si="12"/>
        <v>1</v>
      </c>
      <c r="N153" s="100">
        <f t="shared" si="13"/>
        <v>-1</v>
      </c>
      <c r="O153" s="99">
        <f t="shared" si="8"/>
        <v>478.82862884368103</v>
      </c>
    </row>
    <row r="154" spans="3:15">
      <c r="C154" s="100">
        <v>2</v>
      </c>
      <c r="D154" s="100">
        <v>0</v>
      </c>
      <c r="E154" s="100">
        <v>-2</v>
      </c>
      <c r="F154" s="100">
        <v>1</v>
      </c>
      <c r="G154" s="100">
        <v>-451</v>
      </c>
      <c r="I154" s="100">
        <f t="shared" si="9"/>
        <v>0.99923477270523098</v>
      </c>
      <c r="J154" s="100"/>
      <c r="K154" s="100">
        <f t="shared" si="10"/>
        <v>2</v>
      </c>
      <c r="L154" s="100">
        <f t="shared" si="11"/>
        <v>0</v>
      </c>
      <c r="M154" s="100">
        <f t="shared" si="12"/>
        <v>-2</v>
      </c>
      <c r="N154" s="100">
        <f t="shared" si="13"/>
        <v>1</v>
      </c>
      <c r="O154" s="99">
        <f t="shared" si="8"/>
        <v>-386.37931825852928</v>
      </c>
    </row>
    <row r="155" spans="3:15">
      <c r="C155" s="100">
        <v>0</v>
      </c>
      <c r="D155" s="100">
        <v>0</v>
      </c>
      <c r="E155" s="100">
        <v>3</v>
      </c>
      <c r="F155" s="100">
        <v>-1</v>
      </c>
      <c r="G155" s="100">
        <v>439</v>
      </c>
      <c r="I155" s="100">
        <f t="shared" si="9"/>
        <v>1</v>
      </c>
      <c r="J155" s="100"/>
      <c r="K155" s="100">
        <f t="shared" si="10"/>
        <v>0</v>
      </c>
      <c r="L155" s="100">
        <f t="shared" si="11"/>
        <v>0</v>
      </c>
      <c r="M155" s="100">
        <f t="shared" si="12"/>
        <v>3</v>
      </c>
      <c r="N155" s="100">
        <f t="shared" si="13"/>
        <v>-1</v>
      </c>
      <c r="O155" s="99">
        <f t="shared" si="8"/>
        <v>-176.23503076007464</v>
      </c>
    </row>
    <row r="156" spans="3:15">
      <c r="C156" s="100">
        <v>2</v>
      </c>
      <c r="D156" s="100">
        <v>0</v>
      </c>
      <c r="E156" s="100">
        <v>2</v>
      </c>
      <c r="F156" s="100">
        <v>1</v>
      </c>
      <c r="G156" s="100">
        <v>422</v>
      </c>
      <c r="I156" s="100">
        <f t="shared" si="9"/>
        <v>0.99923477270523098</v>
      </c>
      <c r="J156" s="100"/>
      <c r="K156" s="100">
        <f t="shared" si="10"/>
        <v>2</v>
      </c>
      <c r="L156" s="100">
        <f t="shared" si="11"/>
        <v>0</v>
      </c>
      <c r="M156" s="100">
        <f t="shared" si="12"/>
        <v>2</v>
      </c>
      <c r="N156" s="100">
        <f t="shared" si="13"/>
        <v>1</v>
      </c>
      <c r="O156" s="99">
        <f t="shared" si="8"/>
        <v>393.39185298233673</v>
      </c>
    </row>
    <row r="157" spans="3:15">
      <c r="C157" s="100">
        <v>2</v>
      </c>
      <c r="D157" s="100">
        <v>0</v>
      </c>
      <c r="E157" s="100">
        <v>-3</v>
      </c>
      <c r="F157" s="100">
        <v>-1</v>
      </c>
      <c r="G157" s="100">
        <v>421</v>
      </c>
      <c r="I157" s="100">
        <f t="shared" si="9"/>
        <v>1</v>
      </c>
      <c r="J157" s="100"/>
      <c r="K157" s="100">
        <f t="shared" si="10"/>
        <v>2</v>
      </c>
      <c r="L157" s="100">
        <f t="shared" si="11"/>
        <v>0</v>
      </c>
      <c r="M157" s="100">
        <f t="shared" si="12"/>
        <v>-3</v>
      </c>
      <c r="N157" s="100">
        <f t="shared" si="13"/>
        <v>-1</v>
      </c>
      <c r="O157" s="99">
        <f t="shared" si="8"/>
        <v>-41.013492503407747</v>
      </c>
    </row>
    <row r="158" spans="3:15">
      <c r="C158" s="100">
        <v>2</v>
      </c>
      <c r="D158" s="100">
        <v>1</v>
      </c>
      <c r="E158" s="100">
        <v>-1</v>
      </c>
      <c r="F158" s="100">
        <v>1</v>
      </c>
      <c r="G158" s="100">
        <v>-366</v>
      </c>
      <c r="I158" s="100">
        <f t="shared" si="9"/>
        <v>0.99961731312799451</v>
      </c>
      <c r="J158" s="100"/>
      <c r="K158" s="100">
        <f t="shared" si="10"/>
        <v>2</v>
      </c>
      <c r="L158" s="100">
        <f t="shared" si="11"/>
        <v>1</v>
      </c>
      <c r="M158" s="100">
        <f t="shared" si="12"/>
        <v>-1</v>
      </c>
      <c r="N158" s="100">
        <f t="shared" si="13"/>
        <v>1</v>
      </c>
      <c r="O158" s="99">
        <f t="shared" si="8"/>
        <v>73.194492388589182</v>
      </c>
    </row>
    <row r="159" spans="3:15">
      <c r="C159" s="100">
        <v>2</v>
      </c>
      <c r="D159" s="100">
        <v>1</v>
      </c>
      <c r="E159" s="100">
        <v>0</v>
      </c>
      <c r="F159" s="100">
        <v>1</v>
      </c>
      <c r="G159" s="100">
        <v>-351</v>
      </c>
      <c r="I159" s="100">
        <f t="shared" si="9"/>
        <v>0.99961731312799451</v>
      </c>
      <c r="J159" s="100"/>
      <c r="K159" s="100">
        <f t="shared" si="10"/>
        <v>2</v>
      </c>
      <c r="L159" s="100">
        <f t="shared" si="11"/>
        <v>1</v>
      </c>
      <c r="M159" s="100">
        <f t="shared" si="12"/>
        <v>0</v>
      </c>
      <c r="N159" s="100">
        <f t="shared" si="13"/>
        <v>1</v>
      </c>
      <c r="O159" s="99">
        <f t="shared" si="8"/>
        <v>55.326126275858968</v>
      </c>
    </row>
    <row r="160" spans="3:15">
      <c r="C160" s="100">
        <v>4</v>
      </c>
      <c r="D160" s="100">
        <v>0</v>
      </c>
      <c r="E160" s="100">
        <v>0</v>
      </c>
      <c r="F160" s="100">
        <v>1</v>
      </c>
      <c r="G160" s="100">
        <v>331</v>
      </c>
      <c r="I160" s="100">
        <f t="shared" si="9"/>
        <v>1</v>
      </c>
      <c r="J160" s="100"/>
      <c r="K160" s="100">
        <f t="shared" si="10"/>
        <v>4</v>
      </c>
      <c r="L160" s="100">
        <f t="shared" si="11"/>
        <v>0</v>
      </c>
      <c r="M160" s="100">
        <f t="shared" si="12"/>
        <v>0</v>
      </c>
      <c r="N160" s="100">
        <f t="shared" si="13"/>
        <v>1</v>
      </c>
      <c r="O160" s="99">
        <f t="shared" si="8"/>
        <v>328.64058837956247</v>
      </c>
    </row>
    <row r="161" spans="3:15">
      <c r="C161" s="100">
        <v>2</v>
      </c>
      <c r="D161" s="100">
        <v>-1</v>
      </c>
      <c r="E161" s="100">
        <v>1</v>
      </c>
      <c r="F161" s="100">
        <v>1</v>
      </c>
      <c r="G161" s="100">
        <v>315</v>
      </c>
      <c r="I161" s="100">
        <f t="shared" si="9"/>
        <v>0.99961731312799451</v>
      </c>
      <c r="J161" s="100"/>
      <c r="K161" s="100">
        <f t="shared" si="10"/>
        <v>2</v>
      </c>
      <c r="L161" s="100">
        <f t="shared" si="11"/>
        <v>-1</v>
      </c>
      <c r="M161" s="100">
        <f t="shared" si="12"/>
        <v>1</v>
      </c>
      <c r="N161" s="100">
        <f t="shared" si="13"/>
        <v>1</v>
      </c>
      <c r="O161" s="99">
        <f t="shared" si="8"/>
        <v>204.67147543191246</v>
      </c>
    </row>
    <row r="162" spans="3:15">
      <c r="C162" s="100">
        <v>2</v>
      </c>
      <c r="D162" s="100">
        <v>-2</v>
      </c>
      <c r="E162" s="100">
        <v>0</v>
      </c>
      <c r="F162" s="100">
        <v>-1</v>
      </c>
      <c r="G162" s="100">
        <v>302</v>
      </c>
      <c r="I162" s="100">
        <f t="shared" si="9"/>
        <v>0.99923477270523098</v>
      </c>
      <c r="J162" s="100"/>
      <c r="K162" s="100">
        <f t="shared" si="10"/>
        <v>2</v>
      </c>
      <c r="L162" s="100">
        <f t="shared" si="11"/>
        <v>-2</v>
      </c>
      <c r="M162" s="100">
        <f t="shared" si="12"/>
        <v>0</v>
      </c>
      <c r="N162" s="100">
        <f t="shared" si="13"/>
        <v>-1</v>
      </c>
      <c r="O162" s="99">
        <f t="shared" si="8"/>
        <v>160.4646497785854</v>
      </c>
    </row>
    <row r="163" spans="3:15">
      <c r="C163" s="100">
        <v>0</v>
      </c>
      <c r="D163" s="100">
        <v>0</v>
      </c>
      <c r="E163" s="100">
        <v>1</v>
      </c>
      <c r="F163" s="100">
        <v>3</v>
      </c>
      <c r="G163" s="100">
        <v>-283</v>
      </c>
      <c r="I163" s="100">
        <f t="shared" si="9"/>
        <v>0.99961731312799451</v>
      </c>
      <c r="J163" s="100"/>
      <c r="K163" s="100">
        <f t="shared" si="10"/>
        <v>0</v>
      </c>
      <c r="L163" s="100">
        <f t="shared" si="11"/>
        <v>0</v>
      </c>
      <c r="M163" s="100">
        <f t="shared" si="12"/>
        <v>1</v>
      </c>
      <c r="N163" s="100">
        <f t="shared" si="13"/>
        <v>3</v>
      </c>
      <c r="O163" s="99">
        <f t="shared" si="8"/>
        <v>-281.49972797695045</v>
      </c>
    </row>
    <row r="164" spans="3:15">
      <c r="C164" s="100">
        <v>2</v>
      </c>
      <c r="D164" s="100">
        <v>1</v>
      </c>
      <c r="E164" s="100">
        <v>1</v>
      </c>
      <c r="F164" s="100">
        <v>-1</v>
      </c>
      <c r="G164" s="100">
        <v>-229</v>
      </c>
      <c r="I164" s="100">
        <f t="shared" si="9"/>
        <v>0.99961731312799451</v>
      </c>
      <c r="J164" s="100"/>
      <c r="K164" s="100">
        <f t="shared" si="10"/>
        <v>2</v>
      </c>
      <c r="L164" s="100">
        <f t="shared" si="11"/>
        <v>1</v>
      </c>
      <c r="M164" s="100">
        <f t="shared" si="12"/>
        <v>1</v>
      </c>
      <c r="N164" s="100">
        <f t="shared" si="13"/>
        <v>-1</v>
      </c>
      <c r="O164" s="99">
        <f t="shared" si="8"/>
        <v>213.3480411391015</v>
      </c>
    </row>
    <row r="165" spans="3:15">
      <c r="C165" s="100">
        <v>1</v>
      </c>
      <c r="D165" s="100">
        <v>1</v>
      </c>
      <c r="E165" s="100">
        <v>0</v>
      </c>
      <c r="F165" s="100">
        <v>-1</v>
      </c>
      <c r="G165" s="100">
        <v>223</v>
      </c>
      <c r="I165" s="100">
        <f t="shared" si="9"/>
        <v>0.99961731312799451</v>
      </c>
      <c r="J165" s="100"/>
      <c r="K165" s="100">
        <f t="shared" si="10"/>
        <v>1</v>
      </c>
      <c r="L165" s="100">
        <f t="shared" si="11"/>
        <v>1</v>
      </c>
      <c r="M165" s="100">
        <f t="shared" si="12"/>
        <v>0</v>
      </c>
      <c r="N165" s="100">
        <f t="shared" si="13"/>
        <v>-1</v>
      </c>
      <c r="O165" s="99">
        <f t="shared" si="8"/>
        <v>-222.72895136345346</v>
      </c>
    </row>
    <row r="166" spans="3:15">
      <c r="C166" s="100">
        <v>1</v>
      </c>
      <c r="D166" s="100">
        <v>1</v>
      </c>
      <c r="E166" s="100">
        <v>0</v>
      </c>
      <c r="F166" s="100">
        <v>1</v>
      </c>
      <c r="G166" s="100">
        <v>223</v>
      </c>
      <c r="I166" s="100">
        <f t="shared" si="9"/>
        <v>0.99961731312799451</v>
      </c>
      <c r="J166" s="100"/>
      <c r="K166" s="100">
        <f t="shared" si="10"/>
        <v>1</v>
      </c>
      <c r="L166" s="100">
        <f t="shared" si="11"/>
        <v>1</v>
      </c>
      <c r="M166" s="100">
        <f t="shared" si="12"/>
        <v>0</v>
      </c>
      <c r="N166" s="100">
        <f t="shared" si="13"/>
        <v>1</v>
      </c>
      <c r="O166" s="99">
        <f t="shared" si="8"/>
        <v>-96.022154901527671</v>
      </c>
    </row>
    <row r="167" spans="3:15">
      <c r="C167" s="100">
        <v>0</v>
      </c>
      <c r="D167" s="100">
        <v>1</v>
      </c>
      <c r="E167" s="100">
        <v>-2</v>
      </c>
      <c r="F167" s="100">
        <v>-1</v>
      </c>
      <c r="G167" s="100">
        <v>-220</v>
      </c>
      <c r="I167" s="100">
        <f t="shared" si="9"/>
        <v>0.99923477270523098</v>
      </c>
      <c r="J167" s="100"/>
      <c r="K167" s="100">
        <f t="shared" si="10"/>
        <v>0</v>
      </c>
      <c r="L167" s="100">
        <f t="shared" si="11"/>
        <v>1</v>
      </c>
      <c r="M167" s="100">
        <f t="shared" si="12"/>
        <v>-2</v>
      </c>
      <c r="N167" s="100">
        <f t="shared" si="13"/>
        <v>-1</v>
      </c>
      <c r="O167" s="99">
        <f t="shared" si="8"/>
        <v>207.8045879375276</v>
      </c>
    </row>
    <row r="168" spans="3:15">
      <c r="C168" s="100">
        <v>2</v>
      </c>
      <c r="D168" s="100">
        <v>1</v>
      </c>
      <c r="E168" s="100">
        <v>-1</v>
      </c>
      <c r="F168" s="100">
        <v>-1</v>
      </c>
      <c r="G168" s="100">
        <v>-220</v>
      </c>
      <c r="I168" s="100">
        <f t="shared" si="9"/>
        <v>0.99961731312799451</v>
      </c>
      <c r="J168" s="100"/>
      <c r="K168" s="100">
        <f t="shared" si="10"/>
        <v>2</v>
      </c>
      <c r="L168" s="100">
        <f t="shared" si="11"/>
        <v>1</v>
      </c>
      <c r="M168" s="100">
        <f t="shared" si="12"/>
        <v>-1</v>
      </c>
      <c r="N168" s="100">
        <f t="shared" si="13"/>
        <v>-1</v>
      </c>
      <c r="O168" s="99">
        <f t="shared" si="8"/>
        <v>211.06126360827255</v>
      </c>
    </row>
    <row r="169" spans="3:15">
      <c r="C169" s="100">
        <v>1</v>
      </c>
      <c r="D169" s="100">
        <v>0</v>
      </c>
      <c r="E169" s="100">
        <v>1</v>
      </c>
      <c r="F169" s="100">
        <v>1</v>
      </c>
      <c r="G169" s="100">
        <v>-185</v>
      </c>
      <c r="I169" s="100">
        <f t="shared" si="9"/>
        <v>0.99961731312799451</v>
      </c>
      <c r="J169" s="100"/>
      <c r="K169" s="100">
        <f t="shared" si="10"/>
        <v>1</v>
      </c>
      <c r="L169" s="100">
        <f t="shared" si="11"/>
        <v>0</v>
      </c>
      <c r="M169" s="100">
        <f t="shared" si="12"/>
        <v>1</v>
      </c>
      <c r="N169" s="100">
        <f t="shared" si="13"/>
        <v>1</v>
      </c>
      <c r="O169" s="99">
        <f t="shared" si="8"/>
        <v>-141.6304908364497</v>
      </c>
    </row>
    <row r="170" spans="3:15">
      <c r="C170" s="100">
        <v>2</v>
      </c>
      <c r="D170" s="100">
        <v>-1</v>
      </c>
      <c r="E170" s="100">
        <v>-2</v>
      </c>
      <c r="F170" s="100">
        <v>-1</v>
      </c>
      <c r="G170" s="100">
        <v>181</v>
      </c>
      <c r="I170" s="100">
        <f t="shared" si="9"/>
        <v>0.99923477270523098</v>
      </c>
      <c r="J170" s="100"/>
      <c r="K170" s="100">
        <f t="shared" si="10"/>
        <v>2</v>
      </c>
      <c r="L170" s="100">
        <f t="shared" si="11"/>
        <v>-1</v>
      </c>
      <c r="M170" s="100">
        <f t="shared" si="12"/>
        <v>-2</v>
      </c>
      <c r="N170" s="100">
        <f t="shared" si="13"/>
        <v>-1</v>
      </c>
      <c r="O170" s="99">
        <f t="shared" si="8"/>
        <v>169.85566411164538</v>
      </c>
    </row>
    <row r="171" spans="3:15">
      <c r="C171" s="100">
        <v>0</v>
      </c>
      <c r="D171" s="100">
        <v>1</v>
      </c>
      <c r="E171" s="100">
        <v>2</v>
      </c>
      <c r="F171" s="100">
        <v>1</v>
      </c>
      <c r="G171" s="100">
        <v>-177</v>
      </c>
      <c r="I171" s="100">
        <f t="shared" si="9"/>
        <v>0.99923477270523098</v>
      </c>
      <c r="J171" s="100"/>
      <c r="K171" s="100">
        <f t="shared" si="10"/>
        <v>0</v>
      </c>
      <c r="L171" s="100">
        <f t="shared" si="11"/>
        <v>1</v>
      </c>
      <c r="M171" s="100">
        <f t="shared" si="12"/>
        <v>2</v>
      </c>
      <c r="N171" s="100">
        <f t="shared" si="13"/>
        <v>1</v>
      </c>
      <c r="O171" s="99">
        <f t="shared" si="8"/>
        <v>106.49569594395011</v>
      </c>
    </row>
    <row r="172" spans="3:15">
      <c r="C172" s="100">
        <v>4</v>
      </c>
      <c r="D172" s="100">
        <v>0</v>
      </c>
      <c r="E172" s="100">
        <v>-2</v>
      </c>
      <c r="F172" s="100">
        <v>-1</v>
      </c>
      <c r="G172" s="100">
        <v>176</v>
      </c>
      <c r="I172" s="100">
        <f t="shared" si="9"/>
        <v>0.99923477270523098</v>
      </c>
      <c r="J172" s="100"/>
      <c r="K172" s="100">
        <f t="shared" si="10"/>
        <v>4</v>
      </c>
      <c r="L172" s="100">
        <f t="shared" si="11"/>
        <v>0</v>
      </c>
      <c r="M172" s="100">
        <f t="shared" si="12"/>
        <v>-2</v>
      </c>
      <c r="N172" s="100">
        <f t="shared" si="13"/>
        <v>-1</v>
      </c>
      <c r="O172" s="99">
        <f t="shared" si="8"/>
        <v>87.303704120311664</v>
      </c>
    </row>
    <row r="173" spans="3:15">
      <c r="C173" s="100">
        <v>4</v>
      </c>
      <c r="D173" s="100">
        <v>-1</v>
      </c>
      <c r="E173" s="100">
        <v>-1</v>
      </c>
      <c r="F173" s="100">
        <v>-1</v>
      </c>
      <c r="G173" s="100">
        <v>166</v>
      </c>
      <c r="I173" s="100">
        <f t="shared" si="9"/>
        <v>0.99961731312799451</v>
      </c>
      <c r="J173" s="100"/>
      <c r="K173" s="100">
        <f t="shared" si="10"/>
        <v>4</v>
      </c>
      <c r="L173" s="100">
        <f t="shared" si="11"/>
        <v>-1</v>
      </c>
      <c r="M173" s="100">
        <f t="shared" si="12"/>
        <v>-1</v>
      </c>
      <c r="N173" s="100">
        <f t="shared" si="13"/>
        <v>-1</v>
      </c>
      <c r="O173" s="99">
        <f t="shared" si="8"/>
        <v>160.08337079774344</v>
      </c>
    </row>
    <row r="174" spans="3:15">
      <c r="C174" s="100">
        <v>1</v>
      </c>
      <c r="D174" s="100">
        <v>0</v>
      </c>
      <c r="E174" s="100">
        <v>1</v>
      </c>
      <c r="F174" s="100">
        <v>-1</v>
      </c>
      <c r="G174" s="100">
        <v>-164</v>
      </c>
      <c r="I174" s="100">
        <f t="shared" si="9"/>
        <v>0.99961731312799451</v>
      </c>
      <c r="J174" s="100"/>
      <c r="K174" s="100">
        <f t="shared" si="10"/>
        <v>1</v>
      </c>
      <c r="L174" s="100">
        <f t="shared" si="11"/>
        <v>0</v>
      </c>
      <c r="M174" s="100">
        <f t="shared" si="12"/>
        <v>1</v>
      </c>
      <c r="N174" s="100">
        <f t="shared" si="13"/>
        <v>-1</v>
      </c>
      <c r="O174" s="99">
        <f t="shared" si="8"/>
        <v>34.536554977800805</v>
      </c>
    </row>
    <row r="175" spans="3:15">
      <c r="C175" s="100">
        <v>4</v>
      </c>
      <c r="D175" s="100">
        <v>0</v>
      </c>
      <c r="E175" s="100">
        <v>1</v>
      </c>
      <c r="F175" s="100">
        <v>-1</v>
      </c>
      <c r="G175" s="100">
        <v>132</v>
      </c>
      <c r="I175" s="100">
        <f t="shared" si="9"/>
        <v>0.99961731312799451</v>
      </c>
      <c r="J175" s="100"/>
      <c r="K175" s="100">
        <f t="shared" si="10"/>
        <v>4</v>
      </c>
      <c r="L175" s="100">
        <f t="shared" si="11"/>
        <v>0</v>
      </c>
      <c r="M175" s="100">
        <f t="shared" si="12"/>
        <v>1</v>
      </c>
      <c r="N175" s="100">
        <f t="shared" si="13"/>
        <v>-1</v>
      </c>
      <c r="O175" s="99">
        <f t="shared" si="8"/>
        <v>79.717372587090992</v>
      </c>
    </row>
    <row r="176" spans="3:15">
      <c r="C176" s="100">
        <v>1</v>
      </c>
      <c r="D176" s="100">
        <v>0</v>
      </c>
      <c r="E176" s="100">
        <v>-1</v>
      </c>
      <c r="F176" s="100">
        <v>-1</v>
      </c>
      <c r="G176" s="100">
        <v>-119</v>
      </c>
      <c r="I176" s="100">
        <f t="shared" si="9"/>
        <v>0.99961731312799451</v>
      </c>
      <c r="J176" s="100"/>
      <c r="K176" s="100">
        <f t="shared" si="10"/>
        <v>1</v>
      </c>
      <c r="L176" s="100">
        <f t="shared" si="11"/>
        <v>0</v>
      </c>
      <c r="M176" s="100">
        <f t="shared" si="12"/>
        <v>-1</v>
      </c>
      <c r="N176" s="100">
        <f t="shared" si="13"/>
        <v>-1</v>
      </c>
      <c r="O176" s="99">
        <f t="shared" si="8"/>
        <v>34.972715059111856</v>
      </c>
    </row>
    <row r="177" spans="3:15">
      <c r="C177" s="100">
        <v>4</v>
      </c>
      <c r="D177" s="100">
        <v>-1</v>
      </c>
      <c r="E177" s="100">
        <v>0</v>
      </c>
      <c r="F177" s="100">
        <v>-1</v>
      </c>
      <c r="G177" s="100">
        <v>115</v>
      </c>
      <c r="I177" s="100">
        <f t="shared" si="9"/>
        <v>0.99961731312799451</v>
      </c>
      <c r="J177" s="100"/>
      <c r="K177" s="100">
        <f t="shared" si="10"/>
        <v>4</v>
      </c>
      <c r="L177" s="100">
        <f t="shared" si="11"/>
        <v>-1</v>
      </c>
      <c r="M177" s="100">
        <f t="shared" si="12"/>
        <v>0</v>
      </c>
      <c r="N177" s="100">
        <f t="shared" si="13"/>
        <v>-1</v>
      </c>
      <c r="O177" s="99">
        <f t="shared" si="8"/>
        <v>109.49509932272321</v>
      </c>
    </row>
    <row r="178" spans="3:15">
      <c r="C178" s="100">
        <v>2</v>
      </c>
      <c r="D178" s="100">
        <v>-2</v>
      </c>
      <c r="E178" s="100">
        <v>0</v>
      </c>
      <c r="F178" s="100">
        <v>1</v>
      </c>
      <c r="G178" s="100">
        <v>107</v>
      </c>
      <c r="I178" s="100">
        <f t="shared" si="9"/>
        <v>0.99923477270523098</v>
      </c>
      <c r="J178" s="100"/>
      <c r="K178" s="100">
        <f t="shared" si="10"/>
        <v>2</v>
      </c>
      <c r="L178" s="100">
        <f t="shared" si="11"/>
        <v>-2</v>
      </c>
      <c r="M178" s="100">
        <f t="shared" si="12"/>
        <v>0</v>
      </c>
      <c r="N178" s="100">
        <f t="shared" si="13"/>
        <v>1</v>
      </c>
      <c r="O178" s="99">
        <f t="shared" si="8"/>
        <v>-53.494420962352507</v>
      </c>
    </row>
    <row r="179" spans="3:15">
      <c r="G179" s="99"/>
      <c r="O179" s="99">
        <f>SUM(O119:O178)+D45</f>
        <v>2788965.9672520631</v>
      </c>
    </row>
    <row r="180" spans="3:15">
      <c r="O180" s="99">
        <f>O179/1000000</f>
        <v>2.788965967252063</v>
      </c>
    </row>
    <row r="186" spans="3:15">
      <c r="O186" s="99">
        <f>ACOS(0)*180/PI()</f>
        <v>90</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C12:P152"/>
  <sheetViews>
    <sheetView topLeftCell="H134" workbookViewId="0">
      <selection activeCell="L150" sqref="L150"/>
    </sheetView>
  </sheetViews>
  <sheetFormatPr defaultRowHeight="15"/>
  <cols>
    <col min="3" max="3" width="17.28515625" customWidth="1"/>
    <col min="4" max="4" width="19.28515625" customWidth="1"/>
    <col min="5" max="5" width="5.7109375" customWidth="1"/>
    <col min="6" max="6" width="38.7109375" customWidth="1"/>
    <col min="7" max="7" width="23" bestFit="1" customWidth="1"/>
    <col min="8" max="8" width="17.7109375" style="68" customWidth="1"/>
    <col min="9" max="9" width="21.140625" customWidth="1"/>
    <col min="10" max="10" width="17.140625" customWidth="1"/>
    <col min="11" max="12" width="17.28515625" customWidth="1"/>
    <col min="13" max="13" width="16" bestFit="1" customWidth="1"/>
    <col min="14" max="14" width="19.7109375" customWidth="1"/>
    <col min="15" max="15" width="12.7109375" bestFit="1" customWidth="1"/>
  </cols>
  <sheetData>
    <row r="12" spans="3:15" ht="15.75" thickBot="1"/>
    <row r="13" spans="3:15" ht="18.75">
      <c r="D13" s="50" t="s">
        <v>133</v>
      </c>
      <c r="E13" s="51"/>
      <c r="F13" s="51"/>
      <c r="G13" s="51"/>
      <c r="H13" s="69"/>
      <c r="O13">
        <f>0.00002*COS(PI()*O20/180)+0.00002*COS(PI()*P20/180)+0.00002*COS(2*PI()*N131/180)</f>
        <v>6.0000000000000008E-5</v>
      </c>
    </row>
    <row r="14" spans="3:15" ht="15.75">
      <c r="C14" s="2"/>
      <c r="D14" s="15"/>
      <c r="E14" s="11"/>
      <c r="F14" s="11"/>
      <c r="G14" s="11"/>
      <c r="H14" s="70"/>
    </row>
    <row r="15" spans="3:15" ht="15.75">
      <c r="C15" s="2"/>
      <c r="D15" s="15"/>
      <c r="E15" s="43"/>
      <c r="F15" s="44" t="s">
        <v>141</v>
      </c>
      <c r="G15" s="11"/>
      <c r="H15" s="70"/>
    </row>
    <row r="16" spans="3:15" ht="15.75">
      <c r="C16" s="2"/>
      <c r="D16" s="15"/>
      <c r="E16" s="43"/>
      <c r="F16" s="43"/>
      <c r="G16" s="11"/>
      <c r="H16" s="70"/>
    </row>
    <row r="17" spans="3:16" ht="18">
      <c r="C17" s="2"/>
      <c r="D17" s="15"/>
      <c r="E17" s="11"/>
      <c r="F17" s="45" t="s">
        <v>2</v>
      </c>
      <c r="G17" s="11"/>
      <c r="H17" s="70"/>
    </row>
    <row r="18" spans="3:16">
      <c r="D18" s="15"/>
      <c r="E18" s="11"/>
      <c r="F18" s="11"/>
      <c r="G18" s="11"/>
      <c r="H18" s="70"/>
    </row>
    <row r="19" spans="3:16" ht="18">
      <c r="D19" s="15"/>
      <c r="E19" s="11"/>
      <c r="F19" s="46" t="s">
        <v>3</v>
      </c>
      <c r="G19" s="47"/>
      <c r="H19" s="70"/>
      <c r="N19">
        <f>COS(N129*PI()/180)</f>
        <v>1</v>
      </c>
      <c r="O19" t="s">
        <v>130</v>
      </c>
      <c r="P19" t="s">
        <v>131</v>
      </c>
    </row>
    <row r="20" spans="3:16" ht="15.75">
      <c r="D20" s="15"/>
      <c r="E20" s="11"/>
      <c r="F20" s="48"/>
      <c r="G20" s="11"/>
      <c r="H20" s="70"/>
      <c r="O20">
        <f>N130-N129</f>
        <v>0</v>
      </c>
      <c r="P20">
        <f>N130+N129</f>
        <v>0</v>
      </c>
    </row>
    <row r="21" spans="3:16" ht="18">
      <c r="D21" s="52" t="s">
        <v>4</v>
      </c>
      <c r="E21" s="11"/>
      <c r="F21" s="46" t="s">
        <v>5</v>
      </c>
      <c r="G21" s="47"/>
      <c r="H21" s="71"/>
      <c r="N21">
        <f>COS(N130*PI()/180)</f>
        <v>1</v>
      </c>
    </row>
    <row r="22" spans="3:16" ht="15.75">
      <c r="D22" s="15"/>
      <c r="E22" s="11"/>
      <c r="F22" s="48"/>
      <c r="G22" s="11"/>
      <c r="H22" s="70"/>
    </row>
    <row r="23" spans="3:16" ht="18">
      <c r="D23" s="52" t="s">
        <v>6</v>
      </c>
      <c r="E23" s="49"/>
      <c r="F23" s="46" t="s">
        <v>7</v>
      </c>
      <c r="G23" s="47"/>
      <c r="H23" s="71"/>
    </row>
    <row r="24" spans="3:16" ht="15.75">
      <c r="D24" s="15"/>
      <c r="E24" s="11"/>
      <c r="F24" s="48"/>
      <c r="G24" s="11"/>
      <c r="H24" s="70"/>
    </row>
    <row r="25" spans="3:16" ht="39.75" thickBot="1">
      <c r="D25" s="53" t="s">
        <v>8</v>
      </c>
      <c r="E25" s="17"/>
      <c r="F25" s="54" t="s">
        <v>9</v>
      </c>
      <c r="G25" s="55"/>
      <c r="H25" s="72"/>
    </row>
    <row r="26" spans="3:16" ht="19.5" thickBot="1">
      <c r="F26" s="1"/>
      <c r="H26" s="73"/>
      <c r="I26" s="62"/>
      <c r="J26" s="63" t="s">
        <v>145</v>
      </c>
      <c r="K26" s="62"/>
      <c r="L26" s="62"/>
      <c r="M26" s="64"/>
    </row>
    <row r="27" spans="3:16" ht="25.15" customHeight="1" thickBot="1">
      <c r="F27" s="56" t="s">
        <v>10</v>
      </c>
      <c r="H27" s="74"/>
      <c r="I27" s="65"/>
      <c r="J27" s="65" t="s">
        <v>134</v>
      </c>
      <c r="K27" s="66" t="s">
        <v>146</v>
      </c>
      <c r="L27" s="65" t="s">
        <v>135</v>
      </c>
      <c r="M27" s="67" t="s">
        <v>291</v>
      </c>
    </row>
    <row r="28" spans="3:16" ht="19.5">
      <c r="F28" s="57" t="s">
        <v>11</v>
      </c>
      <c r="H28" s="75">
        <f>MOD((299.77 + 0.107408*H131-0.009173*G132^2),360)</f>
        <v>319.98934350569436</v>
      </c>
      <c r="I28" s="59"/>
      <c r="J28" s="59">
        <f>H28</f>
        <v>319.98934350569436</v>
      </c>
      <c r="K28" s="60">
        <v>3.2499999999999999E-4</v>
      </c>
      <c r="L28" s="59">
        <f>SIN(PI()*J28/180)</f>
        <v>-0.64293007587274331</v>
      </c>
      <c r="M28" s="61">
        <f>K28*L28</f>
        <v>-2.0895227465864158E-4</v>
      </c>
    </row>
    <row r="29" spans="3:16" ht="18.75">
      <c r="F29" s="57" t="s">
        <v>12</v>
      </c>
      <c r="H29" s="76">
        <f>MOD(( 251.88 + 0.016321*H131),360)</f>
        <v>254.95242825</v>
      </c>
      <c r="I29" s="11"/>
      <c r="J29" s="59">
        <f t="shared" ref="J29:J41" si="0">H29</f>
        <v>254.95242825</v>
      </c>
      <c r="K29" s="12">
        <v>1.65E-4</v>
      </c>
      <c r="L29" s="11">
        <f t="shared" ref="L29:L41" si="1">SIN(PI()*J29/180)</f>
        <v>-0.96571060014693688</v>
      </c>
      <c r="M29" s="16">
        <f t="shared" ref="M29:M41" si="2">K29*L29</f>
        <v>-1.5934224902424459E-4</v>
      </c>
    </row>
    <row r="30" spans="3:16" ht="18.75">
      <c r="F30" s="57" t="s">
        <v>13</v>
      </c>
      <c r="H30" s="76">
        <f>MOD((251.83 + 26.651886*H131),360)</f>
        <v>229.04753950000031</v>
      </c>
      <c r="I30" s="11"/>
      <c r="J30" s="59">
        <f t="shared" si="0"/>
        <v>229.04753950000031</v>
      </c>
      <c r="K30" s="12">
        <v>1.64E-4</v>
      </c>
      <c r="L30" s="11">
        <f t="shared" si="1"/>
        <v>-0.75525366619770007</v>
      </c>
      <c r="M30" s="16">
        <f t="shared" si="2"/>
        <v>-1.2386160125642281E-4</v>
      </c>
    </row>
    <row r="31" spans="3:16" ht="18.75">
      <c r="F31" s="57" t="s">
        <v>14</v>
      </c>
      <c r="H31" s="76">
        <f>MOD((349.42+36.412478*H131),360)</f>
        <v>4.0689835000002859</v>
      </c>
      <c r="I31" s="11"/>
      <c r="J31" s="59">
        <f t="shared" si="0"/>
        <v>4.0689835000002859</v>
      </c>
      <c r="K31" s="12">
        <v>1.26E-4</v>
      </c>
      <c r="L31" s="11">
        <f t="shared" si="1"/>
        <v>7.0957479242179156E-2</v>
      </c>
      <c r="M31" s="16">
        <f t="shared" si="2"/>
        <v>8.9406423845145742E-6</v>
      </c>
    </row>
    <row r="32" spans="3:16" ht="18.75">
      <c r="F32" s="57" t="s">
        <v>15</v>
      </c>
      <c r="H32" s="76">
        <f>MOD((84.66+18.206239*H131),360)</f>
        <v>271.98449174999996</v>
      </c>
      <c r="I32" s="11"/>
      <c r="J32" s="59">
        <f t="shared" si="0"/>
        <v>271.98449174999996</v>
      </c>
      <c r="K32" s="12">
        <v>1.1E-4</v>
      </c>
      <c r="L32" s="11">
        <f t="shared" si="1"/>
        <v>-0.99940023665776478</v>
      </c>
      <c r="M32" s="16">
        <f t="shared" si="2"/>
        <v>-1.0993402603235412E-4</v>
      </c>
    </row>
    <row r="33" spans="6:13" ht="18.75">
      <c r="F33" s="57" t="s">
        <v>16</v>
      </c>
      <c r="H33" s="76">
        <f>MOD((141.74+53.303771*H131),260)</f>
        <v>36.174890749998667</v>
      </c>
      <c r="I33" s="11"/>
      <c r="J33" s="59">
        <f t="shared" si="0"/>
        <v>36.174890749998667</v>
      </c>
      <c r="K33" s="12">
        <v>6.2000000000000003E-5</v>
      </c>
      <c r="L33" s="11">
        <f t="shared" si="1"/>
        <v>0.59025196936829383</v>
      </c>
      <c r="M33" s="16">
        <f t="shared" si="2"/>
        <v>3.6595622100834217E-5</v>
      </c>
    </row>
    <row r="34" spans="6:13" ht="18.75">
      <c r="F34" s="57" t="s">
        <v>17</v>
      </c>
      <c r="H34" s="76">
        <f>MOD((207.14+2.453732*H131),360)</f>
        <v>309.05504900000005</v>
      </c>
      <c r="I34" s="11"/>
      <c r="J34" s="59">
        <f t="shared" si="0"/>
        <v>309.05504900000005</v>
      </c>
      <c r="K34" s="12">
        <v>6.0000000000000002E-5</v>
      </c>
      <c r="L34" s="11">
        <f t="shared" si="1"/>
        <v>-0.77654096044430942</v>
      </c>
      <c r="M34" s="16">
        <f t="shared" si="2"/>
        <v>-4.659245762665857E-5</v>
      </c>
    </row>
    <row r="35" spans="6:13" ht="18.75">
      <c r="F35" s="57" t="s">
        <v>18</v>
      </c>
      <c r="H35" s="76">
        <f>MOD((154.84+7.30686*H131),360)</f>
        <v>90.35639500000002</v>
      </c>
      <c r="I35" s="11"/>
      <c r="J35" s="59">
        <f t="shared" si="0"/>
        <v>90.35639500000002</v>
      </c>
      <c r="K35" s="13">
        <v>5.5999999999999999E-5</v>
      </c>
      <c r="L35" s="11">
        <f t="shared" si="1"/>
        <v>0.99998065420665438</v>
      </c>
      <c r="M35" s="16">
        <f t="shared" si="2"/>
        <v>5.5998916635572643E-5</v>
      </c>
    </row>
    <row r="36" spans="6:13" ht="18.75">
      <c r="F36" s="57" t="s">
        <v>19</v>
      </c>
      <c r="H36" s="76">
        <f>MOD((34.52+27.261239*H131),360)</f>
        <v>126.44824175000031</v>
      </c>
      <c r="I36" s="11"/>
      <c r="J36" s="59">
        <f t="shared" si="0"/>
        <v>126.44824175000031</v>
      </c>
      <c r="K36" s="13">
        <v>4.6999999999999997E-5</v>
      </c>
      <c r="L36" s="11">
        <f t="shared" si="1"/>
        <v>0.8043938668338575</v>
      </c>
      <c r="M36" s="16">
        <f t="shared" si="2"/>
        <v>3.7806511741191303E-5</v>
      </c>
    </row>
    <row r="37" spans="6:13" ht="18.75">
      <c r="F37" s="57" t="s">
        <v>20</v>
      </c>
      <c r="H37" s="76">
        <f>MOD((207.19+0.121824*H131),360)</f>
        <v>230.123368</v>
      </c>
      <c r="I37" s="11"/>
      <c r="J37" s="59">
        <f t="shared" si="0"/>
        <v>230.123368</v>
      </c>
      <c r="K37" s="13">
        <v>4.1999999999999998E-5</v>
      </c>
      <c r="L37" s="11">
        <f t="shared" si="1"/>
        <v>-0.76742670229822296</v>
      </c>
      <c r="M37" s="16">
        <f t="shared" si="2"/>
        <v>-3.2231921496525363E-5</v>
      </c>
    </row>
    <row r="38" spans="6:13" ht="18.75">
      <c r="F38" s="57" t="s">
        <v>21</v>
      </c>
      <c r="H38" s="76">
        <f>MOD((291.34+1.844379*H131),360)</f>
        <v>278.54434674999993</v>
      </c>
      <c r="I38" s="11"/>
      <c r="J38" s="59">
        <f t="shared" si="0"/>
        <v>278.54434674999993</v>
      </c>
      <c r="K38" s="13">
        <v>4.0000000000000003E-5</v>
      </c>
      <c r="L38" s="11">
        <f t="shared" si="1"/>
        <v>-0.98890116311673748</v>
      </c>
      <c r="M38" s="16">
        <f t="shared" si="2"/>
        <v>-3.9556046524669505E-5</v>
      </c>
    </row>
    <row r="39" spans="6:13" ht="18.75">
      <c r="F39" s="57" t="s">
        <v>22</v>
      </c>
      <c r="H39" s="76">
        <f>MOD((161.72+24.198154*H131),360)</f>
        <v>37.022490500000458</v>
      </c>
      <c r="I39" s="11"/>
      <c r="J39" s="59">
        <f t="shared" si="0"/>
        <v>37.022490500000458</v>
      </c>
      <c r="K39" s="13">
        <v>3.6999999999999998E-5</v>
      </c>
      <c r="L39" s="11">
        <f t="shared" si="1"/>
        <v>0.60212846779208684</v>
      </c>
      <c r="M39" s="16">
        <f t="shared" si="2"/>
        <v>2.2278753308307212E-5</v>
      </c>
    </row>
    <row r="40" spans="6:13" ht="18.75">
      <c r="F40" s="57" t="s">
        <v>23</v>
      </c>
      <c r="H40" s="76">
        <f>MOD((239.56+25.513099*H131),360)</f>
        <v>2.400886750000609</v>
      </c>
      <c r="I40" s="11"/>
      <c r="J40" s="59">
        <f t="shared" si="0"/>
        <v>2.400886750000609</v>
      </c>
      <c r="K40" s="13">
        <v>3.4999999999999997E-5</v>
      </c>
      <c r="L40" s="11">
        <f t="shared" si="1"/>
        <v>4.1891116855634812E-2</v>
      </c>
      <c r="M40" s="16">
        <f t="shared" si="2"/>
        <v>1.4661890899472183E-6</v>
      </c>
    </row>
    <row r="41" spans="6:13" ht="19.5" thickBot="1">
      <c r="F41" s="58" t="s">
        <v>24</v>
      </c>
      <c r="H41" s="76">
        <f>MOD((331.55+3.592518*H131),360)</f>
        <v>287.84151350000002</v>
      </c>
      <c r="I41" s="11"/>
      <c r="J41" s="59">
        <f t="shared" si="0"/>
        <v>287.84151350000002</v>
      </c>
      <c r="K41" s="13">
        <v>2.3E-5</v>
      </c>
      <c r="L41" s="11">
        <f t="shared" si="1"/>
        <v>-0.95190765214714135</v>
      </c>
      <c r="M41" s="16">
        <f t="shared" si="2"/>
        <v>-2.1893875999384253E-5</v>
      </c>
    </row>
    <row r="42" spans="6:13" ht="21.75" thickBot="1">
      <c r="F42" s="1"/>
      <c r="H42" s="77"/>
      <c r="I42" s="17"/>
      <c r="J42" s="17"/>
      <c r="K42" s="17"/>
      <c r="L42" s="17"/>
      <c r="M42" s="18">
        <f>SUM(M28:M41)</f>
        <v>-5.7927781735853362E-4</v>
      </c>
    </row>
    <row r="43" spans="6:13" ht="15.75">
      <c r="F43" s="1"/>
    </row>
    <row r="44" spans="6:13" ht="15.75">
      <c r="F44" s="1"/>
    </row>
    <row r="45" spans="6:13" ht="15.75">
      <c r="F45" s="1"/>
    </row>
    <row r="46" spans="6:13" ht="15.75">
      <c r="F46" s="1"/>
    </row>
    <row r="47" spans="6:13" ht="15.75">
      <c r="F47" s="1"/>
    </row>
    <row r="48" spans="6:13" ht="15.75">
      <c r="F48" s="1"/>
    </row>
    <row r="49" spans="6:11" ht="15.75">
      <c r="F49" s="1" t="s">
        <v>25</v>
      </c>
    </row>
    <row r="50" spans="6:11" ht="16.5" thickBot="1">
      <c r="F50" s="1"/>
    </row>
    <row r="51" spans="6:11" ht="15.75">
      <c r="F51" s="36" t="s">
        <v>26</v>
      </c>
      <c r="G51" s="37" t="s">
        <v>27</v>
      </c>
      <c r="H51" s="78"/>
      <c r="I51" s="37"/>
      <c r="J51" s="36" t="s">
        <v>26</v>
      </c>
      <c r="K51" s="37" t="s">
        <v>27</v>
      </c>
    </row>
    <row r="52" spans="6:11" ht="15.75">
      <c r="F52" s="22">
        <v>-0.40720000000000001</v>
      </c>
      <c r="G52" s="35">
        <v>-0.40614</v>
      </c>
      <c r="H52" s="35" t="s">
        <v>28</v>
      </c>
      <c r="I52" s="35" t="s">
        <v>29</v>
      </c>
      <c r="J52" s="11">
        <f>F52*SIN(L130*PI()/180)</f>
        <v>-0.37859814214534365</v>
      </c>
      <c r="K52" s="11">
        <f>G52*SIN(L130*PI()/180)</f>
        <v>-0.37761259688337395</v>
      </c>
    </row>
    <row r="53" spans="6:11" ht="15.75">
      <c r="F53" s="22" t="s">
        <v>30</v>
      </c>
      <c r="G53" s="35" t="s">
        <v>31</v>
      </c>
      <c r="H53" s="35" t="s">
        <v>28</v>
      </c>
      <c r="I53" s="35" t="s">
        <v>32</v>
      </c>
      <c r="J53" s="11">
        <f>0.17241*L134*SIN(L129*PI()/180)</f>
        <v>0.17051123325465933</v>
      </c>
      <c r="K53" s="11">
        <f>0.17302*L134*SIN(L129*PI()/180)</f>
        <v>0.17111451527011867</v>
      </c>
    </row>
    <row r="54" spans="6:11" ht="15.75">
      <c r="F54" s="22">
        <v>1.6080000000000001E-2</v>
      </c>
      <c r="G54" s="35">
        <v>1.6140000000000002E-2</v>
      </c>
      <c r="H54" s="35" t="s">
        <v>28</v>
      </c>
      <c r="I54" s="35" t="s">
        <v>33</v>
      </c>
      <c r="J54" s="11">
        <f>F54*SIN(2*L130*PI()/180)</f>
        <v>-1.1008587551092757E-2</v>
      </c>
      <c r="K54" s="11">
        <f>G54*SIN(2*L130*PI()/180)</f>
        <v>-1.1049664370313253E-2</v>
      </c>
    </row>
    <row r="55" spans="6:11" ht="15.75">
      <c r="F55" s="22">
        <v>1.039E-2</v>
      </c>
      <c r="G55" s="35">
        <v>1.043E-2</v>
      </c>
      <c r="H55" s="35" t="s">
        <v>28</v>
      </c>
      <c r="I55" s="35" t="s">
        <v>34</v>
      </c>
      <c r="J55" s="11">
        <f>F55*SIN(2*L131*PI()/180)</f>
        <v>2.0063876268721888E-3</v>
      </c>
      <c r="K55" s="11">
        <f>G55*SIN(2*L131*PI()/180)</f>
        <v>2.0141119295742954E-3</v>
      </c>
    </row>
    <row r="56" spans="6:11" ht="15.75">
      <c r="F56" s="22" t="s">
        <v>35</v>
      </c>
      <c r="G56" s="35" t="s">
        <v>36</v>
      </c>
      <c r="H56" s="35" t="s">
        <v>28</v>
      </c>
      <c r="I56" s="35" t="s">
        <v>37</v>
      </c>
      <c r="J56" s="11">
        <f>0.00739*L134*SIN((L130*PI()/180)-(L129*PI()/180))</f>
        <v>3.6897672045800244E-3</v>
      </c>
      <c r="K56" s="11">
        <f>0.00734*L134*SIN((L130*PI()/180)-(L129*PI()/180))</f>
        <v>3.6648026091498482E-3</v>
      </c>
    </row>
    <row r="57" spans="6:11" ht="15.75">
      <c r="F57" s="22" t="s">
        <v>38</v>
      </c>
      <c r="G57" s="35" t="s">
        <v>39</v>
      </c>
      <c r="H57" s="35" t="s">
        <v>28</v>
      </c>
      <c r="I57" s="35" t="s">
        <v>40</v>
      </c>
      <c r="J57" s="11">
        <f>-0.00514*L134*SIN((L130*PI()/180)+(L129*PI()/180))</f>
        <v>1.1767144231220319E-3</v>
      </c>
      <c r="K57" s="11">
        <f>-0.00515*L134*SIN((L130*PI()/180)+(L129*PI()/180))</f>
        <v>1.1790037507934756E-3</v>
      </c>
    </row>
    <row r="58" spans="6:11" ht="18">
      <c r="F58" s="22" t="s">
        <v>41</v>
      </c>
      <c r="G58" s="35" t="s">
        <v>42</v>
      </c>
      <c r="H58" s="35" t="s">
        <v>28</v>
      </c>
      <c r="I58" s="35" t="s">
        <v>43</v>
      </c>
      <c r="J58" s="11">
        <f>0.00208*L134*L134*SIN(2*PI()*L129/180)</f>
        <v>5.9816944914983794E-4</v>
      </c>
      <c r="K58" s="11">
        <f>0.00209*L134*L134*SIN(2*PI()*L129/180)</f>
        <v>6.0104526380921214E-4</v>
      </c>
    </row>
    <row r="59" spans="6:11" ht="15.75">
      <c r="F59" s="22">
        <v>-1.1100000000000001E-3</v>
      </c>
      <c r="G59" s="35">
        <v>-1.1100000000000001E-3</v>
      </c>
      <c r="H59" s="35" t="s">
        <v>28</v>
      </c>
      <c r="I59" s="35" t="s">
        <v>44</v>
      </c>
      <c r="J59" s="11">
        <f>F59*SIN((L130*PI()/180)-(2*L131*PI()/180))</f>
        <v>9.3369152112688833E-4</v>
      </c>
      <c r="K59" s="11">
        <f>G59*SIN((L130*PI()/180)-(2*L131*PI()/180))</f>
        <v>9.3369152112688833E-4</v>
      </c>
    </row>
    <row r="60" spans="6:11" ht="15.75">
      <c r="F60" s="22">
        <v>-5.6999999999999998E-4</v>
      </c>
      <c r="G60" s="35">
        <v>-5.6999999999999998E-4</v>
      </c>
      <c r="H60" s="35" t="s">
        <v>28</v>
      </c>
      <c r="I60" s="35" t="s">
        <v>45</v>
      </c>
      <c r="J60" s="11">
        <f>F60*SIN((L130*PI()/180)+(2*L131*PI()/180))</f>
        <v>5.6051246276624827E-4</v>
      </c>
      <c r="K60" s="11">
        <f>G60*SIN((L130*PI()/180)+(2*L131*PI()/180))</f>
        <v>5.6051246276624827E-4</v>
      </c>
    </row>
    <row r="61" spans="6:11" ht="15.75">
      <c r="F61" s="22" t="s">
        <v>46</v>
      </c>
      <c r="G61" s="35" t="s">
        <v>46</v>
      </c>
      <c r="H61" s="35" t="s">
        <v>28</v>
      </c>
      <c r="I61" s="35" t="s">
        <v>47</v>
      </c>
      <c r="J61" s="11">
        <f>0.00056*L134*SIN((2*L130*PI()/180)+(L129*PI()/180))</f>
        <v>-4.5943292260401273E-4</v>
      </c>
      <c r="K61" s="11">
        <f>0.00056*L134*SIN((2*L130*PI()/180)+(L129*PI()/180))</f>
        <v>-4.5943292260401273E-4</v>
      </c>
    </row>
    <row r="62" spans="6:11" ht="15.75">
      <c r="F62" s="22">
        <v>-4.2000000000000002E-4</v>
      </c>
      <c r="G62" s="35">
        <v>-4.2000000000000002E-4</v>
      </c>
      <c r="H62" s="35" t="s">
        <v>28</v>
      </c>
      <c r="I62" s="35" t="s">
        <v>48</v>
      </c>
      <c r="J62" s="11">
        <f>F62*SIN(3*L130*PI()/180)</f>
        <v>1.787752593463851E-4</v>
      </c>
      <c r="K62" s="11">
        <f>G62*SIN(3*L130*PI()/180)</f>
        <v>1.787752593463851E-4</v>
      </c>
    </row>
    <row r="63" spans="6:11" ht="15.75">
      <c r="F63" s="22" t="s">
        <v>49</v>
      </c>
      <c r="G63" s="35" t="s">
        <v>49</v>
      </c>
      <c r="H63" s="35" t="s">
        <v>28</v>
      </c>
      <c r="I63" s="35" t="s">
        <v>50</v>
      </c>
      <c r="J63" s="11">
        <f>0.00042*L134*SIN((L129*PI()/180)+(2*L131*PI()/180))</f>
        <v>-3.9576411432064806E-4</v>
      </c>
      <c r="K63" s="11">
        <f>0.00042*L134*SIN((L129*PI()/180)+(2*L131*PI()/180))</f>
        <v>-3.9576411432064806E-4</v>
      </c>
    </row>
    <row r="64" spans="6:11" ht="15.75">
      <c r="F64" s="22" t="s">
        <v>51</v>
      </c>
      <c r="G64" s="35" t="s">
        <v>51</v>
      </c>
      <c r="H64" s="35" t="s">
        <v>28</v>
      </c>
      <c r="I64" s="35" t="s">
        <v>52</v>
      </c>
      <c r="J64" s="11">
        <f>0.00038*L134*SIN((L129*PI()/180)-(2*L131*PI()/180))</f>
        <v>-3.7941027075293678E-4</v>
      </c>
      <c r="K64" s="11">
        <f>0.00038*L134*SIN((L129*PI()/180)-(2*L131*PI()/180))</f>
        <v>-3.7941027075293678E-4</v>
      </c>
    </row>
    <row r="65" spans="6:11" ht="15.75">
      <c r="F65" s="22" t="s">
        <v>53</v>
      </c>
      <c r="G65" s="35" t="s">
        <v>53</v>
      </c>
      <c r="H65" s="35" t="s">
        <v>28</v>
      </c>
      <c r="I65" s="35" t="s">
        <v>54</v>
      </c>
      <c r="J65" s="11">
        <f>-0.00024*L134*SIN((2*PI()*L130/180)-(L129*PI()/180))</f>
        <v>-1.4912191402917036E-4</v>
      </c>
      <c r="K65" s="11">
        <f>-0.00024*L134*SIN((2*PI()*L130/180)-(L129*PI()/180))</f>
        <v>-1.4912191402917036E-4</v>
      </c>
    </row>
    <row r="66" spans="6:11" ht="15.75">
      <c r="F66" s="22">
        <v>-1.7000000000000001E-4</v>
      </c>
      <c r="G66" s="35">
        <v>-1.7000000000000001E-4</v>
      </c>
      <c r="H66" s="35" t="s">
        <v>28</v>
      </c>
      <c r="I66" s="35" t="s">
        <v>55</v>
      </c>
      <c r="J66" s="11">
        <f>F66*SIN(L132*PI()/180)</f>
        <v>3.0681304956994058E-5</v>
      </c>
      <c r="K66" s="11">
        <f>G66*SIN(L132*PI()/180)</f>
        <v>3.0681304956994058E-5</v>
      </c>
    </row>
    <row r="67" spans="6:11" ht="15.75">
      <c r="F67" s="22">
        <v>-6.9999999999999994E-5</v>
      </c>
      <c r="G67" s="35">
        <v>-6.9999999999999994E-5</v>
      </c>
      <c r="H67" s="35" t="s">
        <v>28</v>
      </c>
      <c r="I67" s="35" t="s">
        <v>56</v>
      </c>
      <c r="J67" s="11">
        <f>F67*SIN((L130*PI()/180)+(2*PI()*L129/180))</f>
        <v>6.9746647552476382E-5</v>
      </c>
      <c r="K67" s="11">
        <f>G67*SIN((L130*PI()/180)+(2*PI()*L129/180))</f>
        <v>6.9746647552476382E-5</v>
      </c>
    </row>
    <row r="68" spans="6:11" ht="15.75">
      <c r="F68" s="22">
        <v>4.0000000000000003E-5</v>
      </c>
      <c r="G68" s="35">
        <v>4.0000000000000003E-5</v>
      </c>
      <c r="H68" s="35" t="s">
        <v>28</v>
      </c>
      <c r="I68" s="35" t="s">
        <v>57</v>
      </c>
      <c r="J68" s="11">
        <f>F68*SIN((2*L130*PI()/180)-(2*PI()*L131/180))</f>
        <v>3.2499394634312223E-5</v>
      </c>
      <c r="K68" s="11">
        <f>G68*SIN((2*L130*PI()/180)-(2*PI()*L131/180))</f>
        <v>3.2499394634312223E-5</v>
      </c>
    </row>
    <row r="69" spans="6:11" ht="15.75">
      <c r="F69" s="22">
        <v>4.0000000000000003E-5</v>
      </c>
      <c r="G69" s="35">
        <v>4.0000000000000003E-5</v>
      </c>
      <c r="H69" s="35" t="s">
        <v>28</v>
      </c>
      <c r="I69" s="35" t="s">
        <v>58</v>
      </c>
      <c r="J69" s="11">
        <f>F69*SIN(3*L129*PI()/180)</f>
        <v>-3.62258280845805E-5</v>
      </c>
      <c r="K69" s="11">
        <f>G69*SIN(3*L129*PI()/180)</f>
        <v>-3.62258280845805E-5</v>
      </c>
    </row>
    <row r="70" spans="6:11" ht="15.75">
      <c r="F70" s="22">
        <v>3.0000000000000001E-5</v>
      </c>
      <c r="G70" s="35">
        <v>3.0000000000000001E-5</v>
      </c>
      <c r="H70" s="35" t="s">
        <v>28</v>
      </c>
      <c r="I70" s="35" t="s">
        <v>59</v>
      </c>
      <c r="J70" s="11">
        <f>F70*SIN((L130*PI()/180)+(L129*PI()/180)-(2*L131*PI()/180))</f>
        <v>1.2380546000293057E-5</v>
      </c>
      <c r="K70" s="11">
        <f>G70*SIN((L130*PI()/180)+(L129*PI()/180)-(2*L131*PI()/180))</f>
        <v>1.2380546000293057E-5</v>
      </c>
    </row>
    <row r="71" spans="6:11" ht="15.75">
      <c r="F71" s="22">
        <v>3.0000000000000001E-5</v>
      </c>
      <c r="G71" s="35">
        <v>3.0000000000000001E-5</v>
      </c>
      <c r="H71" s="35" t="s">
        <v>28</v>
      </c>
      <c r="I71" s="35" t="s">
        <v>60</v>
      </c>
      <c r="J71" s="11">
        <f>F71*SIN((2*L130*PI()/180)+(2*PI()*L131/180))</f>
        <v>1.5929108600571789E-5</v>
      </c>
      <c r="K71" s="11">
        <f>G71*SIN((2*L130*PI()/180)+(2*PI()*L131/180))</f>
        <v>1.5929108600571789E-5</v>
      </c>
    </row>
    <row r="72" spans="6:11" ht="15.75">
      <c r="F72" s="22">
        <v>-3.0000000000000001E-5</v>
      </c>
      <c r="G72" s="35">
        <v>-3.0000000000000001E-5</v>
      </c>
      <c r="H72" s="35" t="s">
        <v>28</v>
      </c>
      <c r="I72" s="35" t="s">
        <v>61</v>
      </c>
      <c r="J72" s="11">
        <f>F72*SIN((L130*PI()/180)+(L129*PI()/180)+(2*L131*PI()/180))</f>
        <v>-1.1020413814059732E-6</v>
      </c>
      <c r="K72" s="11">
        <f>G72*SIN((L130*PI()/180)+(L129*PI()/180)+(2*L131*PI()/180))</f>
        <v>-1.1020413814059732E-6</v>
      </c>
    </row>
    <row r="73" spans="6:11" ht="15.75">
      <c r="F73" s="22">
        <v>3.0000000000000001E-5</v>
      </c>
      <c r="G73" s="35">
        <v>3.0000000000000001E-5</v>
      </c>
      <c r="H73" s="35" t="s">
        <v>28</v>
      </c>
      <c r="I73" s="35" t="s">
        <v>62</v>
      </c>
      <c r="J73" s="11">
        <f>F73*SIN((L130*PI()/180)-(L129*PI()/180)+(2*L131*PI()/180))</f>
        <v>-9.6836447124628039E-6</v>
      </c>
      <c r="K73" s="11">
        <f>G73*SIN((L130*PI()/180)-(L129*PI()/180)+(2*L131*PI()/180))</f>
        <v>-9.6836447124628039E-6</v>
      </c>
    </row>
    <row r="74" spans="6:11" ht="15.75">
      <c r="F74" s="22">
        <v>-2.0000000000000002E-5</v>
      </c>
      <c r="G74" s="35">
        <v>-2.0000000000000002E-5</v>
      </c>
      <c r="H74" s="35" t="s">
        <v>28</v>
      </c>
      <c r="I74" s="35" t="s">
        <v>63</v>
      </c>
      <c r="J74" s="11">
        <f>F74*SIN((L130*PI()/180)-(L129*PI()/180)-(2*L131*PI()/180))</f>
        <v>1.314750836522569E-5</v>
      </c>
      <c r="K74" s="11">
        <f>G74*SIN((L130*PI()/180)-(L129*PI()/180)-(2*L131*PI()/180))</f>
        <v>1.314750836522569E-5</v>
      </c>
    </row>
    <row r="75" spans="6:11" ht="15.75">
      <c r="F75" s="22">
        <v>-2.0000000000000002E-5</v>
      </c>
      <c r="G75" s="35">
        <v>-2.0000000000000002E-5</v>
      </c>
      <c r="H75" s="35" t="s">
        <v>28</v>
      </c>
      <c r="I75" s="35" t="s">
        <v>64</v>
      </c>
      <c r="J75" s="11">
        <f>F75*SIN((3*L130*PI()/180)+(L129*PI()/180))</f>
        <v>-1.6667043361197318E-5</v>
      </c>
      <c r="K75" s="11">
        <f>G75*SIN((3*L130*PI()/180)+(L129*PI()/180))</f>
        <v>-1.6667043361197318E-5</v>
      </c>
    </row>
    <row r="76" spans="6:11" ht="15.75">
      <c r="F76" s="22">
        <v>2.0000000000000002E-5</v>
      </c>
      <c r="G76" s="35">
        <v>2.0000000000000002E-5</v>
      </c>
      <c r="H76" s="35" t="s">
        <v>28</v>
      </c>
      <c r="I76" s="35" t="s">
        <v>65</v>
      </c>
      <c r="J76" s="11">
        <f>F76*SIN(4*L129*PI()/180)</f>
        <v>-1.1025001144799814E-5</v>
      </c>
      <c r="K76" s="11">
        <f>G76*SIN(4*L129*PI()/180)</f>
        <v>-1.1025001144799814E-5</v>
      </c>
    </row>
    <row r="77" spans="6:11" ht="19.5" thickBot="1">
      <c r="F77" s="38"/>
      <c r="G77" s="17"/>
      <c r="H77" s="79"/>
      <c r="I77" s="17"/>
      <c r="J77" s="42">
        <f>SUM(J52:J76)</f>
        <v>-0.2112355267650948</v>
      </c>
      <c r="K77" s="42">
        <f>SUM(K52:K76)</f>
        <v>-0.20969985145728351</v>
      </c>
    </row>
    <row r="79" spans="6:11" ht="21.75" thickBot="1">
      <c r="F79" s="26" t="s">
        <v>140</v>
      </c>
      <c r="G79" s="28"/>
    </row>
    <row r="80" spans="6:11" ht="15.75">
      <c r="F80" s="20">
        <v>-0.62800999999999996</v>
      </c>
      <c r="G80" s="21" t="s">
        <v>28</v>
      </c>
      <c r="H80" s="78" t="s">
        <v>66</v>
      </c>
      <c r="I80" s="14">
        <f>F80*SIN(PI()*L130/180)</f>
        <v>-0.58389837732980654</v>
      </c>
    </row>
    <row r="81" spans="6:9" ht="15.75">
      <c r="F81" s="22" t="s">
        <v>67</v>
      </c>
      <c r="G81" s="13" t="s">
        <v>28</v>
      </c>
      <c r="H81" s="35" t="s">
        <v>32</v>
      </c>
      <c r="I81" s="16">
        <f>0.171172*L134*SIN(PI()*L129/180)</f>
        <v>0.16928686745935007</v>
      </c>
    </row>
    <row r="82" spans="6:9" ht="15.75">
      <c r="F82" s="22" t="s">
        <v>68</v>
      </c>
      <c r="G82" s="13" t="s">
        <v>28</v>
      </c>
      <c r="H82" s="35" t="s">
        <v>69</v>
      </c>
      <c r="I82" s="16">
        <f>-0.01183*L134*SIN((PI()*L130/180)+PI()*L129/180)</f>
        <v>2.7082746353178284E-3</v>
      </c>
    </row>
    <row r="83" spans="6:9" ht="15.75">
      <c r="F83" s="22">
        <v>8.6199999999999992E-3</v>
      </c>
      <c r="G83" s="13" t="s">
        <v>28</v>
      </c>
      <c r="H83" s="35" t="s">
        <v>70</v>
      </c>
      <c r="I83" s="16">
        <f>0.00862*SIN(2*PI()*L130/180)</f>
        <v>-5.9013696946778327E-3</v>
      </c>
    </row>
    <row r="84" spans="6:9" ht="15.75">
      <c r="F84" s="22">
        <v>8.0400000000000003E-3</v>
      </c>
      <c r="G84" s="13" t="s">
        <v>28</v>
      </c>
      <c r="H84" s="35" t="s">
        <v>34</v>
      </c>
      <c r="I84" s="16">
        <f>0.00804*SIN(2*PI()*L131/180)</f>
        <v>1.5525848431234262E-3</v>
      </c>
    </row>
    <row r="85" spans="6:9" ht="15.75">
      <c r="F85" s="22" t="s">
        <v>71</v>
      </c>
      <c r="G85" s="13" t="s">
        <v>28</v>
      </c>
      <c r="H85" s="35" t="s">
        <v>72</v>
      </c>
      <c r="I85" s="16">
        <f>0.00454*L134*SIN((PI()*L130/180)-PI()*L129/180)</f>
        <v>2.2667852650599877E-3</v>
      </c>
    </row>
    <row r="86" spans="6:9" ht="18">
      <c r="F86" s="22" t="s">
        <v>73</v>
      </c>
      <c r="G86" s="13" t="s">
        <v>28</v>
      </c>
      <c r="H86" s="35" t="s">
        <v>43</v>
      </c>
      <c r="I86" s="16">
        <f>0.00204*L134*L134*SIN(2*PI()*L129/180)</f>
        <v>5.8666619051234116E-4</v>
      </c>
    </row>
    <row r="87" spans="6:9" ht="15.75">
      <c r="F87" s="22">
        <v>-1.8E-3</v>
      </c>
      <c r="G87" s="13" t="s">
        <v>28</v>
      </c>
      <c r="H87" s="35" t="s">
        <v>74</v>
      </c>
      <c r="I87" s="16">
        <f>-0.0018*SIN((PI()*L130/180)-2*PI()*L131/180)</f>
        <v>1.514094358584143E-3</v>
      </c>
    </row>
    <row r="88" spans="6:9" ht="15.75">
      <c r="F88" s="22">
        <v>-6.9999999999999999E-4</v>
      </c>
      <c r="G88" s="13" t="s">
        <v>28</v>
      </c>
      <c r="H88" s="35" t="s">
        <v>75</v>
      </c>
      <c r="I88" s="16">
        <f>-0.0007*SIN((PI()*L130/180)+2*PI()*L131/180)</f>
        <v>6.883486384848663E-4</v>
      </c>
    </row>
    <row r="89" spans="6:9" ht="15.75">
      <c r="F89" s="22">
        <v>-4.0000000000000002E-4</v>
      </c>
      <c r="G89" s="13" t="s">
        <v>28</v>
      </c>
      <c r="H89" s="35" t="s">
        <v>58</v>
      </c>
      <c r="I89" s="16">
        <f>-0.0004*SIN(3*PI()*L129/180)</f>
        <v>3.6225828084579536E-4</v>
      </c>
    </row>
    <row r="90" spans="6:9" ht="15.75">
      <c r="F90" s="22" t="s">
        <v>76</v>
      </c>
      <c r="G90" s="13" t="s">
        <v>28</v>
      </c>
      <c r="H90" s="35" t="s">
        <v>77</v>
      </c>
      <c r="I90" s="16">
        <f>-0.00034*L134*SIN((2*L130*PI()/180)-PI()*L129/180)</f>
        <v>-2.11256044874658E-4</v>
      </c>
    </row>
    <row r="91" spans="6:9" ht="15.75">
      <c r="F91" s="22" t="s">
        <v>78</v>
      </c>
      <c r="G91" s="13" t="s">
        <v>28</v>
      </c>
      <c r="H91" s="35" t="s">
        <v>50</v>
      </c>
      <c r="I91" s="16">
        <f>0.00032*L134*SIN(PI()*L129/180+2*PI()*L131/180)</f>
        <v>-3.0153456329192233E-4</v>
      </c>
    </row>
    <row r="92" spans="6:9" ht="15.75">
      <c r="F92" s="22" t="s">
        <v>78</v>
      </c>
      <c r="G92" s="13" t="s">
        <v>28</v>
      </c>
      <c r="H92" s="35" t="s">
        <v>79</v>
      </c>
      <c r="I92" s="16">
        <f>0.00032*L134*SIN(PI()*L129/180-2*PI()*L131/180)</f>
        <v>-3.1950338589720997E-4</v>
      </c>
    </row>
    <row r="93" spans="6:9" ht="18">
      <c r="F93" s="22" t="s">
        <v>80</v>
      </c>
      <c r="G93" s="13" t="s">
        <v>28</v>
      </c>
      <c r="H93" s="35" t="s">
        <v>81</v>
      </c>
      <c r="I93" s="16">
        <f>-0.00028*L134*L134*SIN(PI()*L130/180+PI()*2*L129/180)</f>
        <v>2.7877286631393692E-4</v>
      </c>
    </row>
    <row r="94" spans="6:9" ht="15.75">
      <c r="F94" s="22" t="s">
        <v>82</v>
      </c>
      <c r="G94" s="13" t="s">
        <v>28</v>
      </c>
      <c r="H94" s="35" t="s">
        <v>83</v>
      </c>
      <c r="I94" s="16">
        <f>0.00027*L134*SIN(PI()*2*L130/180+PI()*L129/180)</f>
        <v>-2.2151230196979188E-4</v>
      </c>
    </row>
    <row r="95" spans="6:9" ht="15.75">
      <c r="F95" s="22">
        <v>-1.7000000000000001E-4</v>
      </c>
      <c r="G95" s="13" t="s">
        <v>28</v>
      </c>
      <c r="H95" s="35" t="s">
        <v>55</v>
      </c>
      <c r="I95" s="16">
        <f>-0.00017*SIN(PI()*L132/180)</f>
        <v>3.0681304956994058E-5</v>
      </c>
    </row>
    <row r="96" spans="6:9" ht="15.75">
      <c r="F96" s="22">
        <v>-5.0000000000000002E-5</v>
      </c>
      <c r="G96" s="13" t="s">
        <v>28</v>
      </c>
      <c r="H96" s="35" t="s">
        <v>84</v>
      </c>
      <c r="I96" s="16">
        <f>-0.00005*SIN((PI()*L130/180)-(PI()*L129/180)-(2*L131*PI()/180))</f>
        <v>3.2868770913064225E-5</v>
      </c>
    </row>
    <row r="97" spans="6:15" ht="15.75">
      <c r="F97" s="22">
        <v>4.0000000000000003E-5</v>
      </c>
      <c r="G97" s="13" t="s">
        <v>28</v>
      </c>
      <c r="H97" s="35" t="s">
        <v>85</v>
      </c>
      <c r="I97" s="16">
        <f>0.00004*SIN((2*L130*PI()/180)+(2*L131*PI()/180))</f>
        <v>2.1238811467429054E-5</v>
      </c>
    </row>
    <row r="98" spans="6:15" ht="15.75">
      <c r="F98" s="22">
        <v>-4.0000000000000003E-5</v>
      </c>
      <c r="G98" s="13" t="s">
        <v>28</v>
      </c>
      <c r="H98" s="35" t="s">
        <v>86</v>
      </c>
      <c r="I98" s="16">
        <f>-0.00004*SIN((PI()*L130/180)+(PI()*L129/180)+(2*L131*PI()/180))</f>
        <v>-1.4693885085412976E-6</v>
      </c>
    </row>
    <row r="99" spans="6:15" ht="15.75">
      <c r="F99" s="22">
        <v>4.0000000000000003E-5</v>
      </c>
      <c r="G99" s="13" t="s">
        <v>28</v>
      </c>
      <c r="H99" s="35" t="s">
        <v>87</v>
      </c>
      <c r="I99" s="16">
        <f>0.00004*SIN((L130*PI()/180)-(2*L129*PI()/180))</f>
        <v>-3.1378493076598665E-5</v>
      </c>
    </row>
    <row r="100" spans="6:15" ht="15.75">
      <c r="F100" s="22">
        <v>3.0000000000000001E-5</v>
      </c>
      <c r="G100" s="13" t="s">
        <v>28</v>
      </c>
      <c r="H100" s="35" t="s">
        <v>88</v>
      </c>
      <c r="I100" s="16">
        <f>0.00003*SIN((L130*PI()/180)+(L129*PI()/180)-(2*PI()*L131/180))</f>
        <v>1.2380546000293057E-5</v>
      </c>
    </row>
    <row r="101" spans="6:15" ht="15.75">
      <c r="F101" s="22">
        <v>3.0000000000000001E-5</v>
      </c>
      <c r="G101" s="13" t="s">
        <v>28</v>
      </c>
      <c r="H101" s="35" t="s">
        <v>58</v>
      </c>
      <c r="I101" s="16">
        <f>0.00003*SIN(3*L129*PI()/180)</f>
        <v>-2.7169371063435373E-5</v>
      </c>
    </row>
    <row r="102" spans="6:15" ht="15.75">
      <c r="F102" s="22">
        <v>2.0000000000000002E-5</v>
      </c>
      <c r="G102" s="13" t="s">
        <v>28</v>
      </c>
      <c r="H102" s="35" t="s">
        <v>89</v>
      </c>
      <c r="I102" s="16">
        <f>0.00002*SIN((2*L130*PI()/180)-(2*L131*PI()/180))</f>
        <v>1.6249697317156111E-5</v>
      </c>
      <c r="L102" s="7"/>
      <c r="M102" s="7" t="s">
        <v>126</v>
      </c>
    </row>
    <row r="103" spans="6:15" ht="16.5" thickBot="1">
      <c r="F103" s="23">
        <v>2.0000000000000002E-5</v>
      </c>
      <c r="G103" s="24" t="s">
        <v>28</v>
      </c>
      <c r="H103" s="80" t="s">
        <v>90</v>
      </c>
      <c r="I103" s="25">
        <f>0.00002*SIN((L130*PI()/180)-(L129*PI()/180)+(2*L131*PI()/180))</f>
        <v>-6.4557631416418698E-6</v>
      </c>
      <c r="K103" s="1"/>
    </row>
    <row r="104" spans="6:15" ht="16.5" thickBot="1">
      <c r="F104" s="9">
        <v>-2.0000000000000002E-5</v>
      </c>
      <c r="G104" s="4" t="s">
        <v>28</v>
      </c>
      <c r="H104" s="81" t="s">
        <v>91</v>
      </c>
      <c r="I104">
        <f>-0.00002*SIN((3*L130*PI()/180)+(L129*PI()/180))</f>
        <v>-1.6667043361197318E-5</v>
      </c>
      <c r="M104" s="1" t="s">
        <v>127</v>
      </c>
    </row>
    <row r="105" spans="6:15" ht="26.25">
      <c r="F105" s="1"/>
      <c r="I105" s="10">
        <f>SUM(I80:I104)</f>
        <v>-0.41157862171142207</v>
      </c>
      <c r="K105" s="1"/>
    </row>
    <row r="106" spans="6:15" ht="15.75">
      <c r="F106" s="1"/>
      <c r="I106" t="s">
        <v>132</v>
      </c>
      <c r="L106" s="1"/>
    </row>
    <row r="107" spans="6:15" ht="15.75">
      <c r="F107" s="30" t="s">
        <v>92</v>
      </c>
    </row>
    <row r="108" spans="6:15" ht="15.75">
      <c r="F108" s="1"/>
    </row>
    <row r="109" spans="6:15" ht="15.75">
      <c r="F109" s="19" t="s">
        <v>142</v>
      </c>
      <c r="G109" s="29"/>
      <c r="H109" s="82"/>
      <c r="I109" s="29"/>
      <c r="J109" s="29"/>
    </row>
    <row r="110" spans="6:15" ht="15.75">
      <c r="F110" s="1"/>
      <c r="J110" t="s">
        <v>129</v>
      </c>
    </row>
    <row r="111" spans="6:15" ht="18">
      <c r="F111" s="1" t="s">
        <v>2</v>
      </c>
    </row>
    <row r="112" spans="6:15" ht="15.75">
      <c r="F112" s="1"/>
      <c r="L112">
        <v>1</v>
      </c>
      <c r="M112">
        <v>31</v>
      </c>
      <c r="N112">
        <v>31</v>
      </c>
      <c r="O112">
        <f>N112-15</f>
        <v>16</v>
      </c>
    </row>
    <row r="113" spans="6:15" ht="15.75">
      <c r="F113" s="1" t="s">
        <v>93</v>
      </c>
      <c r="L113">
        <v>2</v>
      </c>
      <c r="M113">
        <v>28</v>
      </c>
      <c r="N113">
        <f>N112+(M113)</f>
        <v>59</v>
      </c>
      <c r="O113">
        <f t="shared" ref="O113:O123" si="3">N113-15</f>
        <v>44</v>
      </c>
    </row>
    <row r="114" spans="6:15" ht="15.75">
      <c r="F114" s="1"/>
      <c r="L114">
        <v>3</v>
      </c>
      <c r="M114">
        <v>31</v>
      </c>
      <c r="N114">
        <f t="shared" ref="N114:N123" si="4">N113+(M114)</f>
        <v>90</v>
      </c>
      <c r="O114">
        <f t="shared" si="3"/>
        <v>75</v>
      </c>
    </row>
    <row r="115" spans="6:15" ht="15.75">
      <c r="F115" s="19" t="s">
        <v>94</v>
      </c>
      <c r="L115">
        <v>4</v>
      </c>
      <c r="M115">
        <v>30</v>
      </c>
      <c r="N115">
        <f t="shared" si="4"/>
        <v>120</v>
      </c>
      <c r="O115">
        <f t="shared" si="3"/>
        <v>105</v>
      </c>
    </row>
    <row r="116" spans="6:15" ht="15.75">
      <c r="F116" s="19" t="s">
        <v>95</v>
      </c>
      <c r="L116">
        <v>5</v>
      </c>
      <c r="M116">
        <v>31</v>
      </c>
      <c r="N116">
        <f t="shared" si="4"/>
        <v>151</v>
      </c>
      <c r="O116">
        <f t="shared" si="3"/>
        <v>136</v>
      </c>
    </row>
    <row r="117" spans="6:15" ht="15.75">
      <c r="F117" s="1"/>
      <c r="L117">
        <v>6</v>
      </c>
      <c r="M117">
        <v>30</v>
      </c>
      <c r="N117">
        <f t="shared" si="4"/>
        <v>181</v>
      </c>
      <c r="O117">
        <f t="shared" si="3"/>
        <v>166</v>
      </c>
    </row>
    <row r="118" spans="6:15" ht="15.75">
      <c r="F118" s="1" t="s">
        <v>96</v>
      </c>
      <c r="L118">
        <v>7</v>
      </c>
      <c r="M118">
        <v>31</v>
      </c>
      <c r="N118">
        <f t="shared" si="4"/>
        <v>212</v>
      </c>
      <c r="O118">
        <f t="shared" si="3"/>
        <v>197</v>
      </c>
    </row>
    <row r="119" spans="6:15" ht="16.5" thickBot="1">
      <c r="F119" s="1"/>
      <c r="L119">
        <v>8</v>
      </c>
      <c r="M119">
        <v>31</v>
      </c>
      <c r="N119">
        <f t="shared" si="4"/>
        <v>243</v>
      </c>
      <c r="O119">
        <f t="shared" si="3"/>
        <v>228</v>
      </c>
    </row>
    <row r="120" spans="6:15" ht="19.5" thickBot="1">
      <c r="F120" s="5" t="s">
        <v>97</v>
      </c>
      <c r="G120" s="6" t="s">
        <v>28</v>
      </c>
      <c r="H120" s="83" t="s">
        <v>98</v>
      </c>
      <c r="I120" s="6" t="s">
        <v>99</v>
      </c>
      <c r="J120" s="6" t="s">
        <v>28</v>
      </c>
      <c r="K120" s="6" t="s">
        <v>100</v>
      </c>
      <c r="L120">
        <v>9</v>
      </c>
      <c r="M120">
        <v>30</v>
      </c>
      <c r="N120">
        <f t="shared" si="4"/>
        <v>273</v>
      </c>
      <c r="O120">
        <f t="shared" si="3"/>
        <v>258</v>
      </c>
    </row>
    <row r="121" spans="6:15" ht="19.5" thickBot="1">
      <c r="F121" s="3" t="s">
        <v>101</v>
      </c>
      <c r="G121" s="4" t="s">
        <v>28</v>
      </c>
      <c r="H121" s="81" t="s">
        <v>102</v>
      </c>
      <c r="I121" s="4" t="s">
        <v>103</v>
      </c>
      <c r="J121" s="4" t="s">
        <v>28</v>
      </c>
      <c r="K121" s="4" t="s">
        <v>104</v>
      </c>
      <c r="L121">
        <v>10</v>
      </c>
      <c r="M121">
        <v>31</v>
      </c>
      <c r="N121">
        <f t="shared" si="4"/>
        <v>304</v>
      </c>
      <c r="O121">
        <f t="shared" si="3"/>
        <v>289</v>
      </c>
    </row>
    <row r="122" spans="6:15" ht="19.5" thickBot="1">
      <c r="F122" s="3" t="s">
        <v>105</v>
      </c>
      <c r="G122" s="4" t="s">
        <v>28</v>
      </c>
      <c r="H122" s="81" t="s">
        <v>106</v>
      </c>
      <c r="I122" s="4" t="s">
        <v>107</v>
      </c>
      <c r="J122" s="4" t="s">
        <v>28</v>
      </c>
      <c r="K122" s="4" t="s">
        <v>108</v>
      </c>
      <c r="L122">
        <v>11</v>
      </c>
      <c r="M122">
        <v>30</v>
      </c>
      <c r="N122">
        <f t="shared" si="4"/>
        <v>334</v>
      </c>
      <c r="O122">
        <f t="shared" si="3"/>
        <v>319</v>
      </c>
    </row>
    <row r="123" spans="6:15" ht="19.5" thickBot="1">
      <c r="F123" s="3" t="s">
        <v>109</v>
      </c>
      <c r="G123" s="4" t="s">
        <v>28</v>
      </c>
      <c r="H123" s="81" t="s">
        <v>110</v>
      </c>
      <c r="I123" s="4" t="s">
        <v>111</v>
      </c>
      <c r="J123" s="4" t="s">
        <v>28</v>
      </c>
      <c r="K123" s="4" t="s">
        <v>112</v>
      </c>
      <c r="L123">
        <v>12</v>
      </c>
      <c r="M123">
        <v>31</v>
      </c>
      <c r="N123">
        <f t="shared" si="4"/>
        <v>365</v>
      </c>
      <c r="O123">
        <f t="shared" si="3"/>
        <v>350</v>
      </c>
    </row>
    <row r="124" spans="6:15" ht="19.5" thickBot="1">
      <c r="F124" s="3" t="s">
        <v>113</v>
      </c>
      <c r="G124" s="4" t="s">
        <v>28</v>
      </c>
      <c r="H124" s="81" t="s">
        <v>114</v>
      </c>
      <c r="I124" s="4" t="s">
        <v>115</v>
      </c>
      <c r="J124" s="4" t="s">
        <v>28</v>
      </c>
      <c r="K124" s="4" t="s">
        <v>116</v>
      </c>
      <c r="M124">
        <f>SUM(M112:M123)</f>
        <v>365</v>
      </c>
    </row>
    <row r="125" spans="6:15" ht="19.5" thickBot="1">
      <c r="F125" s="3" t="s">
        <v>117</v>
      </c>
      <c r="G125" s="4" t="s">
        <v>28</v>
      </c>
      <c r="H125" s="81" t="s">
        <v>118</v>
      </c>
      <c r="I125" s="4" t="s">
        <v>119</v>
      </c>
      <c r="J125" s="4" t="s">
        <v>28</v>
      </c>
      <c r="K125" s="4" t="s">
        <v>120</v>
      </c>
    </row>
    <row r="126" spans="6:15" ht="19.5" thickBot="1">
      <c r="F126" s="3" t="s">
        <v>121</v>
      </c>
      <c r="G126" s="4" t="s">
        <v>28</v>
      </c>
      <c r="H126" s="81" t="s">
        <v>122</v>
      </c>
      <c r="I126" s="4" t="s">
        <v>123</v>
      </c>
      <c r="J126" s="4" t="s">
        <v>28</v>
      </c>
      <c r="K126" s="4" t="s">
        <v>124</v>
      </c>
    </row>
    <row r="127" spans="6:15" ht="15.75">
      <c r="F127" s="1"/>
    </row>
    <row r="128" spans="6:15" ht="15.75">
      <c r="F128" s="1"/>
      <c r="I128" t="s">
        <v>150</v>
      </c>
      <c r="K128" s="32"/>
    </row>
    <row r="129" spans="4:14" ht="18.75">
      <c r="F129" s="1" t="s">
        <v>147</v>
      </c>
      <c r="I129" s="84">
        <f>J132+J129</f>
        <v>2015.2273972602741</v>
      </c>
      <c r="J129">
        <f>L140/365</f>
        <v>0.22739726027397261</v>
      </c>
      <c r="K129" s="33" t="s">
        <v>136</v>
      </c>
      <c r="L129">
        <f>2.5534+29.10535669*H131-0.0000218*G132^2-0.00000011*G132^3</f>
        <v>5481.6367963871107</v>
      </c>
    </row>
    <row r="130" spans="4:14" ht="18.75">
      <c r="F130" s="1"/>
      <c r="K130" s="33" t="s">
        <v>137</v>
      </c>
      <c r="L130">
        <f>201.5643+385.81693528*H131+0.0107438*G132^2+0.00001239*G132^3-0.000000058*G132^4</f>
        <v>72831.60261538584</v>
      </c>
    </row>
    <row r="131" spans="4:14" ht="21">
      <c r="F131" s="39" t="s">
        <v>125</v>
      </c>
      <c r="G131" s="40">
        <f>(I129-2000)*12.3685</f>
        <v>188.34006301369988</v>
      </c>
      <c r="H131" s="68">
        <f>INT(G131)+0.25</f>
        <v>188.25</v>
      </c>
      <c r="K131" s="33" t="s">
        <v>138</v>
      </c>
      <c r="L131">
        <f>160.7108+390.67050274*H131-0.0016341*G132^2-0.00000227*G132^3+0.000000011*G132^4</f>
        <v>73704.432902942761</v>
      </c>
    </row>
    <row r="132" spans="4:14" ht="21">
      <c r="F132" s="39" t="s">
        <v>126</v>
      </c>
      <c r="G132" s="40">
        <f>H131/1236.85</f>
        <v>0.152201156162833</v>
      </c>
      <c r="I132" t="s">
        <v>149</v>
      </c>
      <c r="J132" s="8">
        <f>'Moon new'!I3</f>
        <v>2015</v>
      </c>
      <c r="K132" s="33" t="s">
        <v>139</v>
      </c>
      <c r="L132">
        <f>124.7746-1.5637558*H131+0.0020691*G132^2+0.00000215*G132^3</f>
        <v>-169.60238141132092</v>
      </c>
    </row>
    <row r="133" spans="4:14" ht="23.25">
      <c r="F133" s="39" t="s">
        <v>128</v>
      </c>
      <c r="G133" s="40">
        <f>2451550.09765+29.530588853*H131+0.0001337*G132^2-0.00000015*G132^3+0.00000000073*G132^4</f>
        <v>2457109.231004674</v>
      </c>
      <c r="I133" t="s">
        <v>148</v>
      </c>
      <c r="J133">
        <f>'Moon new'!J3</f>
        <v>3</v>
      </c>
      <c r="K133" s="33" t="s">
        <v>129</v>
      </c>
      <c r="L133">
        <f>0.00306-0.00038*L134*COS(PI()*L129/180)+0.00026*COS(PI()*L130/180)</f>
        <v>2.9090276415423902E-3</v>
      </c>
      <c r="M133">
        <f>0.00002*COS((PI()*L130/180)-PI()*L129/180)+0.00002*COS((PI()*L130/180)+PI()*L129/180)+0.00002*COS(PI()*2*L131/180)</f>
        <v>-2.1765513098645277E-5</v>
      </c>
      <c r="N133" s="27">
        <f>L133+M133</f>
        <v>2.887262128443745E-3</v>
      </c>
    </row>
    <row r="134" spans="4:14" ht="18.75">
      <c r="K134" s="33" t="s">
        <v>143</v>
      </c>
      <c r="L134" s="31">
        <f>1-0.002516*G132-0.0000074*G132^2</f>
        <v>0.99961689046867397</v>
      </c>
    </row>
    <row r="135" spans="4:14" ht="18.75">
      <c r="K135" s="34"/>
    </row>
    <row r="136" spans="4:14" ht="21">
      <c r="D136" t="s">
        <v>290</v>
      </c>
      <c r="F136" s="39" t="s">
        <v>144</v>
      </c>
      <c r="G136" s="41">
        <f>G133+I105+N133+M42</f>
        <v>2457108.8217340363</v>
      </c>
      <c r="I136" s="1">
        <v>2457810.7506944444</v>
      </c>
    </row>
    <row r="137" spans="4:14" ht="21">
      <c r="F137" s="112"/>
      <c r="G137" s="111"/>
    </row>
    <row r="138" spans="4:14" ht="21">
      <c r="F138" s="112"/>
    </row>
    <row r="139" spans="4:14" ht="21">
      <c r="F139" s="112"/>
    </row>
    <row r="140" spans="4:14">
      <c r="H140">
        <f>J133</f>
        <v>3</v>
      </c>
      <c r="I140">
        <v>31</v>
      </c>
      <c r="J140">
        <v>31</v>
      </c>
      <c r="K140">
        <f>(J140-15)+8</f>
        <v>24</v>
      </c>
      <c r="L140">
        <f>IF(H140=1,K140,IF(H140=2,K141,IF(H140=3,K142,IF(H140=4,K143,IF(H140=5,K144,IF(H140=6,K145,IF(H140=7,K146,IF(H140=8,K147,IF(H140=9,K148,IF(H140=10,K149,IF(H140=11,K150,IF(H140=12,K151,0))))))))))))</f>
        <v>83</v>
      </c>
    </row>
    <row r="141" spans="4:14">
      <c r="H141"/>
      <c r="I141">
        <v>28</v>
      </c>
      <c r="J141">
        <f>J140+(I141)</f>
        <v>59</v>
      </c>
      <c r="K141">
        <f t="shared" ref="K141:K151" si="5">(J141-15)+8</f>
        <v>52</v>
      </c>
    </row>
    <row r="142" spans="4:14">
      <c r="H142"/>
      <c r="I142">
        <v>31</v>
      </c>
      <c r="J142">
        <f t="shared" ref="J142:J151" si="6">J141+(I142)</f>
        <v>90</v>
      </c>
      <c r="K142">
        <f t="shared" si="5"/>
        <v>83</v>
      </c>
    </row>
    <row r="143" spans="4:14">
      <c r="H143"/>
      <c r="I143">
        <v>30</v>
      </c>
      <c r="J143">
        <f t="shared" si="6"/>
        <v>120</v>
      </c>
      <c r="K143">
        <f t="shared" si="5"/>
        <v>113</v>
      </c>
    </row>
    <row r="144" spans="4:14">
      <c r="H144"/>
      <c r="I144">
        <v>31</v>
      </c>
      <c r="J144">
        <f t="shared" si="6"/>
        <v>151</v>
      </c>
      <c r="K144">
        <f t="shared" si="5"/>
        <v>144</v>
      </c>
    </row>
    <row r="145" spans="8:11">
      <c r="H145"/>
      <c r="I145">
        <v>30</v>
      </c>
      <c r="J145">
        <f t="shared" si="6"/>
        <v>181</v>
      </c>
      <c r="K145">
        <f t="shared" si="5"/>
        <v>174</v>
      </c>
    </row>
    <row r="146" spans="8:11">
      <c r="H146"/>
      <c r="I146">
        <v>31</v>
      </c>
      <c r="J146">
        <f t="shared" si="6"/>
        <v>212</v>
      </c>
      <c r="K146">
        <f t="shared" si="5"/>
        <v>205</v>
      </c>
    </row>
    <row r="147" spans="8:11">
      <c r="H147"/>
      <c r="I147">
        <v>31</v>
      </c>
      <c r="J147">
        <f t="shared" si="6"/>
        <v>243</v>
      </c>
      <c r="K147">
        <f t="shared" si="5"/>
        <v>236</v>
      </c>
    </row>
    <row r="148" spans="8:11">
      <c r="H148"/>
      <c r="I148">
        <v>30</v>
      </c>
      <c r="J148">
        <f t="shared" si="6"/>
        <v>273</v>
      </c>
      <c r="K148">
        <f t="shared" si="5"/>
        <v>266</v>
      </c>
    </row>
    <row r="149" spans="8:11">
      <c r="H149"/>
      <c r="I149">
        <v>31</v>
      </c>
      <c r="J149">
        <f t="shared" si="6"/>
        <v>304</v>
      </c>
      <c r="K149">
        <f t="shared" si="5"/>
        <v>297</v>
      </c>
    </row>
    <row r="150" spans="8:11">
      <c r="H150"/>
      <c r="I150">
        <v>30</v>
      </c>
      <c r="J150">
        <f t="shared" si="6"/>
        <v>334</v>
      </c>
      <c r="K150">
        <f t="shared" si="5"/>
        <v>327</v>
      </c>
    </row>
    <row r="151" spans="8:11">
      <c r="H151"/>
      <c r="I151">
        <v>31</v>
      </c>
      <c r="J151">
        <f t="shared" si="6"/>
        <v>365</v>
      </c>
      <c r="K151">
        <f t="shared" si="5"/>
        <v>358</v>
      </c>
    </row>
    <row r="152" spans="8:11">
      <c r="H152"/>
      <c r="I152">
        <f>SUM(I140:I151)</f>
        <v>365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C5:I91"/>
  <sheetViews>
    <sheetView workbookViewId="0">
      <selection activeCell="H19" sqref="H19"/>
    </sheetView>
  </sheetViews>
  <sheetFormatPr defaultRowHeight="15"/>
  <cols>
    <col min="3" max="3" width="61.140625" customWidth="1"/>
    <col min="4" max="4" width="10.7109375" bestFit="1" customWidth="1"/>
    <col min="6" max="6" width="21.7109375" customWidth="1"/>
    <col min="8" max="8" width="11.7109375" bestFit="1" customWidth="1"/>
    <col min="9" max="9" width="12.7109375" bestFit="1" customWidth="1"/>
  </cols>
  <sheetData>
    <row r="5" spans="3:8">
      <c r="C5" s="85" t="s">
        <v>177</v>
      </c>
    </row>
    <row r="6" spans="3:8" ht="30">
      <c r="C6" s="86" t="s">
        <v>178</v>
      </c>
    </row>
    <row r="7" spans="3:8">
      <c r="C7" s="87" t="s">
        <v>179</v>
      </c>
    </row>
    <row r="8" spans="3:8">
      <c r="C8" s="87"/>
      <c r="D8" s="88">
        <v>40986</v>
      </c>
      <c r="E8" t="s">
        <v>180</v>
      </c>
      <c r="F8">
        <v>5</v>
      </c>
    </row>
    <row r="9" spans="3:8">
      <c r="C9" s="87" t="s">
        <v>181</v>
      </c>
      <c r="E9" t="s">
        <v>182</v>
      </c>
      <c r="F9">
        <v>2012</v>
      </c>
    </row>
    <row r="10" spans="3:8">
      <c r="C10" s="87"/>
    </row>
    <row r="11" spans="3:8">
      <c r="H11" s="89"/>
    </row>
    <row r="12" spans="3:8">
      <c r="E12" s="90" t="s">
        <v>183</v>
      </c>
      <c r="F12" s="90">
        <f>(14-F8)/12</f>
        <v>0.75</v>
      </c>
    </row>
    <row r="13" spans="3:8">
      <c r="E13" s="90" t="s">
        <v>184</v>
      </c>
      <c r="F13" s="90">
        <f>F9+4800-F12</f>
        <v>6811.25</v>
      </c>
    </row>
    <row r="14" spans="3:8">
      <c r="E14" s="90" t="s">
        <v>185</v>
      </c>
      <c r="F14" s="90">
        <f>F8+(12*F12)-3</f>
        <v>11</v>
      </c>
    </row>
    <row r="15" spans="3:8">
      <c r="E15" t="s">
        <v>186</v>
      </c>
      <c r="F15">
        <v>4</v>
      </c>
    </row>
    <row r="16" spans="3:8">
      <c r="E16" t="s">
        <v>187</v>
      </c>
      <c r="F16">
        <v>19</v>
      </c>
      <c r="H16">
        <f>50/60</f>
        <v>0.83333333333333337</v>
      </c>
    </row>
    <row r="17" spans="3:9">
      <c r="E17" t="s">
        <v>188</v>
      </c>
      <c r="F17">
        <v>41</v>
      </c>
    </row>
    <row r="18" spans="3:9" ht="15.75">
      <c r="E18" t="s">
        <v>189</v>
      </c>
      <c r="F18">
        <v>0</v>
      </c>
      <c r="I18" s="91"/>
    </row>
    <row r="21" spans="3:9">
      <c r="F21" s="89"/>
    </row>
    <row r="22" spans="3:9" ht="15.75">
      <c r="I22" s="91">
        <v>2640044.892616</v>
      </c>
    </row>
    <row r="24" spans="3:9">
      <c r="E24" t="s">
        <v>190</v>
      </c>
      <c r="F24">
        <f>TRUNC(153*F14+2)/5</f>
        <v>337</v>
      </c>
      <c r="G24">
        <v>337</v>
      </c>
    </row>
    <row r="25" spans="3:9">
      <c r="E25" t="s">
        <v>191</v>
      </c>
      <c r="F25">
        <f>TRUNC(365*F13)</f>
        <v>2486106</v>
      </c>
      <c r="G25">
        <v>2487657</v>
      </c>
    </row>
    <row r="26" spans="3:9">
      <c r="E26" t="s">
        <v>192</v>
      </c>
      <c r="F26">
        <f>TRUNC(F13/4)</f>
        <v>1702</v>
      </c>
      <c r="G26">
        <v>1703</v>
      </c>
    </row>
    <row r="27" spans="3:9">
      <c r="E27" t="s">
        <v>193</v>
      </c>
      <c r="F27">
        <f>TRUNC(F13/100)</f>
        <v>68</v>
      </c>
      <c r="G27">
        <v>68</v>
      </c>
    </row>
    <row r="28" spans="3:9">
      <c r="E28" t="s">
        <v>194</v>
      </c>
      <c r="F28">
        <f>TRUNC(F13/400)</f>
        <v>17</v>
      </c>
      <c r="G28">
        <v>17</v>
      </c>
    </row>
    <row r="29" spans="3:9">
      <c r="E29" t="s">
        <v>195</v>
      </c>
      <c r="F29">
        <v>32045</v>
      </c>
    </row>
    <row r="30" spans="3:9">
      <c r="C30">
        <v>2559560</v>
      </c>
      <c r="E30" t="s">
        <v>196</v>
      </c>
      <c r="F30">
        <f>(F16-12)/24</f>
        <v>0.29166666666666669</v>
      </c>
    </row>
    <row r="31" spans="3:9">
      <c r="E31" t="s">
        <v>197</v>
      </c>
      <c r="F31">
        <f>F17/1440</f>
        <v>2.8472222222222222E-2</v>
      </c>
    </row>
    <row r="32" spans="3:9">
      <c r="E32" t="s">
        <v>198</v>
      </c>
      <c r="F32">
        <f>F18/86400</f>
        <v>0</v>
      </c>
    </row>
    <row r="34" spans="3:8" ht="18.75">
      <c r="E34" s="31" t="s">
        <v>199</v>
      </c>
      <c r="F34" s="92">
        <f>F15-1+F24+F25+F26-F27+F28-F29+F30+F31+F32</f>
        <v>2456052.3201388889</v>
      </c>
    </row>
    <row r="36" spans="3:8">
      <c r="F36">
        <v>2456051.3326699999</v>
      </c>
    </row>
    <row r="37" spans="3:8">
      <c r="C37" t="s">
        <v>200</v>
      </c>
      <c r="D37" s="93" t="s">
        <v>201</v>
      </c>
    </row>
    <row r="42" spans="3:8">
      <c r="D42" s="102" t="s">
        <v>252</v>
      </c>
      <c r="E42" s="102" t="s">
        <v>253</v>
      </c>
      <c r="F42" s="102" t="s">
        <v>254</v>
      </c>
      <c r="G42" s="102" t="s">
        <v>255</v>
      </c>
      <c r="H42" s="102" t="s">
        <v>256</v>
      </c>
    </row>
    <row r="43" spans="3:8">
      <c r="D43" s="102">
        <v>2012</v>
      </c>
      <c r="E43" s="102">
        <v>5</v>
      </c>
      <c r="F43" s="102">
        <v>3</v>
      </c>
      <c r="G43" s="102">
        <v>35.04</v>
      </c>
      <c r="H43" s="102">
        <v>32.200000000000003</v>
      </c>
    </row>
    <row r="44" spans="3:8">
      <c r="D44" s="102"/>
      <c r="E44" s="102"/>
      <c r="F44" s="102"/>
      <c r="G44" s="102"/>
      <c r="H44" s="102"/>
    </row>
    <row r="46" spans="3:8">
      <c r="C46" s="94" t="s">
        <v>202</v>
      </c>
    </row>
    <row r="48" spans="3:8" ht="60">
      <c r="C48" s="95" t="s">
        <v>203</v>
      </c>
    </row>
    <row r="50" spans="3:4">
      <c r="C50" s="94" t="s">
        <v>204</v>
      </c>
    </row>
    <row r="52" spans="3:4" ht="30">
      <c r="C52" s="95" t="s">
        <v>205</v>
      </c>
    </row>
    <row r="53" spans="3:4">
      <c r="C53" s="93"/>
    </row>
    <row r="54" spans="3:4" ht="67.5">
      <c r="C54" s="258" t="s">
        <v>206</v>
      </c>
      <c r="D54" s="96" t="s">
        <v>207</v>
      </c>
    </row>
    <row r="55" spans="3:4" ht="45">
      <c r="C55" s="258"/>
      <c r="D55" s="96" t="s">
        <v>208</v>
      </c>
    </row>
    <row r="57" spans="3:4" ht="57">
      <c r="C57" s="97" t="s">
        <v>209</v>
      </c>
    </row>
    <row r="59" spans="3:4">
      <c r="C59" s="97" t="s">
        <v>210</v>
      </c>
    </row>
    <row r="60" spans="3:4">
      <c r="C60" s="97" t="s">
        <v>211</v>
      </c>
    </row>
    <row r="62" spans="3:4">
      <c r="C62" s="97" t="s">
        <v>212</v>
      </c>
    </row>
    <row r="63" spans="3:4">
      <c r="C63" s="97" t="s">
        <v>213</v>
      </c>
    </row>
    <row r="65" spans="3:3" ht="30">
      <c r="C65" s="95" t="s">
        <v>214</v>
      </c>
    </row>
    <row r="67" spans="3:3">
      <c r="C67" s="98" t="s">
        <v>215</v>
      </c>
    </row>
    <row r="68" spans="3:3">
      <c r="C68" s="97" t="s">
        <v>216</v>
      </c>
    </row>
    <row r="69" spans="3:3">
      <c r="C69" s="97" t="s">
        <v>217</v>
      </c>
    </row>
    <row r="70" spans="3:3">
      <c r="C70" s="97">
        <f xml:space="preserve"> 2406842.8125</f>
        <v>2406842.8125</v>
      </c>
    </row>
    <row r="72" spans="3:3">
      <c r="C72" s="95" t="s">
        <v>218</v>
      </c>
    </row>
    <row r="79" spans="3:3" ht="15.75">
      <c r="C79" s="91" t="s">
        <v>219</v>
      </c>
    </row>
    <row r="80" spans="3:3" ht="15.75">
      <c r="C80" s="91" t="s">
        <v>220</v>
      </c>
    </row>
    <row r="81" spans="3:3" ht="15.75">
      <c r="C81" s="91" t="s">
        <v>221</v>
      </c>
    </row>
    <row r="82" spans="3:3" ht="15.75">
      <c r="C82" s="91" t="s">
        <v>222</v>
      </c>
    </row>
    <row r="83" spans="3:3" ht="15.75">
      <c r="C83" s="91" t="s">
        <v>223</v>
      </c>
    </row>
    <row r="84" spans="3:3" ht="15.75">
      <c r="C84" s="91" t="s">
        <v>224</v>
      </c>
    </row>
    <row r="85" spans="3:3" ht="15.75">
      <c r="C85" s="91" t="s">
        <v>225</v>
      </c>
    </row>
    <row r="86" spans="3:3" ht="15.75">
      <c r="C86" s="91" t="s">
        <v>226</v>
      </c>
    </row>
    <row r="87" spans="3:3" ht="15.75">
      <c r="C87" s="91" t="s">
        <v>227</v>
      </c>
    </row>
    <row r="88" spans="3:3" ht="15.75">
      <c r="C88" s="91" t="s">
        <v>228</v>
      </c>
    </row>
    <row r="89" spans="3:3" ht="15.75">
      <c r="C89" s="91" t="s">
        <v>229</v>
      </c>
    </row>
    <row r="90" spans="3:3" ht="15.75">
      <c r="C90" s="91" t="s">
        <v>230</v>
      </c>
    </row>
    <row r="91" spans="3:3" ht="15.75">
      <c r="C91" s="91" t="s">
        <v>231</v>
      </c>
    </row>
  </sheetData>
  <mergeCells count="1">
    <mergeCell ref="C54:C55"/>
  </mergeCells>
  <hyperlinks>
    <hyperlink ref="C6" r:id="rId1" location="cite_note-13" display="http://en.wikipedia.org/wiki/Julian_day - cite_note-13"/>
    <hyperlink ref="C48" r:id="rId2" display="http://aa.usno.navy.mil/faq/docs/UT.php"/>
    <hyperlink ref="C52" r:id="rId3" display="http://aa.usno.navy.mil/faq/docs/calendars.php"/>
    <hyperlink ref="C65" r:id="rId4" display="http://aa.usno.navy.mil/software/docs/floppy.php"/>
    <hyperlink ref="C72" r:id="rId5" display="http://aa.usno.navy.mil/data/docs/JulianDate.php"/>
  </hyperlinks>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dimension ref="C12:P152"/>
  <sheetViews>
    <sheetView topLeftCell="K133" workbookViewId="0">
      <selection activeCell="L151" sqref="L151"/>
    </sheetView>
  </sheetViews>
  <sheetFormatPr defaultRowHeight="15"/>
  <cols>
    <col min="3" max="3" width="17.28515625" customWidth="1"/>
    <col min="4" max="4" width="19.28515625" customWidth="1"/>
    <col min="5" max="5" width="5.7109375" customWidth="1"/>
    <col min="6" max="6" width="38.7109375" customWidth="1"/>
    <col min="7" max="7" width="23" bestFit="1" customWidth="1"/>
    <col min="8" max="8" width="17.7109375" style="68" customWidth="1"/>
    <col min="9" max="9" width="21.140625" customWidth="1"/>
    <col min="10" max="10" width="17.140625" customWidth="1"/>
    <col min="11" max="12" width="17.28515625" customWidth="1"/>
    <col min="13" max="13" width="16" bestFit="1" customWidth="1"/>
    <col min="14" max="14" width="19.7109375" customWidth="1"/>
    <col min="15" max="15" width="12.7109375" bestFit="1" customWidth="1"/>
  </cols>
  <sheetData>
    <row r="12" spans="3:15" ht="15.75" thickBot="1"/>
    <row r="13" spans="3:15" ht="18.75">
      <c r="D13" s="50" t="s">
        <v>133</v>
      </c>
      <c r="E13" s="51"/>
      <c r="F13" s="51"/>
      <c r="G13" s="51"/>
      <c r="H13" s="69"/>
      <c r="O13">
        <f>0.00002*COS(PI()*O20/180)+0.00002*COS(PI()*P20/180)+0.00002*COS(2*PI()*N131/180)</f>
        <v>6.0000000000000008E-5</v>
      </c>
    </row>
    <row r="14" spans="3:15" ht="15.75">
      <c r="C14" s="2"/>
      <c r="D14" s="15"/>
      <c r="E14" s="11"/>
      <c r="F14" s="11"/>
      <c r="G14" s="11"/>
      <c r="H14" s="70"/>
    </row>
    <row r="15" spans="3:15" ht="15.75">
      <c r="C15" s="2"/>
      <c r="D15" s="15"/>
      <c r="E15" s="43"/>
      <c r="F15" s="44" t="s">
        <v>141</v>
      </c>
      <c r="G15" s="11"/>
      <c r="H15" s="70"/>
    </row>
    <row r="16" spans="3:15" ht="15.75">
      <c r="C16" s="2"/>
      <c r="D16" s="15"/>
      <c r="E16" s="43"/>
      <c r="F16" s="43"/>
      <c r="G16" s="11"/>
      <c r="H16" s="70"/>
    </row>
    <row r="17" spans="3:16" ht="18">
      <c r="C17" s="2"/>
      <c r="D17" s="15"/>
      <c r="E17" s="11"/>
      <c r="F17" s="45" t="s">
        <v>2</v>
      </c>
      <c r="G17" s="11"/>
      <c r="H17" s="70"/>
    </row>
    <row r="18" spans="3:16">
      <c r="D18" s="15"/>
      <c r="E18" s="11"/>
      <c r="F18" s="11"/>
      <c r="G18" s="11"/>
      <c r="H18" s="70"/>
    </row>
    <row r="19" spans="3:16" ht="18">
      <c r="D19" s="15"/>
      <c r="E19" s="11"/>
      <c r="F19" s="46" t="s">
        <v>3</v>
      </c>
      <c r="G19" s="47"/>
      <c r="H19" s="70"/>
      <c r="N19">
        <f>COS(N129*PI()/180)</f>
        <v>1</v>
      </c>
      <c r="O19" t="s">
        <v>130</v>
      </c>
      <c r="P19" t="s">
        <v>131</v>
      </c>
    </row>
    <row r="20" spans="3:16" ht="15.75">
      <c r="D20" s="15"/>
      <c r="E20" s="11"/>
      <c r="F20" s="48"/>
      <c r="G20" s="11"/>
      <c r="H20" s="70"/>
      <c r="O20">
        <f>N130-N129</f>
        <v>0</v>
      </c>
      <c r="P20">
        <f>N130+N129</f>
        <v>0</v>
      </c>
    </row>
    <row r="21" spans="3:16" ht="18">
      <c r="D21" s="52" t="s">
        <v>4</v>
      </c>
      <c r="E21" s="11"/>
      <c r="F21" s="46" t="s">
        <v>5</v>
      </c>
      <c r="G21" s="47"/>
      <c r="H21" s="71"/>
      <c r="N21">
        <f>COS(N130*PI()/180)</f>
        <v>1</v>
      </c>
    </row>
    <row r="22" spans="3:16" ht="15.75">
      <c r="D22" s="15"/>
      <c r="E22" s="11"/>
      <c r="F22" s="48"/>
      <c r="G22" s="11"/>
      <c r="H22" s="70"/>
    </row>
    <row r="23" spans="3:16" ht="18">
      <c r="D23" s="52" t="s">
        <v>6</v>
      </c>
      <c r="E23" s="49"/>
      <c r="F23" s="46" t="s">
        <v>7</v>
      </c>
      <c r="G23" s="47"/>
      <c r="H23" s="71"/>
    </row>
    <row r="24" spans="3:16" ht="15.75">
      <c r="D24" s="15"/>
      <c r="E24" s="11"/>
      <c r="F24" s="48"/>
      <c r="G24" s="11"/>
      <c r="H24" s="70"/>
    </row>
    <row r="25" spans="3:16" ht="39.75" thickBot="1">
      <c r="D25" s="53" t="s">
        <v>8</v>
      </c>
      <c r="E25" s="17"/>
      <c r="F25" s="54" t="s">
        <v>9</v>
      </c>
      <c r="G25" s="55"/>
      <c r="H25" s="72"/>
    </row>
    <row r="26" spans="3:16" ht="19.5" thickBot="1">
      <c r="F26" s="1"/>
      <c r="H26" s="73"/>
      <c r="I26" s="62"/>
      <c r="J26" s="63" t="s">
        <v>145</v>
      </c>
      <c r="K26" s="62"/>
      <c r="L26" s="62"/>
      <c r="M26" s="64"/>
    </row>
    <row r="27" spans="3:16" ht="25.15" customHeight="1" thickBot="1">
      <c r="F27" s="56" t="s">
        <v>10</v>
      </c>
      <c r="H27" s="74"/>
      <c r="I27" s="65"/>
      <c r="J27" s="65" t="s">
        <v>134</v>
      </c>
      <c r="K27" s="66" t="s">
        <v>146</v>
      </c>
      <c r="L27" s="65" t="s">
        <v>135</v>
      </c>
      <c r="M27" s="67" t="s">
        <v>291</v>
      </c>
    </row>
    <row r="28" spans="3:16" ht="19.5">
      <c r="F28" s="57" t="s">
        <v>11</v>
      </c>
      <c r="H28" s="75">
        <f>MOD((299.77 + 0.107408*H131-0.009173*G132^2),360)</f>
        <v>320.04304637540747</v>
      </c>
      <c r="I28" s="59"/>
      <c r="J28" s="59">
        <f>H28</f>
        <v>320.04304637540747</v>
      </c>
      <c r="K28" s="60">
        <v>3.2499999999999999E-4</v>
      </c>
      <c r="L28" s="59">
        <f>SIN(PI()*J28/180)</f>
        <v>-0.64221189838663906</v>
      </c>
      <c r="M28" s="61">
        <f>K28*L28</f>
        <v>-2.0871886697565768E-4</v>
      </c>
    </row>
    <row r="29" spans="3:16" ht="18.75">
      <c r="F29" s="57" t="s">
        <v>12</v>
      </c>
      <c r="H29" s="76">
        <f>MOD(( 251.88 + 0.016321*H131),360)</f>
        <v>254.96058875</v>
      </c>
      <c r="I29" s="11"/>
      <c r="J29" s="59">
        <f t="shared" ref="J29:J41" si="0">H29</f>
        <v>254.96058875</v>
      </c>
      <c r="K29" s="12">
        <v>1.65E-4</v>
      </c>
      <c r="L29" s="11">
        <f t="shared" ref="L29:L41" si="1">SIN(PI()*J29/180)</f>
        <v>-0.96574756753870095</v>
      </c>
      <c r="M29" s="16">
        <f t="shared" ref="M29:M41" si="2">K29*L29</f>
        <v>-1.5934834864388565E-4</v>
      </c>
    </row>
    <row r="30" spans="3:16" ht="18.75">
      <c r="F30" s="57" t="s">
        <v>13</v>
      </c>
      <c r="H30" s="76">
        <f>MOD((251.83 + 26.651886*H131),360)</f>
        <v>242.37348250000014</v>
      </c>
      <c r="I30" s="11"/>
      <c r="J30" s="59">
        <f t="shared" si="0"/>
        <v>242.37348250000014</v>
      </c>
      <c r="K30" s="12">
        <v>1.64E-4</v>
      </c>
      <c r="L30" s="11">
        <f t="shared" si="1"/>
        <v>-0.88598906272821176</v>
      </c>
      <c r="M30" s="16">
        <f t="shared" si="2"/>
        <v>-1.4530220628742674E-4</v>
      </c>
    </row>
    <row r="31" spans="3:16" ht="18.75">
      <c r="F31" s="57" t="s">
        <v>14</v>
      </c>
      <c r="H31" s="76">
        <f>MOD((349.42+36.412478*H131),360)</f>
        <v>22.275222500000382</v>
      </c>
      <c r="I31" s="11"/>
      <c r="J31" s="59">
        <f t="shared" si="0"/>
        <v>22.275222500000382</v>
      </c>
      <c r="K31" s="12">
        <v>1.26E-4</v>
      </c>
      <c r="L31" s="11">
        <f t="shared" si="1"/>
        <v>0.37905601808378231</v>
      </c>
      <c r="M31" s="16">
        <f t="shared" si="2"/>
        <v>4.7761058278556574E-5</v>
      </c>
    </row>
    <row r="32" spans="3:16" ht="18.75">
      <c r="F32" s="57" t="s">
        <v>15</v>
      </c>
      <c r="H32" s="76">
        <f>MOD((84.66+18.206239*H131),360)</f>
        <v>281.08761125000001</v>
      </c>
      <c r="I32" s="11"/>
      <c r="J32" s="59">
        <f t="shared" si="0"/>
        <v>281.08761125000001</v>
      </c>
      <c r="K32" s="12">
        <v>1.1E-4</v>
      </c>
      <c r="L32" s="11">
        <f t="shared" si="1"/>
        <v>-0.98133426901437981</v>
      </c>
      <c r="M32" s="16">
        <f t="shared" si="2"/>
        <v>-1.0794676959158179E-4</v>
      </c>
    </row>
    <row r="33" spans="6:13" ht="18.75">
      <c r="F33" s="57" t="s">
        <v>16</v>
      </c>
      <c r="H33" s="76">
        <f>MOD((141.74+53.303771*H131),260)</f>
        <v>62.826776249999966</v>
      </c>
      <c r="I33" s="11"/>
      <c r="J33" s="59">
        <f t="shared" si="0"/>
        <v>62.826776249999966</v>
      </c>
      <c r="K33" s="12">
        <v>6.2000000000000003E-5</v>
      </c>
      <c r="L33" s="11">
        <f t="shared" si="1"/>
        <v>0.88962989343530596</v>
      </c>
      <c r="M33" s="16">
        <f t="shared" si="2"/>
        <v>5.5157053392988971E-5</v>
      </c>
    </row>
    <row r="34" spans="6:13" ht="18.75">
      <c r="F34" s="57" t="s">
        <v>17</v>
      </c>
      <c r="H34" s="76">
        <f>MOD((207.14+2.453732*H131),360)</f>
        <v>310.28191500000003</v>
      </c>
      <c r="I34" s="11"/>
      <c r="J34" s="59">
        <f t="shared" si="0"/>
        <v>310.28191500000003</v>
      </c>
      <c r="K34" s="12">
        <v>6.0000000000000002E-5</v>
      </c>
      <c r="L34" s="11">
        <f t="shared" si="1"/>
        <v>-0.76287244623375972</v>
      </c>
      <c r="M34" s="16">
        <f t="shared" si="2"/>
        <v>-4.5772346774025586E-5</v>
      </c>
    </row>
    <row r="35" spans="6:13" ht="18.75">
      <c r="F35" s="57" t="s">
        <v>18</v>
      </c>
      <c r="H35" s="76">
        <f>MOD((154.84+7.30686*H131),360)</f>
        <v>94.009825000000092</v>
      </c>
      <c r="I35" s="11"/>
      <c r="J35" s="59">
        <f t="shared" si="0"/>
        <v>94.009825000000092</v>
      </c>
      <c r="K35" s="13">
        <v>5.5999999999999999E-5</v>
      </c>
      <c r="L35" s="11">
        <f t="shared" si="1"/>
        <v>0.99755207385085287</v>
      </c>
      <c r="M35" s="16">
        <f t="shared" si="2"/>
        <v>5.586291613564776E-5</v>
      </c>
    </row>
    <row r="36" spans="6:13" ht="18.75">
      <c r="F36" s="57" t="s">
        <v>19</v>
      </c>
      <c r="H36" s="76">
        <f>MOD((34.52+27.261239*H131),360)</f>
        <v>140.07886125000005</v>
      </c>
      <c r="I36" s="11"/>
      <c r="J36" s="59">
        <f t="shared" si="0"/>
        <v>140.07886125000005</v>
      </c>
      <c r="K36" s="13">
        <v>4.6999999999999997E-5</v>
      </c>
      <c r="L36" s="11">
        <f t="shared" si="1"/>
        <v>0.64173262642160522</v>
      </c>
      <c r="M36" s="16">
        <f t="shared" si="2"/>
        <v>3.0161433441815444E-5</v>
      </c>
    </row>
    <row r="37" spans="6:13" ht="18.75">
      <c r="F37" s="57" t="s">
        <v>20</v>
      </c>
      <c r="H37" s="76">
        <f>MOD((207.19+0.121824*H131),360)</f>
        <v>230.18428</v>
      </c>
      <c r="I37" s="11"/>
      <c r="J37" s="59">
        <f t="shared" si="0"/>
        <v>230.18428</v>
      </c>
      <c r="K37" s="13">
        <v>4.1999999999999998E-5</v>
      </c>
      <c r="L37" s="11">
        <f t="shared" si="1"/>
        <v>-0.76810787049568596</v>
      </c>
      <c r="M37" s="16">
        <f t="shared" si="2"/>
        <v>-3.2260530560818809E-5</v>
      </c>
    </row>
    <row r="38" spans="6:13" ht="18.75">
      <c r="F38" s="57" t="s">
        <v>21</v>
      </c>
      <c r="H38" s="76">
        <f>MOD((291.34+1.844379*H131),360)</f>
        <v>279.46653624999999</v>
      </c>
      <c r="I38" s="11"/>
      <c r="J38" s="59">
        <f t="shared" si="0"/>
        <v>279.46653624999999</v>
      </c>
      <c r="K38" s="13">
        <v>4.0000000000000003E-5</v>
      </c>
      <c r="L38" s="11">
        <f t="shared" si="1"/>
        <v>-0.98638182979836175</v>
      </c>
      <c r="M38" s="16">
        <f t="shared" si="2"/>
        <v>-3.9455273191934475E-5</v>
      </c>
    </row>
    <row r="39" spans="6:13" ht="18.75">
      <c r="F39" s="57" t="s">
        <v>22</v>
      </c>
      <c r="H39" s="76">
        <f>MOD((161.72+24.198154*H131),360)</f>
        <v>49.12156750000031</v>
      </c>
      <c r="I39" s="11"/>
      <c r="J39" s="59">
        <f t="shared" si="0"/>
        <v>49.12156750000031</v>
      </c>
      <c r="K39" s="13">
        <v>3.6999999999999998E-5</v>
      </c>
      <c r="L39" s="11">
        <f t="shared" si="1"/>
        <v>0.75609987569321624</v>
      </c>
      <c r="M39" s="16">
        <f t="shared" si="2"/>
        <v>2.7975695400649E-5</v>
      </c>
    </row>
    <row r="40" spans="6:13" ht="18.75">
      <c r="F40" s="57" t="s">
        <v>23</v>
      </c>
      <c r="H40" s="76">
        <f>MOD((239.56+25.513099*H131),360)</f>
        <v>15.157436250000501</v>
      </c>
      <c r="I40" s="11"/>
      <c r="J40" s="59">
        <f t="shared" si="0"/>
        <v>15.157436250000501</v>
      </c>
      <c r="K40" s="13">
        <v>3.4999999999999997E-5</v>
      </c>
      <c r="L40" s="11">
        <f t="shared" si="1"/>
        <v>0.26147221724243674</v>
      </c>
      <c r="M40" s="16">
        <f t="shared" si="2"/>
        <v>9.1515276034852853E-6</v>
      </c>
    </row>
    <row r="41" spans="6:13" ht="19.5" thickBot="1">
      <c r="F41" s="58" t="s">
        <v>24</v>
      </c>
      <c r="H41" s="76">
        <f>MOD((331.55+3.592518*H131),360)</f>
        <v>289.63777249999998</v>
      </c>
      <c r="I41" s="11"/>
      <c r="J41" s="59">
        <f t="shared" si="0"/>
        <v>289.63777249999998</v>
      </c>
      <c r="K41" s="13">
        <v>2.3E-5</v>
      </c>
      <c r="L41" s="11">
        <f t="shared" si="1"/>
        <v>-0.94183610013236518</v>
      </c>
      <c r="M41" s="16">
        <f t="shared" si="2"/>
        <v>-2.16622303030444E-5</v>
      </c>
    </row>
    <row r="42" spans="6:13" ht="21.75" thickBot="1">
      <c r="F42" s="1"/>
      <c r="H42" s="77"/>
      <c r="I42" s="17"/>
      <c r="J42" s="17"/>
      <c r="K42" s="17"/>
      <c r="L42" s="17"/>
      <c r="M42" s="18">
        <f>SUM(M28:M41)</f>
        <v>-5.3439688807523208E-4</v>
      </c>
    </row>
    <row r="43" spans="6:13" ht="15.75">
      <c r="F43" s="1"/>
    </row>
    <row r="44" spans="6:13" ht="15.75">
      <c r="F44" s="1"/>
    </row>
    <row r="45" spans="6:13" ht="15.75">
      <c r="F45" s="1"/>
    </row>
    <row r="46" spans="6:13" ht="15.75">
      <c r="F46" s="1"/>
    </row>
    <row r="47" spans="6:13" ht="15.75">
      <c r="F47" s="1"/>
    </row>
    <row r="48" spans="6:13" ht="15.75">
      <c r="F48" s="1"/>
    </row>
    <row r="49" spans="6:11" ht="15.75">
      <c r="F49" s="1" t="s">
        <v>25</v>
      </c>
    </row>
    <row r="50" spans="6:11" ht="16.5" thickBot="1">
      <c r="F50" s="1"/>
    </row>
    <row r="51" spans="6:11" ht="15.75">
      <c r="F51" s="36" t="s">
        <v>26</v>
      </c>
      <c r="G51" s="37" t="s">
        <v>27</v>
      </c>
      <c r="H51" s="78"/>
      <c r="I51" s="37"/>
      <c r="J51" s="36" t="s">
        <v>26</v>
      </c>
      <c r="K51" s="37" t="s">
        <v>27</v>
      </c>
    </row>
    <row r="52" spans="6:11" ht="15.75">
      <c r="F52" s="22">
        <v>-0.40720000000000001</v>
      </c>
      <c r="G52" s="35">
        <v>-0.40614</v>
      </c>
      <c r="H52" s="35" t="s">
        <v>28</v>
      </c>
      <c r="I52" s="35" t="s">
        <v>29</v>
      </c>
      <c r="J52" s="11">
        <f>F52*SIN(L130*PI()/180)</f>
        <v>0.3355395583613236</v>
      </c>
      <c r="K52" s="11">
        <f>G52*SIN(L130*PI()/180)</f>
        <v>0.3346661007683398</v>
      </c>
    </row>
    <row r="53" spans="6:11" ht="15.75">
      <c r="F53" s="22" t="s">
        <v>30</v>
      </c>
      <c r="G53" s="35" t="s">
        <v>31</v>
      </c>
      <c r="H53" s="35" t="s">
        <v>28</v>
      </c>
      <c r="I53" s="35" t="s">
        <v>32</v>
      </c>
      <c r="J53" s="11">
        <f>0.17241*L134*SIN(L129*PI()/180)</f>
        <v>0.17133914396720279</v>
      </c>
      <c r="K53" s="11">
        <f>0.17302*L134*SIN(L129*PI()/180)</f>
        <v>0.17194535519520576</v>
      </c>
    </row>
    <row r="54" spans="6:11" ht="15.75">
      <c r="F54" s="22">
        <v>1.6080000000000001E-2</v>
      </c>
      <c r="G54" s="35">
        <v>1.6140000000000002E-2</v>
      </c>
      <c r="H54" s="35" t="s">
        <v>28</v>
      </c>
      <c r="I54" s="35" t="s">
        <v>33</v>
      </c>
      <c r="J54" s="11">
        <f>F54*SIN(2*L130*PI()/180)</f>
        <v>-1.5014201764347585E-2</v>
      </c>
      <c r="K54" s="11">
        <f>G54*SIN(2*L130*PI()/180)</f>
        <v>-1.5070224905259331E-2</v>
      </c>
    </row>
    <row r="55" spans="6:11" ht="15.75">
      <c r="F55" s="22">
        <v>1.039E-2</v>
      </c>
      <c r="G55" s="35">
        <v>1.043E-2</v>
      </c>
      <c r="H55" s="35" t="s">
        <v>28</v>
      </c>
      <c r="I55" s="35" t="s">
        <v>34</v>
      </c>
      <c r="J55" s="11">
        <f>F55*SIN(2*L131*PI()/180)</f>
        <v>-3.4744590377426164E-3</v>
      </c>
      <c r="K55" s="11">
        <f>G55*SIN(2*L131*PI()/180)</f>
        <v>-3.4878352034317119E-3</v>
      </c>
    </row>
    <row r="56" spans="6:11" ht="15.75">
      <c r="F56" s="22" t="s">
        <v>35</v>
      </c>
      <c r="G56" s="35" t="s">
        <v>36</v>
      </c>
      <c r="H56" s="35" t="s">
        <v>28</v>
      </c>
      <c r="I56" s="35" t="s">
        <v>37</v>
      </c>
      <c r="J56" s="11">
        <f>0.00739*L134*SIN((L130*PI()/180)-(L129*PI()/180))</f>
        <v>-3.5046189487127027E-3</v>
      </c>
      <c r="K56" s="11">
        <f>0.00734*L134*SIN((L130*PI()/180)-(L129*PI()/180))</f>
        <v>-3.4809070478418456E-3</v>
      </c>
    </row>
    <row r="57" spans="6:11" ht="15.75">
      <c r="F57" s="22" t="s">
        <v>38</v>
      </c>
      <c r="G57" s="35" t="s">
        <v>39</v>
      </c>
      <c r="H57" s="35" t="s">
        <v>28</v>
      </c>
      <c r="I57" s="35" t="s">
        <v>40</v>
      </c>
      <c r="J57" s="11">
        <f>-0.00514*L134*SIN((L130*PI()/180)+(L129*PI()/180))</f>
        <v>-3.3505362918882227E-3</v>
      </c>
      <c r="K57" s="11">
        <f>-0.00515*L134*SIN((L130*PI()/180)+(L129*PI()/180))</f>
        <v>-3.3570548449852822E-3</v>
      </c>
    </row>
    <row r="58" spans="6:11" ht="18">
      <c r="F58" s="22" t="s">
        <v>41</v>
      </c>
      <c r="G58" s="35" t="s">
        <v>42</v>
      </c>
      <c r="H58" s="35" t="s">
        <v>28</v>
      </c>
      <c r="I58" s="35" t="s">
        <v>43</v>
      </c>
      <c r="J58" s="11">
        <f>0.00208*L134*L134*SIN(2*PI()*L129/180)</f>
        <v>-4.4556058117653155E-4</v>
      </c>
      <c r="K58" s="11">
        <f>0.00209*L134*L134*SIN(2*PI()*L129/180)</f>
        <v>-4.4770269935526485E-4</v>
      </c>
    </row>
    <row r="59" spans="6:11" ht="15.75">
      <c r="F59" s="22">
        <v>-1.1100000000000001E-3</v>
      </c>
      <c r="G59" s="35">
        <v>-1.1100000000000001E-3</v>
      </c>
      <c r="H59" s="35" t="s">
        <v>28</v>
      </c>
      <c r="I59" s="35" t="s">
        <v>44</v>
      </c>
      <c r="J59" s="11">
        <f>F59*SIN((L130*PI()/180)-(2*L131*PI()/180))</f>
        <v>-1.0723040393411734E-3</v>
      </c>
      <c r="K59" s="11">
        <f>G59*SIN((L130*PI()/180)-(2*L131*PI()/180))</f>
        <v>-1.0723040393411734E-3</v>
      </c>
    </row>
    <row r="60" spans="6:11" ht="15.75">
      <c r="F60" s="22">
        <v>-5.6999999999999998E-4</v>
      </c>
      <c r="G60" s="35">
        <v>-5.6999999999999998E-4</v>
      </c>
      <c r="H60" s="35" t="s">
        <v>28</v>
      </c>
      <c r="I60" s="35" t="s">
        <v>45</v>
      </c>
      <c r="J60" s="11">
        <f>F60*SIN((L130*PI()/180)+(2*L131*PI()/180))</f>
        <v>-3.3465604457660349E-4</v>
      </c>
      <c r="K60" s="11">
        <f>G60*SIN((L130*PI()/180)+(2*L131*PI()/180))</f>
        <v>-3.3465604457660349E-4</v>
      </c>
    </row>
    <row r="61" spans="6:11" ht="15.75">
      <c r="F61" s="22" t="s">
        <v>46</v>
      </c>
      <c r="G61" s="35" t="s">
        <v>46</v>
      </c>
      <c r="H61" s="35" t="s">
        <v>28</v>
      </c>
      <c r="I61" s="35" t="s">
        <v>47</v>
      </c>
      <c r="J61" s="11">
        <f>0.00056*L134*SIN((2*L130*PI()/180)+(L129*PI()/180))</f>
        <v>-1.4288468892778726E-4</v>
      </c>
      <c r="K61" s="11">
        <f>0.00056*L134*SIN((2*L130*PI()/180)+(L129*PI()/180))</f>
        <v>-1.4288468892778726E-4</v>
      </c>
    </row>
    <row r="62" spans="6:11" ht="15.75">
      <c r="F62" s="22">
        <v>-4.2000000000000002E-4</v>
      </c>
      <c r="G62" s="35">
        <v>-4.2000000000000002E-4</v>
      </c>
      <c r="H62" s="35" t="s">
        <v>28</v>
      </c>
      <c r="I62" s="35" t="s">
        <v>48</v>
      </c>
      <c r="J62" s="11">
        <f>F62*SIN(3*L130*PI()/180)</f>
        <v>9.8284058840046533E-5</v>
      </c>
      <c r="K62" s="11">
        <f>G62*SIN(3*L130*PI()/180)</f>
        <v>9.8284058840046533E-5</v>
      </c>
    </row>
    <row r="63" spans="6:11" ht="15.75">
      <c r="F63" s="22" t="s">
        <v>49</v>
      </c>
      <c r="G63" s="35" t="s">
        <v>49</v>
      </c>
      <c r="H63" s="35" t="s">
        <v>28</v>
      </c>
      <c r="I63" s="35" t="s">
        <v>50</v>
      </c>
      <c r="J63" s="11">
        <f>0.00042*L134*SIN((L129*PI()/180)+(2*L131*PI()/180))</f>
        <v>-3.7822500707302364E-4</v>
      </c>
      <c r="K63" s="11">
        <f>0.00042*L134*SIN((L129*PI()/180)+(2*L131*PI()/180))</f>
        <v>-3.7822500707302364E-4</v>
      </c>
    </row>
    <row r="64" spans="6:11" ht="15.75">
      <c r="F64" s="22" t="s">
        <v>51</v>
      </c>
      <c r="G64" s="35" t="s">
        <v>51</v>
      </c>
      <c r="H64" s="35" t="s">
        <v>28</v>
      </c>
      <c r="I64" s="35" t="s">
        <v>52</v>
      </c>
      <c r="J64" s="11">
        <f>0.00038*L134*SIN((L129*PI()/180)-(2*L131*PI()/180))</f>
        <v>-3.6959436609791278E-4</v>
      </c>
      <c r="K64" s="11">
        <f>0.00038*L134*SIN((L129*PI()/180)-(2*L131*PI()/180))</f>
        <v>-3.6959436609791278E-4</v>
      </c>
    </row>
    <row r="65" spans="6:11" ht="15.75">
      <c r="F65" s="22" t="s">
        <v>53</v>
      </c>
      <c r="G65" s="35" t="s">
        <v>53</v>
      </c>
      <c r="H65" s="35" t="s">
        <v>28</v>
      </c>
      <c r="I65" s="35" t="s">
        <v>54</v>
      </c>
      <c r="J65" s="11">
        <f>-0.00024*L134*SIN((2*PI()*L130/180)-(L129*PI()/180))</f>
        <v>-1.0953958734191937E-4</v>
      </c>
      <c r="K65" s="11">
        <f>-0.00024*L134*SIN((2*PI()*L130/180)-(L129*PI()/180))</f>
        <v>-1.0953958734191937E-4</v>
      </c>
    </row>
    <row r="66" spans="6:11" ht="15.75">
      <c r="F66" s="22">
        <v>-1.7000000000000001E-4</v>
      </c>
      <c r="G66" s="35">
        <v>-1.7000000000000001E-4</v>
      </c>
      <c r="H66" s="35" t="s">
        <v>28</v>
      </c>
      <c r="I66" s="35" t="s">
        <v>55</v>
      </c>
      <c r="J66" s="11">
        <f>F66*SIN(L132*PI()/180)</f>
        <v>2.839673614578898E-5</v>
      </c>
      <c r="K66" s="11">
        <f>G66*SIN(L132*PI()/180)</f>
        <v>2.839673614578898E-5</v>
      </c>
    </row>
    <row r="67" spans="6:11" ht="15.75">
      <c r="F67" s="22">
        <v>-6.9999999999999994E-5</v>
      </c>
      <c r="G67" s="35">
        <v>-6.9999999999999994E-5</v>
      </c>
      <c r="H67" s="35" t="s">
        <v>28</v>
      </c>
      <c r="I67" s="35" t="s">
        <v>56</v>
      </c>
      <c r="J67" s="11">
        <f>F67*SIN((L130*PI()/180)+(2*PI()*L129/180))</f>
        <v>-4.7838053889519642E-5</v>
      </c>
      <c r="K67" s="11">
        <f>G67*SIN((L130*PI()/180)+(2*PI()*L129/180))</f>
        <v>-4.7838053889519642E-5</v>
      </c>
    </row>
    <row r="68" spans="6:11" ht="15.75">
      <c r="F68" s="22">
        <v>4.0000000000000003E-5</v>
      </c>
      <c r="G68" s="35">
        <v>4.0000000000000003E-5</v>
      </c>
      <c r="H68" s="35" t="s">
        <v>28</v>
      </c>
      <c r="I68" s="35" t="s">
        <v>57</v>
      </c>
      <c r="J68" s="11">
        <f>F68*SIN((2*L130*PI()/180)-(2*PI()*L131/180))</f>
        <v>3.0409826834477597E-5</v>
      </c>
      <c r="K68" s="11">
        <f>G68*SIN((2*L130*PI()/180)-(2*PI()*L131/180))</f>
        <v>3.0409826834477597E-5</v>
      </c>
    </row>
    <row r="69" spans="6:11" ht="15.75">
      <c r="F69" s="22">
        <v>4.0000000000000003E-5</v>
      </c>
      <c r="G69" s="35">
        <v>4.0000000000000003E-5</v>
      </c>
      <c r="H69" s="35" t="s">
        <v>28</v>
      </c>
      <c r="I69" s="35" t="s">
        <v>58</v>
      </c>
      <c r="J69" s="11">
        <f>F69*SIN(3*L129*PI()/180)</f>
        <v>-3.7917761806014738E-5</v>
      </c>
      <c r="K69" s="11">
        <f>G69*SIN(3*L129*PI()/180)</f>
        <v>-3.7917761806014738E-5</v>
      </c>
    </row>
    <row r="70" spans="6:11" ht="15.75">
      <c r="F70" s="22">
        <v>3.0000000000000001E-5</v>
      </c>
      <c r="G70" s="35">
        <v>3.0000000000000001E-5</v>
      </c>
      <c r="H70" s="35" t="s">
        <v>28</v>
      </c>
      <c r="I70" s="35" t="s">
        <v>59</v>
      </c>
      <c r="J70" s="11">
        <f>F70*SIN((L130*PI()/180)+(L129*PI()/180)-(2*L131*PI()/180))</f>
        <v>-1.0831283561382478E-5</v>
      </c>
      <c r="K70" s="11">
        <f>G70*SIN((L130*PI()/180)+(L129*PI()/180)-(2*L131*PI()/180))</f>
        <v>-1.0831283561382478E-5</v>
      </c>
    </row>
    <row r="71" spans="6:11" ht="15.75">
      <c r="F71" s="22">
        <v>3.0000000000000001E-5</v>
      </c>
      <c r="G71" s="35">
        <v>3.0000000000000001E-5</v>
      </c>
      <c r="H71" s="35" t="s">
        <v>28</v>
      </c>
      <c r="I71" s="35" t="s">
        <v>60</v>
      </c>
      <c r="J71" s="11">
        <f>F71*SIN((2*L130*PI()/180)+(2*PI()*L131/180))</f>
        <v>2.9990505627119803E-5</v>
      </c>
      <c r="K71" s="11">
        <f>G71*SIN((2*L130*PI()/180)+(2*PI()*L131/180))</f>
        <v>2.9990505627119803E-5</v>
      </c>
    </row>
    <row r="72" spans="6:11" ht="15.75">
      <c r="F72" s="22">
        <v>-3.0000000000000001E-5</v>
      </c>
      <c r="G72" s="35">
        <v>-3.0000000000000001E-5</v>
      </c>
      <c r="H72" s="35" t="s">
        <v>28</v>
      </c>
      <c r="I72" s="35" t="s">
        <v>61</v>
      </c>
      <c r="J72" s="11">
        <f>F72*SIN((L130*PI()/180)+(L129*PI()/180)+(2*L131*PI()/180))</f>
        <v>2.6042551634580689E-5</v>
      </c>
      <c r="K72" s="11">
        <f>G72*SIN((L130*PI()/180)+(L129*PI()/180)+(2*L131*PI()/180))</f>
        <v>2.6042551634580689E-5</v>
      </c>
    </row>
    <row r="73" spans="6:11" ht="15.75">
      <c r="F73" s="22">
        <v>3.0000000000000001E-5</v>
      </c>
      <c r="G73" s="35">
        <v>3.0000000000000001E-5</v>
      </c>
      <c r="H73" s="35" t="s">
        <v>28</v>
      </c>
      <c r="I73" s="35" t="s">
        <v>62</v>
      </c>
      <c r="J73" s="11">
        <f>F73*SIN((L130*PI()/180)-(L129*PI()/180)+(2*L131*PI()/180))</f>
        <v>2.2244496935490501E-5</v>
      </c>
      <c r="K73" s="11">
        <f>G73*SIN((L130*PI()/180)-(L129*PI()/180)+(2*L131*PI()/180))</f>
        <v>2.2244496935490501E-5</v>
      </c>
    </row>
    <row r="74" spans="6:11" ht="15.75">
      <c r="F74" s="22">
        <v>-2.0000000000000002E-5</v>
      </c>
      <c r="G74" s="35">
        <v>-2.0000000000000002E-5</v>
      </c>
      <c r="H74" s="35" t="s">
        <v>28</v>
      </c>
      <c r="I74" s="35" t="s">
        <v>63</v>
      </c>
      <c r="J74" s="11">
        <f>F74*SIN((L130*PI()/180)-(L129*PI()/180)-(2*L131*PI()/180))</f>
        <v>-3.0546462425950853E-6</v>
      </c>
      <c r="K74" s="11">
        <f>G74*SIN((L130*PI()/180)-(L129*PI()/180)-(2*L131*PI()/180))</f>
        <v>-3.0546462425950853E-6</v>
      </c>
    </row>
    <row r="75" spans="6:11" ht="15.75">
      <c r="F75" s="22">
        <v>-2.0000000000000002E-5</v>
      </c>
      <c r="G75" s="35">
        <v>-2.0000000000000002E-5</v>
      </c>
      <c r="H75" s="35" t="s">
        <v>28</v>
      </c>
      <c r="I75" s="35" t="s">
        <v>64</v>
      </c>
      <c r="J75" s="11">
        <f>F75*SIN((3*L130*PI()/180)+(L129*PI()/180))</f>
        <v>1.8826735072472118E-5</v>
      </c>
      <c r="K75" s="11">
        <f>G75*SIN((3*L130*PI()/180)+(L129*PI()/180))</f>
        <v>1.8826735072472118E-5</v>
      </c>
    </row>
    <row r="76" spans="6:11" ht="15.75">
      <c r="F76" s="22">
        <v>2.0000000000000002E-5</v>
      </c>
      <c r="G76" s="35">
        <v>2.0000000000000002E-5</v>
      </c>
      <c r="H76" s="35" t="s">
        <v>28</v>
      </c>
      <c r="I76" s="35" t="s">
        <v>65</v>
      </c>
      <c r="J76" s="11">
        <f>F76*SIN(4*L129*PI()/180)</f>
        <v>8.3756986420525627E-6</v>
      </c>
      <c r="K76" s="11">
        <f>G76*SIN(4*L129*PI()/180)</f>
        <v>8.3756986420525627E-6</v>
      </c>
    </row>
    <row r="77" spans="6:11" ht="19.5" thickBot="1">
      <c r="F77" s="38"/>
      <c r="G77" s="17"/>
      <c r="H77" s="79"/>
      <c r="I77" s="17"/>
      <c r="J77" s="42">
        <f>SUM(J52:J76)</f>
        <v>0.47884505083553286</v>
      </c>
      <c r="K77" s="42">
        <f>SUM(K52:K76)</f>
        <v>0.47852345639354615</v>
      </c>
    </row>
    <row r="79" spans="6:11" ht="21.75" thickBot="1">
      <c r="F79" s="26" t="s">
        <v>140</v>
      </c>
      <c r="G79" s="28"/>
    </row>
    <row r="80" spans="6:11" ht="15.75">
      <c r="F80" s="20">
        <v>-0.62800999999999996</v>
      </c>
      <c r="G80" s="21" t="s">
        <v>28</v>
      </c>
      <c r="H80" s="78" t="s">
        <v>66</v>
      </c>
      <c r="I80" s="14">
        <f>F80*SIN(PI()*L130/180)</f>
        <v>0.51749066317901471</v>
      </c>
    </row>
    <row r="81" spans="6:9" ht="15.75">
      <c r="F81" s="22" t="s">
        <v>67</v>
      </c>
      <c r="G81" s="13" t="s">
        <v>28</v>
      </c>
      <c r="H81" s="35" t="s">
        <v>32</v>
      </c>
      <c r="I81" s="16">
        <f>0.171172*L134*SIN(PI()*L129/180)</f>
        <v>0.17010883331102625</v>
      </c>
    </row>
    <row r="82" spans="6:9" ht="15.75">
      <c r="F82" s="22" t="s">
        <v>68</v>
      </c>
      <c r="G82" s="13" t="s">
        <v>28</v>
      </c>
      <c r="H82" s="35" t="s">
        <v>69</v>
      </c>
      <c r="I82" s="16">
        <f>-0.01183*L134*SIN((PI()*L130/180)+PI()*L129/180)</f>
        <v>-7.7114483138205599E-3</v>
      </c>
    </row>
    <row r="83" spans="6:9" ht="15.75">
      <c r="F83" s="22">
        <v>8.6199999999999992E-3</v>
      </c>
      <c r="G83" s="13" t="s">
        <v>28</v>
      </c>
      <c r="H83" s="35" t="s">
        <v>70</v>
      </c>
      <c r="I83" s="16">
        <f>0.00862*SIN(2*PI()*L130/180)</f>
        <v>-8.0486579109873245E-3</v>
      </c>
    </row>
    <row r="84" spans="6:9" ht="15.75">
      <c r="F84" s="22">
        <v>8.0400000000000003E-3</v>
      </c>
      <c r="G84" s="13" t="s">
        <v>28</v>
      </c>
      <c r="H84" s="35" t="s">
        <v>34</v>
      </c>
      <c r="I84" s="16">
        <f>0.00804*SIN(2*PI()*L131/180)</f>
        <v>-2.6886093035082422E-3</v>
      </c>
    </row>
    <row r="85" spans="6:9" ht="15.75">
      <c r="F85" s="22" t="s">
        <v>71</v>
      </c>
      <c r="G85" s="13" t="s">
        <v>28</v>
      </c>
      <c r="H85" s="35" t="s">
        <v>72</v>
      </c>
      <c r="I85" s="16">
        <f>0.00454*L134*SIN((PI()*L130/180)-PI()*L129/180)</f>
        <v>-2.1530405990738393E-3</v>
      </c>
    </row>
    <row r="86" spans="6:9" ht="18">
      <c r="F86" s="22" t="s">
        <v>73</v>
      </c>
      <c r="G86" s="13" t="s">
        <v>28</v>
      </c>
      <c r="H86" s="35" t="s">
        <v>43</v>
      </c>
      <c r="I86" s="16">
        <f>0.00204*L134*L134*SIN(2*PI()*L129/180)</f>
        <v>-4.3699210846159835E-4</v>
      </c>
    </row>
    <row r="87" spans="6:9" ht="15.75">
      <c r="F87" s="22">
        <v>-1.8E-3</v>
      </c>
      <c r="G87" s="13" t="s">
        <v>28</v>
      </c>
      <c r="H87" s="35" t="s">
        <v>74</v>
      </c>
      <c r="I87" s="16">
        <f>-0.0018*SIN((PI()*L130/180)-2*PI()*L131/180)</f>
        <v>-1.7388714151478485E-3</v>
      </c>
    </row>
    <row r="88" spans="6:9" ht="15.75">
      <c r="F88" s="22">
        <v>-6.9999999999999999E-4</v>
      </c>
      <c r="G88" s="13" t="s">
        <v>28</v>
      </c>
      <c r="H88" s="35" t="s">
        <v>75</v>
      </c>
      <c r="I88" s="16">
        <f>-0.0007*SIN((PI()*L130/180)+2*PI()*L131/180)</f>
        <v>-4.1098110737477621E-4</v>
      </c>
    </row>
    <row r="89" spans="6:9" ht="15.75">
      <c r="F89" s="22">
        <v>-4.0000000000000002E-4</v>
      </c>
      <c r="G89" s="13" t="s">
        <v>28</v>
      </c>
      <c r="H89" s="35" t="s">
        <v>58</v>
      </c>
      <c r="I89" s="16">
        <f>-0.0004*SIN(3*PI()*L129/180)</f>
        <v>3.7917761806014741E-4</v>
      </c>
    </row>
    <row r="90" spans="6:9" ht="15.75">
      <c r="F90" s="22" t="s">
        <v>76</v>
      </c>
      <c r="G90" s="13" t="s">
        <v>28</v>
      </c>
      <c r="H90" s="35" t="s">
        <v>77</v>
      </c>
      <c r="I90" s="16">
        <f>-0.00034*L134*SIN((2*L130*PI()/180)-PI()*L129/180)</f>
        <v>-1.5518108206771913E-4</v>
      </c>
    </row>
    <row r="91" spans="6:9" ht="15.75">
      <c r="F91" s="22" t="s">
        <v>78</v>
      </c>
      <c r="G91" s="13" t="s">
        <v>28</v>
      </c>
      <c r="H91" s="35" t="s">
        <v>50</v>
      </c>
      <c r="I91" s="16">
        <f>0.00032*L134*SIN(PI()*L129/180+2*PI()*L131/180)</f>
        <v>-2.8817143396039896E-4</v>
      </c>
    </row>
    <row r="92" spans="6:9" ht="15.75">
      <c r="F92" s="22" t="s">
        <v>78</v>
      </c>
      <c r="G92" s="13" t="s">
        <v>28</v>
      </c>
      <c r="H92" s="35" t="s">
        <v>79</v>
      </c>
      <c r="I92" s="16">
        <f>0.00032*L134*SIN(PI()*L129/180-2*PI()*L131/180)</f>
        <v>-3.1123736092455816E-4</v>
      </c>
    </row>
    <row r="93" spans="6:9" ht="18">
      <c r="F93" s="22" t="s">
        <v>80</v>
      </c>
      <c r="G93" s="13" t="s">
        <v>28</v>
      </c>
      <c r="H93" s="35" t="s">
        <v>81</v>
      </c>
      <c r="I93" s="16">
        <f>-0.00028*L134*L134*SIN(PI()*L130/180+PI()*2*L129/180)</f>
        <v>-1.9120523648002362E-4</v>
      </c>
    </row>
    <row r="94" spans="6:9" ht="15.75">
      <c r="F94" s="22" t="s">
        <v>82</v>
      </c>
      <c r="G94" s="13" t="s">
        <v>28</v>
      </c>
      <c r="H94" s="35" t="s">
        <v>83</v>
      </c>
      <c r="I94" s="16">
        <f>0.00027*L134*SIN(PI()*2*L130/180+PI()*L129/180)</f>
        <v>-6.8890832161611727E-5</v>
      </c>
    </row>
    <row r="95" spans="6:9" ht="15.75">
      <c r="F95" s="22">
        <v>-1.7000000000000001E-4</v>
      </c>
      <c r="G95" s="13" t="s">
        <v>28</v>
      </c>
      <c r="H95" s="35" t="s">
        <v>55</v>
      </c>
      <c r="I95" s="16">
        <f>-0.00017*SIN(PI()*L132/180)</f>
        <v>2.839673614578898E-5</v>
      </c>
    </row>
    <row r="96" spans="6:9" ht="15.75">
      <c r="F96" s="22">
        <v>-5.0000000000000002E-5</v>
      </c>
      <c r="G96" s="13" t="s">
        <v>28</v>
      </c>
      <c r="H96" s="35" t="s">
        <v>84</v>
      </c>
      <c r="I96" s="16">
        <f>-0.00005*SIN((PI()*L130/180)-(PI()*L129/180)-(2*L131*PI()/180))</f>
        <v>-7.636615606487713E-6</v>
      </c>
    </row>
    <row r="97" spans="6:15" ht="15.75">
      <c r="F97" s="22">
        <v>4.0000000000000003E-5</v>
      </c>
      <c r="G97" s="13" t="s">
        <v>28</v>
      </c>
      <c r="H97" s="35" t="s">
        <v>85</v>
      </c>
      <c r="I97" s="16">
        <f>0.00004*SIN((2*L130*PI()/180)+(2*L131*PI()/180))</f>
        <v>3.998734083615974E-5</v>
      </c>
    </row>
    <row r="98" spans="6:15" ht="15.75">
      <c r="F98" s="22">
        <v>-4.0000000000000003E-5</v>
      </c>
      <c r="G98" s="13" t="s">
        <v>28</v>
      </c>
      <c r="H98" s="35" t="s">
        <v>86</v>
      </c>
      <c r="I98" s="16">
        <f>-0.00004*SIN((PI()*L130/180)+(PI()*L129/180)+(2*L131*PI()/180))</f>
        <v>3.472340217944092E-5</v>
      </c>
    </row>
    <row r="99" spans="6:15" ht="15.75">
      <c r="F99" s="22">
        <v>4.0000000000000003E-5</v>
      </c>
      <c r="G99" s="13" t="s">
        <v>28</v>
      </c>
      <c r="H99" s="35" t="s">
        <v>87</v>
      </c>
      <c r="I99" s="16">
        <f>0.00004*SIN((L130*PI()/180)-(2*L129*PI()/180))</f>
        <v>3.705269904584415E-5</v>
      </c>
    </row>
    <row r="100" spans="6:15" ht="15.75">
      <c r="F100" s="22">
        <v>3.0000000000000001E-5</v>
      </c>
      <c r="G100" s="13" t="s">
        <v>28</v>
      </c>
      <c r="H100" s="35" t="s">
        <v>88</v>
      </c>
      <c r="I100" s="16">
        <f>0.00003*SIN((L130*PI()/180)+(L129*PI()/180)-(2*PI()*L131/180))</f>
        <v>-1.0831283561382478E-5</v>
      </c>
    </row>
    <row r="101" spans="6:15" ht="15.75">
      <c r="F101" s="22">
        <v>3.0000000000000001E-5</v>
      </c>
      <c r="G101" s="13" t="s">
        <v>28</v>
      </c>
      <c r="H101" s="35" t="s">
        <v>58</v>
      </c>
      <c r="I101" s="16">
        <f>0.00003*SIN(3*L129*PI()/180)</f>
        <v>-2.8438321354511053E-5</v>
      </c>
    </row>
    <row r="102" spans="6:15" ht="15.75">
      <c r="F102" s="22">
        <v>2.0000000000000002E-5</v>
      </c>
      <c r="G102" s="13" t="s">
        <v>28</v>
      </c>
      <c r="H102" s="35" t="s">
        <v>89</v>
      </c>
      <c r="I102" s="16">
        <f>0.00002*SIN((2*L130*PI()/180)-(2*L131*PI()/180))</f>
        <v>1.5204913417238799E-5</v>
      </c>
      <c r="L102" s="7"/>
      <c r="M102" s="7" t="s">
        <v>126</v>
      </c>
    </row>
    <row r="103" spans="6:15" ht="16.5" thickBot="1">
      <c r="F103" s="23">
        <v>2.0000000000000002E-5</v>
      </c>
      <c r="G103" s="24" t="s">
        <v>28</v>
      </c>
      <c r="H103" s="80" t="s">
        <v>90</v>
      </c>
      <c r="I103" s="25">
        <f>0.00002*SIN((L130*PI()/180)-(L129*PI()/180)+(2*L131*PI()/180))</f>
        <v>1.4829664623660336E-5</v>
      </c>
      <c r="K103" s="1"/>
    </row>
    <row r="104" spans="6:15" ht="16.5" thickBot="1">
      <c r="F104" s="9">
        <v>-2.0000000000000002E-5</v>
      </c>
      <c r="G104" s="4" t="s">
        <v>28</v>
      </c>
      <c r="H104" s="81" t="s">
        <v>91</v>
      </c>
      <c r="I104">
        <f>-0.00002*SIN((3*L130*PI()/180)+(L129*PI()/180))</f>
        <v>1.8826735072472118E-5</v>
      </c>
      <c r="M104" s="1" t="s">
        <v>127</v>
      </c>
    </row>
    <row r="105" spans="6:15" ht="26.25">
      <c r="F105" s="1"/>
      <c r="I105" s="10">
        <f>SUM(I80:I104)</f>
        <v>0.66391750267493099</v>
      </c>
      <c r="K105" s="1"/>
    </row>
    <row r="106" spans="6:15" ht="15.75">
      <c r="F106" s="1"/>
      <c r="I106" t="s">
        <v>132</v>
      </c>
      <c r="L106" s="1"/>
    </row>
    <row r="107" spans="6:15" ht="15.75">
      <c r="F107" s="30" t="s">
        <v>92</v>
      </c>
    </row>
    <row r="108" spans="6:15" ht="15.75">
      <c r="F108" s="1"/>
    </row>
    <row r="109" spans="6:15" ht="15.75">
      <c r="F109" s="19" t="s">
        <v>142</v>
      </c>
      <c r="G109" s="29"/>
      <c r="H109" s="82"/>
      <c r="I109" s="29"/>
      <c r="J109" s="29"/>
    </row>
    <row r="110" spans="6:15" ht="15.75">
      <c r="F110" s="1"/>
      <c r="J110" t="s">
        <v>129</v>
      </c>
    </row>
    <row r="111" spans="6:15" ht="18">
      <c r="F111" s="1" t="s">
        <v>2</v>
      </c>
    </row>
    <row r="112" spans="6:15" ht="15.75">
      <c r="F112" s="1"/>
      <c r="L112">
        <v>1</v>
      </c>
      <c r="M112">
        <v>31</v>
      </c>
      <c r="N112">
        <v>31</v>
      </c>
      <c r="O112">
        <f>N112-15</f>
        <v>16</v>
      </c>
    </row>
    <row r="113" spans="6:15" ht="15.75">
      <c r="F113" s="1" t="s">
        <v>93</v>
      </c>
      <c r="L113">
        <v>2</v>
      </c>
      <c r="M113">
        <v>28</v>
      </c>
      <c r="N113">
        <f>N112+(M113)</f>
        <v>59</v>
      </c>
      <c r="O113">
        <f t="shared" ref="O113:O123" si="3">N113-15</f>
        <v>44</v>
      </c>
    </row>
    <row r="114" spans="6:15" ht="15.75">
      <c r="F114" s="1"/>
      <c r="L114">
        <v>3</v>
      </c>
      <c r="M114">
        <v>31</v>
      </c>
      <c r="N114">
        <f t="shared" ref="N114:N123" si="4">N113+(M114)</f>
        <v>90</v>
      </c>
      <c r="O114">
        <f t="shared" si="3"/>
        <v>75</v>
      </c>
    </row>
    <row r="115" spans="6:15" ht="15.75">
      <c r="F115" s="19" t="s">
        <v>94</v>
      </c>
      <c r="L115">
        <v>4</v>
      </c>
      <c r="M115">
        <v>30</v>
      </c>
      <c r="N115">
        <f t="shared" si="4"/>
        <v>120</v>
      </c>
      <c r="O115">
        <f t="shared" si="3"/>
        <v>105</v>
      </c>
    </row>
    <row r="116" spans="6:15" ht="15.75">
      <c r="F116" s="19" t="s">
        <v>95</v>
      </c>
      <c r="L116">
        <v>5</v>
      </c>
      <c r="M116">
        <v>31</v>
      </c>
      <c r="N116">
        <f t="shared" si="4"/>
        <v>151</v>
      </c>
      <c r="O116">
        <f t="shared" si="3"/>
        <v>136</v>
      </c>
    </row>
    <row r="117" spans="6:15" ht="15.75">
      <c r="F117" s="1"/>
      <c r="L117">
        <v>6</v>
      </c>
      <c r="M117">
        <v>30</v>
      </c>
      <c r="N117">
        <f t="shared" si="4"/>
        <v>181</v>
      </c>
      <c r="O117">
        <f t="shared" si="3"/>
        <v>166</v>
      </c>
    </row>
    <row r="118" spans="6:15" ht="15.75">
      <c r="F118" s="1" t="s">
        <v>96</v>
      </c>
      <c r="L118">
        <v>7</v>
      </c>
      <c r="M118">
        <v>31</v>
      </c>
      <c r="N118">
        <f t="shared" si="4"/>
        <v>212</v>
      </c>
      <c r="O118">
        <f t="shared" si="3"/>
        <v>197</v>
      </c>
    </row>
    <row r="119" spans="6:15" ht="16.5" thickBot="1">
      <c r="F119" s="1"/>
      <c r="L119">
        <v>8</v>
      </c>
      <c r="M119">
        <v>31</v>
      </c>
      <c r="N119">
        <f t="shared" si="4"/>
        <v>243</v>
      </c>
      <c r="O119">
        <f t="shared" si="3"/>
        <v>228</v>
      </c>
    </row>
    <row r="120" spans="6:15" ht="19.5" thickBot="1">
      <c r="F120" s="5" t="s">
        <v>97</v>
      </c>
      <c r="G120" s="6" t="s">
        <v>28</v>
      </c>
      <c r="H120" s="83" t="s">
        <v>98</v>
      </c>
      <c r="I120" s="6" t="s">
        <v>99</v>
      </c>
      <c r="J120" s="6" t="s">
        <v>28</v>
      </c>
      <c r="K120" s="6" t="s">
        <v>100</v>
      </c>
      <c r="L120">
        <v>9</v>
      </c>
      <c r="M120">
        <v>30</v>
      </c>
      <c r="N120">
        <f t="shared" si="4"/>
        <v>273</v>
      </c>
      <c r="O120">
        <f t="shared" si="3"/>
        <v>258</v>
      </c>
    </row>
    <row r="121" spans="6:15" ht="19.5" thickBot="1">
      <c r="F121" s="3" t="s">
        <v>101</v>
      </c>
      <c r="G121" s="4" t="s">
        <v>28</v>
      </c>
      <c r="H121" s="81" t="s">
        <v>102</v>
      </c>
      <c r="I121" s="4" t="s">
        <v>103</v>
      </c>
      <c r="J121" s="4" t="s">
        <v>28</v>
      </c>
      <c r="K121" s="4" t="s">
        <v>104</v>
      </c>
      <c r="L121">
        <v>10</v>
      </c>
      <c r="M121">
        <v>31</v>
      </c>
      <c r="N121">
        <f t="shared" si="4"/>
        <v>304</v>
      </c>
      <c r="O121">
        <f t="shared" si="3"/>
        <v>289</v>
      </c>
    </row>
    <row r="122" spans="6:15" ht="19.5" thickBot="1">
      <c r="F122" s="3" t="s">
        <v>105</v>
      </c>
      <c r="G122" s="4" t="s">
        <v>28</v>
      </c>
      <c r="H122" s="81" t="s">
        <v>106</v>
      </c>
      <c r="I122" s="4" t="s">
        <v>107</v>
      </c>
      <c r="J122" s="4" t="s">
        <v>28</v>
      </c>
      <c r="K122" s="4" t="s">
        <v>108</v>
      </c>
      <c r="L122">
        <v>11</v>
      </c>
      <c r="M122">
        <v>30</v>
      </c>
      <c r="N122">
        <f t="shared" si="4"/>
        <v>334</v>
      </c>
      <c r="O122">
        <f t="shared" si="3"/>
        <v>319</v>
      </c>
    </row>
    <row r="123" spans="6:15" ht="19.5" thickBot="1">
      <c r="F123" s="3" t="s">
        <v>109</v>
      </c>
      <c r="G123" s="4" t="s">
        <v>28</v>
      </c>
      <c r="H123" s="81" t="s">
        <v>110</v>
      </c>
      <c r="I123" s="4" t="s">
        <v>111</v>
      </c>
      <c r="J123" s="4" t="s">
        <v>28</v>
      </c>
      <c r="K123" s="4" t="s">
        <v>112</v>
      </c>
      <c r="L123">
        <v>12</v>
      </c>
      <c r="M123">
        <v>31</v>
      </c>
      <c r="N123">
        <f t="shared" si="4"/>
        <v>365</v>
      </c>
      <c r="O123">
        <f t="shared" si="3"/>
        <v>350</v>
      </c>
    </row>
    <row r="124" spans="6:15" ht="19.5" thickBot="1">
      <c r="F124" s="3" t="s">
        <v>113</v>
      </c>
      <c r="G124" s="4" t="s">
        <v>28</v>
      </c>
      <c r="H124" s="81" t="s">
        <v>114</v>
      </c>
      <c r="I124" s="4" t="s">
        <v>115</v>
      </c>
      <c r="J124" s="4" t="s">
        <v>28</v>
      </c>
      <c r="K124" s="4" t="s">
        <v>116</v>
      </c>
      <c r="M124">
        <f>SUM(M112:M123)</f>
        <v>365</v>
      </c>
    </row>
    <row r="125" spans="6:15" ht="19.5" thickBot="1">
      <c r="F125" s="3" t="s">
        <v>117</v>
      </c>
      <c r="G125" s="4" t="s">
        <v>28</v>
      </c>
      <c r="H125" s="81" t="s">
        <v>118</v>
      </c>
      <c r="I125" s="4" t="s">
        <v>119</v>
      </c>
      <c r="J125" s="4" t="s">
        <v>28</v>
      </c>
      <c r="K125" s="4" t="s">
        <v>120</v>
      </c>
    </row>
    <row r="126" spans="6:15" ht="19.5" thickBot="1">
      <c r="F126" s="3" t="s">
        <v>121</v>
      </c>
      <c r="G126" s="4" t="s">
        <v>28</v>
      </c>
      <c r="H126" s="81" t="s">
        <v>122</v>
      </c>
      <c r="I126" s="4" t="s">
        <v>123</v>
      </c>
      <c r="J126" s="4" t="s">
        <v>28</v>
      </c>
      <c r="K126" s="4" t="s">
        <v>124</v>
      </c>
    </row>
    <row r="127" spans="6:15" ht="15.75">
      <c r="F127" s="1"/>
    </row>
    <row r="128" spans="6:15" ht="15.75">
      <c r="F128" s="1"/>
      <c r="I128" t="s">
        <v>150</v>
      </c>
      <c r="K128" s="32"/>
    </row>
    <row r="129" spans="4:14" ht="18.75">
      <c r="F129" s="1" t="s">
        <v>147</v>
      </c>
      <c r="I129" s="84">
        <f>J132+J129</f>
        <v>2015.2273972602741</v>
      </c>
      <c r="J129">
        <f>L140/365</f>
        <v>0.22739726027397261</v>
      </c>
      <c r="K129" s="33" t="s">
        <v>136</v>
      </c>
      <c r="L129">
        <f>2.5534+29.10535669*H131-0.0000218*G132^2-0.00000011*G132^3</f>
        <v>5496.1894747294218</v>
      </c>
    </row>
    <row r="130" spans="4:14" ht="18.75">
      <c r="F130" s="1"/>
      <c r="K130" s="33" t="s">
        <v>137</v>
      </c>
      <c r="L130">
        <f>201.5643+385.81693528*H131+0.0107438*G132^2+0.00001239*G132^3-0.000000058*G132^4</f>
        <v>73024.51108435003</v>
      </c>
    </row>
    <row r="131" spans="4:14" ht="21">
      <c r="F131" s="39" t="s">
        <v>125</v>
      </c>
      <c r="G131" s="40">
        <f>(I129-2000)*12.3685</f>
        <v>188.34006301369988</v>
      </c>
      <c r="H131" s="68">
        <f>INT(G131)+0.75</f>
        <v>188.75</v>
      </c>
      <c r="K131" s="33" t="s">
        <v>138</v>
      </c>
      <c r="L131">
        <f>160.7108+390.67050274*H131-0.0016341*G132^2-0.00000227*G132^3+0.000000011*G132^4</f>
        <v>73899.768154111356</v>
      </c>
    </row>
    <row r="132" spans="4:14" ht="21">
      <c r="F132" s="39" t="s">
        <v>126</v>
      </c>
      <c r="G132" s="40">
        <f>H131/1236.85</f>
        <v>0.15260540890164531</v>
      </c>
      <c r="I132" t="s">
        <v>149</v>
      </c>
      <c r="J132" s="8">
        <f>'Moon new'!I3</f>
        <v>2015</v>
      </c>
      <c r="K132" s="33" t="s">
        <v>139</v>
      </c>
      <c r="L132">
        <f>124.7746-1.5637558*H131+0.0020691*G132^2+0.00000215*G132^3</f>
        <v>-170.3842590563082</v>
      </c>
    </row>
    <row r="133" spans="4:14" ht="23.25">
      <c r="F133" s="39" t="s">
        <v>128</v>
      </c>
      <c r="G133" s="40">
        <f>2451550.09765+29.530588853*H131+0.0001337*G132^2-0.00000015*G132^3+0.00000000073*G132^4</f>
        <v>2457123.9962991169</v>
      </c>
      <c r="I133" t="s">
        <v>148</v>
      </c>
      <c r="J133">
        <f>'Moon new'!J133</f>
        <v>3</v>
      </c>
      <c r="K133" s="33" t="s">
        <v>129</v>
      </c>
      <c r="L133">
        <f>0.00306-0.00038*L134*COS(PI()*L129/180)+0.00026*COS(PI()*L130/180)</f>
        <v>3.2482616904149688E-3</v>
      </c>
      <c r="M133">
        <f>0.00002*COS((PI()*L130/180)-PI()*L129/180)+0.00002*COS((PI()*L130/180)+PI()*L129/180)+0.00002*COS(PI()*2*L131/180)</f>
        <v>-2.1292005603945248E-5</v>
      </c>
      <c r="N133" s="27">
        <f>L133+M133</f>
        <v>3.2269696848110235E-3</v>
      </c>
    </row>
    <row r="134" spans="4:14" ht="18.75">
      <c r="K134" s="33" t="s">
        <v>143</v>
      </c>
      <c r="L134" s="31">
        <f>1-0.002516*G132-0.0000074*G132^2</f>
        <v>0.99961587245696337</v>
      </c>
    </row>
    <row r="135" spans="4:14" ht="18.75">
      <c r="K135" s="34"/>
    </row>
    <row r="136" spans="4:14" ht="21">
      <c r="D136" t="s">
        <v>290</v>
      </c>
      <c r="F136" s="39" t="s">
        <v>144</v>
      </c>
      <c r="G136" s="41">
        <f>G133+I105-N133+M42</f>
        <v>2457124.6564552528</v>
      </c>
      <c r="I136" s="1">
        <v>2457810.7506944444</v>
      </c>
    </row>
    <row r="137" spans="4:14" ht="21">
      <c r="F137" s="112"/>
      <c r="G137" s="111"/>
    </row>
    <row r="138" spans="4:14" ht="21">
      <c r="F138" s="112"/>
    </row>
    <row r="139" spans="4:14" ht="21">
      <c r="F139" s="112"/>
    </row>
    <row r="140" spans="4:14">
      <c r="H140">
        <f>J133</f>
        <v>3</v>
      </c>
      <c r="I140">
        <v>31</v>
      </c>
      <c r="J140">
        <v>31</v>
      </c>
      <c r="K140">
        <f>(J140-15)+8</f>
        <v>24</v>
      </c>
      <c r="L140">
        <f>IF(H140=1,K140,IF(H140=2,K141,IF(H140=3,K142,IF(H140=4,K143,IF(H140=5,K144,IF(H140=6,K145,IF(H140=7,K146,IF(H140=8,K147,IF(H140=9,K148,IF(H140=10,K149,IF(H140=11,K150,IF(H140=12,K151,0))))))))))))</f>
        <v>83</v>
      </c>
    </row>
    <row r="141" spans="4:14">
      <c r="H141"/>
      <c r="I141">
        <v>28</v>
      </c>
      <c r="J141">
        <f>J140+(I141)</f>
        <v>59</v>
      </c>
      <c r="K141">
        <f t="shared" ref="K141:K151" si="5">(J141-15)+8</f>
        <v>52</v>
      </c>
    </row>
    <row r="142" spans="4:14">
      <c r="H142"/>
      <c r="I142">
        <v>31</v>
      </c>
      <c r="J142">
        <f t="shared" ref="J142:J151" si="6">J141+(I142)</f>
        <v>90</v>
      </c>
      <c r="K142">
        <f t="shared" si="5"/>
        <v>83</v>
      </c>
    </row>
    <row r="143" spans="4:14">
      <c r="H143"/>
      <c r="I143">
        <v>30</v>
      </c>
      <c r="J143">
        <f t="shared" si="6"/>
        <v>120</v>
      </c>
      <c r="K143">
        <f t="shared" si="5"/>
        <v>113</v>
      </c>
    </row>
    <row r="144" spans="4:14">
      <c r="H144"/>
      <c r="I144">
        <v>31</v>
      </c>
      <c r="J144">
        <f t="shared" si="6"/>
        <v>151</v>
      </c>
      <c r="K144">
        <f t="shared" si="5"/>
        <v>144</v>
      </c>
    </row>
    <row r="145" spans="8:11">
      <c r="H145"/>
      <c r="I145">
        <v>30</v>
      </c>
      <c r="J145">
        <f t="shared" si="6"/>
        <v>181</v>
      </c>
      <c r="K145">
        <f t="shared" si="5"/>
        <v>174</v>
      </c>
    </row>
    <row r="146" spans="8:11">
      <c r="H146"/>
      <c r="I146">
        <v>31</v>
      </c>
      <c r="J146">
        <f t="shared" si="6"/>
        <v>212</v>
      </c>
      <c r="K146">
        <f t="shared" si="5"/>
        <v>205</v>
      </c>
    </row>
    <row r="147" spans="8:11">
      <c r="H147"/>
      <c r="I147">
        <v>31</v>
      </c>
      <c r="J147">
        <f t="shared" si="6"/>
        <v>243</v>
      </c>
      <c r="K147">
        <f t="shared" si="5"/>
        <v>236</v>
      </c>
    </row>
    <row r="148" spans="8:11">
      <c r="H148"/>
      <c r="I148">
        <v>30</v>
      </c>
      <c r="J148">
        <f t="shared" si="6"/>
        <v>273</v>
      </c>
      <c r="K148">
        <f t="shared" si="5"/>
        <v>266</v>
      </c>
    </row>
    <row r="149" spans="8:11">
      <c r="H149"/>
      <c r="I149">
        <v>31</v>
      </c>
      <c r="J149">
        <f t="shared" si="6"/>
        <v>304</v>
      </c>
      <c r="K149">
        <f t="shared" si="5"/>
        <v>297</v>
      </c>
    </row>
    <row r="150" spans="8:11">
      <c r="H150"/>
      <c r="I150">
        <v>30</v>
      </c>
      <c r="J150">
        <f t="shared" si="6"/>
        <v>334</v>
      </c>
      <c r="K150">
        <f t="shared" si="5"/>
        <v>327</v>
      </c>
    </row>
    <row r="151" spans="8:11">
      <c r="H151"/>
      <c r="I151">
        <v>31</v>
      </c>
      <c r="J151">
        <f t="shared" si="6"/>
        <v>365</v>
      </c>
      <c r="K151">
        <f t="shared" si="5"/>
        <v>358</v>
      </c>
    </row>
    <row r="152" spans="8:11">
      <c r="H152"/>
      <c r="I152">
        <f>SUM(I140:I151)</f>
        <v>365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D2:M29"/>
  <sheetViews>
    <sheetView topLeftCell="D1" workbookViewId="0">
      <selection activeCell="E12" sqref="E12"/>
    </sheetView>
  </sheetViews>
  <sheetFormatPr defaultRowHeight="15"/>
  <cols>
    <col min="5" max="5" width="33.7109375" customWidth="1"/>
    <col min="8" max="8" width="17.140625" customWidth="1"/>
    <col min="9" max="9" width="18.7109375" customWidth="1"/>
  </cols>
  <sheetData>
    <row r="2" spans="4:13">
      <c r="E2" s="102" t="s">
        <v>252</v>
      </c>
      <c r="F2" s="102" t="s">
        <v>253</v>
      </c>
      <c r="G2" s="102" t="s">
        <v>159</v>
      </c>
      <c r="I2" s="102" t="s">
        <v>257</v>
      </c>
      <c r="J2" s="102" t="s">
        <v>32</v>
      </c>
      <c r="K2" s="102" t="s">
        <v>258</v>
      </c>
      <c r="L2" s="102" t="s">
        <v>255</v>
      </c>
      <c r="M2" s="102" t="s">
        <v>256</v>
      </c>
    </row>
    <row r="3" spans="4:13">
      <c r="E3" s="102">
        <f>D!G4</f>
        <v>2015</v>
      </c>
      <c r="F3" s="102">
        <f>D!H4</f>
        <v>3</v>
      </c>
      <c r="G3" s="102">
        <f>D!I4</f>
        <v>19</v>
      </c>
      <c r="H3">
        <f>G3+I4+J4+K4</f>
        <v>19</v>
      </c>
      <c r="I3" s="102">
        <v>0</v>
      </c>
      <c r="J3" s="102">
        <v>0</v>
      </c>
      <c r="K3" s="102">
        <v>0</v>
      </c>
      <c r="L3" s="102">
        <v>35.04</v>
      </c>
      <c r="M3" s="102">
        <v>32.200000000000003</v>
      </c>
    </row>
    <row r="4" spans="4:13">
      <c r="E4" s="102">
        <f>IF(F3&lt;3,E3-1,E3)</f>
        <v>2015</v>
      </c>
      <c r="F4" s="102">
        <f>IF(F3&lt;3,F3+12,F3)</f>
        <v>3</v>
      </c>
      <c r="G4" s="102">
        <f>IF(H3&lt;3,G3,H3)</f>
        <v>19</v>
      </c>
      <c r="I4" s="102">
        <f>I3/24</f>
        <v>0</v>
      </c>
      <c r="J4" s="102">
        <f>J3/(24*60)</f>
        <v>0</v>
      </c>
      <c r="K4" s="102">
        <f>(K3)/(24*3600)</f>
        <v>0</v>
      </c>
      <c r="L4" s="102"/>
      <c r="M4" s="102"/>
    </row>
    <row r="10" spans="4:13">
      <c r="D10" t="s">
        <v>259</v>
      </c>
      <c r="E10">
        <f>INT(E4/100)</f>
        <v>20</v>
      </c>
    </row>
    <row r="11" spans="4:13">
      <c r="D11" t="s">
        <v>260</v>
      </c>
      <c r="E11">
        <f>IF(E3&lt;1582,0,2-E10+INT(E10/4))</f>
        <v>-13</v>
      </c>
    </row>
    <row r="12" spans="4:13" ht="28.5">
      <c r="D12" s="104" t="s">
        <v>128</v>
      </c>
      <c r="E12" s="105">
        <f>INT(365.25*(E4+4716))+INT(30.6001*(F4+1))+G4+E11-1524.5</f>
        <v>2457100.5</v>
      </c>
    </row>
    <row r="15" spans="4:13" ht="15.75">
      <c r="H15" s="103"/>
    </row>
    <row r="16" spans="4:13" ht="15.75">
      <c r="H16" s="103"/>
    </row>
    <row r="17" spans="4:13" ht="15.75">
      <c r="H17" s="103"/>
    </row>
    <row r="19" spans="4:13">
      <c r="E19" s="102" t="s">
        <v>252</v>
      </c>
      <c r="F19" s="102" t="s">
        <v>253</v>
      </c>
      <c r="G19" s="102" t="s">
        <v>159</v>
      </c>
      <c r="I19" s="102" t="s">
        <v>257</v>
      </c>
      <c r="J19" s="102" t="s">
        <v>32</v>
      </c>
      <c r="K19" s="102" t="s">
        <v>258</v>
      </c>
      <c r="L19" s="102" t="s">
        <v>255</v>
      </c>
      <c r="M19" s="102" t="s">
        <v>256</v>
      </c>
    </row>
    <row r="20" spans="4:13">
      <c r="E20" s="102">
        <f>D!G4</f>
        <v>2015</v>
      </c>
      <c r="F20" s="102">
        <f>D!H4</f>
        <v>3</v>
      </c>
      <c r="G20" s="102">
        <f>D!I4</f>
        <v>19</v>
      </c>
      <c r="H20">
        <f>G20+I21+J21+K21</f>
        <v>19.82210648148148</v>
      </c>
      <c r="I20" s="102">
        <f>D!K4</f>
        <v>19</v>
      </c>
      <c r="J20" s="102">
        <f>D!L4</f>
        <v>43</v>
      </c>
      <c r="K20" s="102">
        <f>D!M4</f>
        <v>50</v>
      </c>
      <c r="L20" s="102">
        <v>35.04</v>
      </c>
      <c r="M20" s="102">
        <v>32.200000000000003</v>
      </c>
    </row>
    <row r="21" spans="4:13">
      <c r="E21" s="102">
        <f>IF(F20&lt;3,E20-1,E20)</f>
        <v>2015</v>
      </c>
      <c r="F21" s="102">
        <f>IF(F20&lt;3,F20+12,F20)</f>
        <v>3</v>
      </c>
      <c r="G21" s="102">
        <f>IF(H20&lt;3,G20,H20)</f>
        <v>19.82210648148148</v>
      </c>
      <c r="I21" s="102">
        <f>I20/24</f>
        <v>0.79166666666666663</v>
      </c>
      <c r="J21" s="102">
        <f>J20/(24*60)</f>
        <v>2.9861111111111113E-2</v>
      </c>
      <c r="K21" s="102">
        <f>(K20)/(24*3600)</f>
        <v>5.7870370370370367E-4</v>
      </c>
      <c r="L21" s="102"/>
      <c r="M21" s="102"/>
    </row>
    <row r="27" spans="4:13">
      <c r="D27" t="s">
        <v>259</v>
      </c>
      <c r="E27">
        <f>INT(E21/100)</f>
        <v>20</v>
      </c>
    </row>
    <row r="28" spans="4:13">
      <c r="D28" t="s">
        <v>260</v>
      </c>
      <c r="E28">
        <f>2-E27+INT(E27/4)</f>
        <v>-13</v>
      </c>
    </row>
    <row r="29" spans="4:13" ht="28.5">
      <c r="D29" s="104" t="s">
        <v>128</v>
      </c>
      <c r="E29" s="105">
        <f>INT(365.25*(E21+4716))+INT(30.6001*(F21+1))+G21+E28-1524.5</f>
        <v>2457101.3221064815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C7:I88"/>
  <sheetViews>
    <sheetView topLeftCell="A62" workbookViewId="0">
      <selection activeCell="G18" sqref="G18"/>
    </sheetView>
  </sheetViews>
  <sheetFormatPr defaultRowHeight="15"/>
  <cols>
    <col min="3" max="3" width="11.85546875" customWidth="1"/>
    <col min="4" max="4" width="13.7109375" bestFit="1" customWidth="1"/>
    <col min="5" max="5" width="15.7109375" customWidth="1"/>
    <col min="6" max="6" width="12.28515625" customWidth="1"/>
    <col min="7" max="7" width="12.7109375" customWidth="1"/>
    <col min="8" max="8" width="11.7109375" customWidth="1"/>
    <col min="9" max="9" width="16.7109375" customWidth="1"/>
  </cols>
  <sheetData>
    <row r="7" spans="3:9">
      <c r="C7" t="s">
        <v>152</v>
      </c>
      <c r="D7">
        <f>'Moon new'!G132</f>
        <v>0.15199902979342686</v>
      </c>
    </row>
    <row r="8" spans="3:9">
      <c r="C8" t="s">
        <v>300</v>
      </c>
      <c r="D8" s="125">
        <f>'Moon new'!G136</f>
        <v>2457101.900819269</v>
      </c>
    </row>
    <row r="9" spans="3:9">
      <c r="C9" t="str">
        <f>'Moon new'!K129</f>
        <v>M=</v>
      </c>
      <c r="D9">
        <f>'Moon new'!L129</f>
        <v>5474.3604572159529</v>
      </c>
      <c r="E9">
        <f>MOD(D9,360)</f>
        <v>74.36045721595292</v>
      </c>
    </row>
    <row r="10" spans="3:9">
      <c r="C10" t="str">
        <f>'Moon new'!K130</f>
        <v>M"=</v>
      </c>
      <c r="D10">
        <f>'Moon new'!L130</f>
        <v>72735.14838090507</v>
      </c>
      <c r="E10">
        <f t="shared" ref="E10:E12" si="0">MOD(D10,360)</f>
        <v>15.148380905069644</v>
      </c>
    </row>
    <row r="11" spans="3:9" ht="18.75">
      <c r="C11" t="str">
        <f>'Moon new'!K131</f>
        <v>F=</v>
      </c>
      <c r="D11">
        <f>'Moon new'!L131</f>
        <v>73606.765277358267</v>
      </c>
      <c r="E11">
        <f t="shared" si="0"/>
        <v>166.76527735826676</v>
      </c>
      <c r="F11">
        <f>MOD(E11,180)</f>
        <v>166.76527735826676</v>
      </c>
      <c r="G11" s="31" t="str">
        <f>IF(ABS(E11-360)&gt;21,"no eclipse",IF(E11-360&lt;13.9,"clipse","furtherinvistigationarerequird"))</f>
        <v>no eclipse</v>
      </c>
      <c r="H11" s="31" t="str">
        <f>IF(ABS(F11-180)&gt;21,"no eclipse",IF(F11-180&lt;13.9,"clipse","furtherinvistigationarerequird"))</f>
        <v>clipse</v>
      </c>
      <c r="I11" s="31" t="str">
        <f>IF(ABS(SIN(E11*PI()/180))&gt;0.36,"no eclipse","further invistigation")</f>
        <v>further invistigation</v>
      </c>
    </row>
    <row r="12" spans="3:9">
      <c r="C12" t="str">
        <f>'Moon new'!K132</f>
        <v>OMEGA=</v>
      </c>
      <c r="D12">
        <f>'Moon new'!L132</f>
        <v>-169.21144258857362</v>
      </c>
      <c r="E12">
        <f t="shared" si="0"/>
        <v>190.78855741142638</v>
      </c>
    </row>
    <row r="13" spans="3:9">
      <c r="C13" t="str">
        <f>'Moon new'!K133</f>
        <v>W=</v>
      </c>
      <c r="D13">
        <f>'Moon new'!N133</f>
        <v>3.2368748176627932E-3</v>
      </c>
    </row>
    <row r="14" spans="3:9">
      <c r="C14" t="str">
        <f>'Moon new'!K134</f>
        <v>E=</v>
      </c>
      <c r="D14">
        <f>'Moon new'!L134</f>
        <v>0.99961739947362227</v>
      </c>
    </row>
    <row r="15" spans="3:9">
      <c r="C15" t="s">
        <v>125</v>
      </c>
      <c r="D15">
        <f>'Moon new'!H131</f>
        <v>188</v>
      </c>
    </row>
    <row r="17" spans="3:9">
      <c r="C17" t="s">
        <v>301</v>
      </c>
      <c r="D17">
        <f>D11-0.02665*SIN(D12*PI()/180)</f>
        <v>73606.770265842177</v>
      </c>
      <c r="E17">
        <f>MOD(D17,360)</f>
        <v>166.77026584217674</v>
      </c>
    </row>
    <row r="18" spans="3:9">
      <c r="C18" t="s">
        <v>156</v>
      </c>
      <c r="D18">
        <f>299.77+0.107*D15-0.009173*D7^2</f>
        <v>319.88578806971344</v>
      </c>
    </row>
    <row r="21" spans="3:9">
      <c r="D21">
        <v>-0.40749999999999997</v>
      </c>
      <c r="E21">
        <f>D21*SIN(D10*PI()/180)</f>
        <v>-0.1064877641561349</v>
      </c>
      <c r="I21">
        <v>-0.40749999999999997</v>
      </c>
    </row>
    <row r="22" spans="3:9">
      <c r="D22">
        <v>0.1721</v>
      </c>
      <c r="E22">
        <f>D22*D14*SIN(D9*PI()/180)</f>
        <v>0.16566488955385456</v>
      </c>
      <c r="I22">
        <v>0.1721</v>
      </c>
    </row>
    <row r="23" spans="3:9">
      <c r="D23">
        <v>1.61E-2</v>
      </c>
      <c r="E23">
        <f>D23*SIN(2*D9*PI()/180)</f>
        <v>8.3592355632927072E-3</v>
      </c>
      <c r="I23">
        <v>1.61E-2</v>
      </c>
    </row>
    <row r="24" spans="3:9">
      <c r="D24">
        <v>-9.7000000000000003E-3</v>
      </c>
      <c r="E24">
        <f>D24*SIN(2*D17*PI()/180)</f>
        <v>4.3219767635436241E-3</v>
      </c>
      <c r="I24">
        <v>-9.7000000000000003E-3</v>
      </c>
    </row>
    <row r="25" spans="3:9">
      <c r="D25">
        <v>7.3000000000000001E-3</v>
      </c>
      <c r="E25">
        <f>D25*D14*SIN((D10-D9)*PI()/180)</f>
        <v>-6.2687955909047485E-3</v>
      </c>
      <c r="I25">
        <v>7.3000000000000001E-3</v>
      </c>
    </row>
    <row r="26" spans="3:9">
      <c r="D26" s="110">
        <v>-5.0000000000000001E-3</v>
      </c>
      <c r="E26">
        <f>D26*D14*SIN((D10+D9)*PI()/180)</f>
        <v>-4.997903354022783E-3</v>
      </c>
      <c r="I26" s="110">
        <v>-5.0000000000000001E-3</v>
      </c>
    </row>
    <row r="27" spans="3:9">
      <c r="D27">
        <v>-2.3E-3</v>
      </c>
      <c r="E27">
        <f>D27*SIN((D10-2*D17)*PI()/180)</f>
        <v>-1.5272658969107018E-3</v>
      </c>
      <c r="I27">
        <v>-2.3E-3</v>
      </c>
    </row>
    <row r="28" spans="3:9">
      <c r="D28">
        <v>2.0999999999999999E-3</v>
      </c>
      <c r="E28">
        <f>D28*D14*SIN(2*D9*PI()/180)</f>
        <v>1.089917910699923E-3</v>
      </c>
      <c r="I28">
        <v>2.0999999999999999E-3</v>
      </c>
    </row>
    <row r="29" spans="3:9">
      <c r="D29">
        <v>1.1999999999999999E-3</v>
      </c>
      <c r="E29">
        <f>D29*SIN((D10+2*D17)*PI()/180)</f>
        <v>-2.353630813200816E-4</v>
      </c>
      <c r="I29">
        <v>1.1999999999999999E-3</v>
      </c>
    </row>
    <row r="30" spans="3:9">
      <c r="D30">
        <v>5.9999999999999995E-4</v>
      </c>
      <c r="E30">
        <f>D30*D14*SIN((2*D10+D9)*PI()/180)</f>
        <v>5.8025208404271415E-4</v>
      </c>
      <c r="I30">
        <v>5.9999999999999995E-4</v>
      </c>
    </row>
    <row r="31" spans="3:9">
      <c r="D31">
        <v>-4.0000000000000002E-4</v>
      </c>
      <c r="E31">
        <f>D31*SIN(3*D10)*PI()/180</f>
        <v>-1.0832781026239779E-6</v>
      </c>
      <c r="I31">
        <v>-4.0000000000000002E-4</v>
      </c>
    </row>
    <row r="32" spans="3:9">
      <c r="D32">
        <v>-2.9999999999999997E-4</v>
      </c>
      <c r="E32">
        <f>D32*D14*SIN((D9+2*D17)*PI()/180)</f>
        <v>-2.2251105820892731E-4</v>
      </c>
      <c r="I32">
        <v>-2.9999999999999997E-4</v>
      </c>
    </row>
    <row r="33" spans="3:9">
      <c r="D33">
        <v>2.9999999999999997E-4</v>
      </c>
      <c r="E33">
        <f>D33*SIN(D18*PI()/180)</f>
        <v>-1.9329400345653895E-4</v>
      </c>
      <c r="I33">
        <v>2.9999999999999997E-4</v>
      </c>
    </row>
    <row r="34" spans="3:9">
      <c r="D34">
        <v>-2.0000000000000001E-4</v>
      </c>
      <c r="E34">
        <f>D34*D14*SIN((D9-2*D17)*PI()/180)</f>
        <v>-1.9636924555823854E-4</v>
      </c>
      <c r="I34">
        <v>-2.0000000000000001E-4</v>
      </c>
    </row>
    <row r="35" spans="3:9">
      <c r="D35">
        <v>-2.0000000000000001E-4</v>
      </c>
      <c r="E35">
        <f>D35*D14*SIN((2*D10-D9)*PI()/180)</f>
        <v>1.3903830894475877E-4</v>
      </c>
      <c r="I35">
        <v>-2.0000000000000001E-4</v>
      </c>
    </row>
    <row r="36" spans="3:9">
      <c r="D36">
        <v>-2.0000000000000001E-4</v>
      </c>
      <c r="E36">
        <f>D36*SIN(D12*PI()/180)</f>
        <v>3.7437027486560927E-5</v>
      </c>
      <c r="I36">
        <v>-2.0000000000000001E-4</v>
      </c>
    </row>
    <row r="37" spans="3:9">
      <c r="E37">
        <f>SUM(E21:E36)</f>
        <v>6.0062397547245315E-2</v>
      </c>
    </row>
    <row r="38" spans="3:9">
      <c r="E38" s="125">
        <f>D8-E37</f>
        <v>2457101.8407568713</v>
      </c>
    </row>
    <row r="40" spans="3:9">
      <c r="C40" t="s">
        <v>302</v>
      </c>
      <c r="D40">
        <v>0.20699999999999999</v>
      </c>
      <c r="E40">
        <f>D40*D14*SIN(D9*PI()/180)</f>
        <v>0.19925991945175994</v>
      </c>
    </row>
    <row r="41" spans="3:9">
      <c r="D41">
        <v>2.3999999999999998E-3</v>
      </c>
      <c r="E41">
        <f>D41*D14*SIN(2*D9*PI()/180)</f>
        <v>1.2456204693713404E-3</v>
      </c>
    </row>
    <row r="42" spans="3:9">
      <c r="D42">
        <v>-3.9199999999999999E-2</v>
      </c>
      <c r="E42">
        <f>D42*SIN(D10*PI()/180)</f>
        <v>-1.0243730932320215E-2</v>
      </c>
    </row>
    <row r="43" spans="3:9">
      <c r="D43">
        <v>1.1599999999999999E-2</v>
      </c>
      <c r="E43">
        <f>D43*SIN(2*D10*PI()/180)</f>
        <v>5.8519543864495377E-3</v>
      </c>
    </row>
    <row r="44" spans="3:9">
      <c r="D44">
        <v>-7.3000000000000001E-3</v>
      </c>
      <c r="E44">
        <f>D44*D14*SIN((D9+D10)*PI()/180)</f>
        <v>-7.2969388968732625E-3</v>
      </c>
    </row>
    <row r="45" spans="3:9">
      <c r="D45">
        <v>6.7000000000000002E-3</v>
      </c>
      <c r="E45">
        <f>D45*D14*SIN((D10-D9)*PI()/180)</f>
        <v>-5.7535521176797014E-3</v>
      </c>
    </row>
    <row r="46" spans="3:9">
      <c r="D46">
        <v>1.1800000000000001E-3</v>
      </c>
      <c r="E46">
        <f>D46*SIN(2*D17*PI()/180)</f>
        <v>-5.2576624546200781E-4</v>
      </c>
    </row>
    <row r="47" spans="3:9" ht="15.75">
      <c r="C47" t="s">
        <v>302</v>
      </c>
      <c r="E47" s="126">
        <f>SUM(E40:E46)</f>
        <v>0.18253750611524563</v>
      </c>
    </row>
    <row r="51" spans="3:5">
      <c r="C51" t="s">
        <v>303</v>
      </c>
      <c r="D51">
        <v>5.2206999999999999</v>
      </c>
      <c r="E51">
        <f>D51</f>
        <v>5.2206999999999999</v>
      </c>
    </row>
    <row r="52" spans="3:5">
      <c r="D52">
        <v>-4.7999999999999996E-3</v>
      </c>
      <c r="E52">
        <f>D52*D14*COS(D9*PI()/180)</f>
        <v>-1.2935104402041376E-3</v>
      </c>
    </row>
    <row r="53" spans="3:5">
      <c r="D53">
        <v>2E-3</v>
      </c>
      <c r="E53">
        <f>D53*D14*COS(2*D9*PI()/180)</f>
        <v>-1.7086428441948427E-3</v>
      </c>
    </row>
    <row r="54" spans="3:5">
      <c r="D54">
        <v>-0.32990000000000003</v>
      </c>
      <c r="E54">
        <f>D54*COS(D10*PI()/180)</f>
        <v>-0.31843673875504791</v>
      </c>
    </row>
    <row r="55" spans="3:5">
      <c r="D55">
        <v>-6.0000000000000001E-3</v>
      </c>
      <c r="E55">
        <f>D55*D14*COS((D9+D10)*PI()/180)</f>
        <v>-5.1414043174243856E-5</v>
      </c>
    </row>
    <row r="56" spans="3:5">
      <c r="D56">
        <v>4.1000000000000003E-3</v>
      </c>
      <c r="E56">
        <f>D56*D14*COS((D10-D9)*PI()/180)</f>
        <v>2.0978304800022339E-3</v>
      </c>
    </row>
    <row r="57" spans="3:5" ht="15.75">
      <c r="C57" t="s">
        <v>303</v>
      </c>
      <c r="E57" s="126">
        <f>SUM(E51:E56)</f>
        <v>4.9013075243973816</v>
      </c>
    </row>
    <row r="60" spans="3:5">
      <c r="C60" t="s">
        <v>304</v>
      </c>
      <c r="D60">
        <v>5.8999999999999999E-3</v>
      </c>
      <c r="E60">
        <f>D60</f>
        <v>5.8999999999999999E-3</v>
      </c>
    </row>
    <row r="61" spans="3:5">
      <c r="D61">
        <v>4.5999999999999999E-3</v>
      </c>
      <c r="E61">
        <f>D61*D14*COS(D9*PI()/180)</f>
        <v>1.2396141718622987E-3</v>
      </c>
    </row>
    <row r="62" spans="3:5">
      <c r="D62">
        <v>-1.8200000000000001E-2</v>
      </c>
      <c r="E62">
        <f>D62*COS(D10*PI()/180)</f>
        <v>-1.7567592135016283E-2</v>
      </c>
    </row>
    <row r="63" spans="3:5">
      <c r="D63">
        <v>4.0000000000000002E-4</v>
      </c>
      <c r="E63">
        <f>D63*COS(2*D10*PI()/180)</f>
        <v>3.453696254613838E-4</v>
      </c>
    </row>
    <row r="64" spans="3:5">
      <c r="D64">
        <v>-5.0000000000000001E-4</v>
      </c>
      <c r="E64">
        <f>D64*COS((D9+D10)*PI()/180)</f>
        <v>-4.2861434786046992E-6</v>
      </c>
    </row>
    <row r="65" spans="3:5" ht="15.75">
      <c r="C65" t="s">
        <v>304</v>
      </c>
      <c r="E65" s="126">
        <f>SUM(E60:E64)</f>
        <v>-1.0086894481171206E-2</v>
      </c>
    </row>
    <row r="68" spans="3:5" ht="15.75">
      <c r="C68" t="s">
        <v>129</v>
      </c>
      <c r="D68" s="126">
        <f>ABS(COS(D17*PI()/180))</f>
        <v>0.97346026704832966</v>
      </c>
    </row>
    <row r="69" spans="3:5" ht="15.75">
      <c r="C69" t="s">
        <v>249</v>
      </c>
      <c r="D69" s="126">
        <f>(E47*COS(D17*PI()/180)+E57*SIN(D17*PI()/180))*(1-0.0048*D68)</f>
        <v>0.9395901028519984</v>
      </c>
    </row>
    <row r="71" spans="3:5">
      <c r="C71" t="s">
        <v>305</v>
      </c>
      <c r="D71">
        <f>1.2848+E65</f>
        <v>1.2747131055188288</v>
      </c>
    </row>
    <row r="72" spans="3:5">
      <c r="C72" t="s">
        <v>306</v>
      </c>
      <c r="D72">
        <f>0.7403-E65</f>
        <v>0.75038689448117113</v>
      </c>
    </row>
    <row r="77" spans="3:5">
      <c r="C77" t="s">
        <v>307</v>
      </c>
      <c r="D77">
        <f>(1.5573+E65-ABS(D69))/0.545</f>
        <v>1.11490459204923</v>
      </c>
    </row>
    <row r="78" spans="3:5">
      <c r="C78" t="s">
        <v>308</v>
      </c>
      <c r="D78">
        <f>(1.0128-E65-ABS(D69))/0.545</f>
        <v>0.15283814977829852</v>
      </c>
    </row>
    <row r="80" spans="3:5">
      <c r="C80" t="s">
        <v>309</v>
      </c>
      <c r="D80">
        <f>1.0128-E65</f>
        <v>1.0228868944811711</v>
      </c>
    </row>
    <row r="81" spans="3:5">
      <c r="C81" t="s">
        <v>152</v>
      </c>
      <c r="D81">
        <f>0.4678-E65</f>
        <v>0.47788689448117122</v>
      </c>
    </row>
    <row r="82" spans="3:5">
      <c r="C82" t="s">
        <v>310</v>
      </c>
      <c r="D82">
        <f>0.5458-0.04*COS(D10*PI()/180)</f>
        <v>0.50718990739556857</v>
      </c>
    </row>
    <row r="87" spans="3:5">
      <c r="C87" t="s">
        <v>311</v>
      </c>
      <c r="D87">
        <f>(60/D82)*SQRT(D80^2-D69^2)</f>
        <v>47.829635575155926</v>
      </c>
      <c r="E87">
        <f>(60/D82)*SQRT((1.5573+E65)^2-D69^2)</f>
        <v>145.41809808508714</v>
      </c>
    </row>
    <row r="88" spans="3:5">
      <c r="C88" t="s">
        <v>312</v>
      </c>
      <c r="D88" t="e">
        <f>(60/D82)*SQRT(D81^2-D69^2)</f>
        <v>#NUM!</v>
      </c>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dimension ref="C3:H15"/>
  <sheetViews>
    <sheetView workbookViewId="0">
      <selection activeCell="D5" sqref="D5"/>
    </sheetView>
  </sheetViews>
  <sheetFormatPr defaultRowHeight="15"/>
  <cols>
    <col min="4" max="4" width="11.28515625" bestFit="1" customWidth="1"/>
    <col min="7" max="7" width="13.140625" customWidth="1"/>
    <col min="8" max="8" width="14.140625" customWidth="1"/>
  </cols>
  <sheetData>
    <row r="3" spans="3:8">
      <c r="C3" t="s">
        <v>261</v>
      </c>
    </row>
    <row r="4" spans="3:8">
      <c r="G4" t="s">
        <v>262</v>
      </c>
    </row>
    <row r="5" spans="3:8">
      <c r="C5" t="s">
        <v>152</v>
      </c>
      <c r="D5">
        <f>(MEEUS!E12-2451545)/36525</f>
        <v>0.15210130047912387</v>
      </c>
      <c r="G5" t="s">
        <v>152</v>
      </c>
      <c r="H5">
        <f>(MEEUS!E29-2451545)/36525</f>
        <v>0.1521238085278995</v>
      </c>
    </row>
    <row r="9" spans="3:8">
      <c r="C9" t="s">
        <v>263</v>
      </c>
      <c r="D9">
        <f>MOD(100.46061837+36000.77053608*$D$5+0.000387933*$D$5^2-$D$5^3/38710000,360)/15</f>
        <v>11.748309608863808</v>
      </c>
      <c r="E9">
        <f>D9*15</f>
        <v>176.22464413295711</v>
      </c>
      <c r="G9" t="s">
        <v>263</v>
      </c>
      <c r="H9">
        <f>MOD(280.46061837+360.98564736629*(MEEUS!E29-2451545)+0.000387933*H5^2-H5^3/38710000,360)/15</f>
        <v>7.5328807473648336</v>
      </c>
    </row>
    <row r="10" spans="3:8">
      <c r="D10">
        <f>TRUNC(D9)</f>
        <v>11</v>
      </c>
      <c r="H10">
        <f>TRUNC(H9)</f>
        <v>7</v>
      </c>
    </row>
    <row r="11" spans="3:8">
      <c r="D11">
        <f>(D9-D10)*60</f>
        <v>44.898576531828489</v>
      </c>
      <c r="H11">
        <f>(H9-H10)*60</f>
        <v>31.972844841890016</v>
      </c>
    </row>
    <row r="12" spans="3:8">
      <c r="D12">
        <f>TRUNC(D11)</f>
        <v>44</v>
      </c>
      <c r="H12">
        <f>TRUNC(H11)</f>
        <v>31</v>
      </c>
    </row>
    <row r="13" spans="3:8">
      <c r="D13">
        <f>(D11-D12)*60</f>
        <v>53.914591909709344</v>
      </c>
      <c r="H13">
        <f>(H11-H12)*60</f>
        <v>58.370690513400945</v>
      </c>
    </row>
    <row r="14" spans="3:8" ht="18.75">
      <c r="C14" t="s">
        <v>263</v>
      </c>
      <c r="D14" s="106">
        <f>TIME(D10,D12,D13)</f>
        <v>0.48950231481481482</v>
      </c>
      <c r="G14" t="s">
        <v>263</v>
      </c>
      <c r="H14" s="106">
        <f>TIME(H10,H12,H13)</f>
        <v>0.31386574074074075</v>
      </c>
    </row>
    <row r="15" spans="3:8">
      <c r="G15" t="s">
        <v>288</v>
      </c>
      <c r="H15" s="84">
        <f>H9+ABS(D!N4/15)</f>
        <v>9.8662140806981675</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2:W186"/>
  <sheetViews>
    <sheetView zoomScale="89" zoomScaleNormal="89" workbookViewId="0">
      <selection activeCell="G4" sqref="G4"/>
    </sheetView>
  </sheetViews>
  <sheetFormatPr defaultColWidth="9.140625" defaultRowHeight="15"/>
  <cols>
    <col min="1" max="2" width="9.140625" style="99"/>
    <col min="3" max="3" width="12.140625" style="100" bestFit="1" customWidth="1"/>
    <col min="4" max="4" width="19.7109375" style="100" customWidth="1"/>
    <col min="5" max="5" width="18.28515625" style="100" customWidth="1"/>
    <col min="6" max="6" width="16" style="100" customWidth="1"/>
    <col min="7" max="7" width="32.28515625" style="100" customWidth="1"/>
    <col min="8" max="8" width="20.28515625" style="100" bestFit="1" customWidth="1"/>
    <col min="9" max="9" width="15.28515625" style="100" customWidth="1"/>
    <col min="10" max="10" width="9.140625" style="99"/>
    <col min="11" max="11" width="12.140625" style="100" bestFit="1" customWidth="1"/>
    <col min="12" max="14" width="12.7109375" style="100" bestFit="1" customWidth="1"/>
    <col min="15" max="15" width="19.28515625" style="99" bestFit="1" customWidth="1"/>
    <col min="16" max="16" width="20.28515625" style="99" bestFit="1" customWidth="1"/>
    <col min="17" max="18" width="9.140625" style="99"/>
    <col min="19" max="19" width="17.7109375" style="99" bestFit="1" customWidth="1"/>
    <col min="20" max="16384" width="9.140625" style="99"/>
  </cols>
  <sheetData>
    <row r="2" spans="1:23">
      <c r="C2" s="99" t="s">
        <v>173</v>
      </c>
      <c r="D2" s="99">
        <f>D8+O117+D19</f>
        <v>323.12162525056999</v>
      </c>
    </row>
    <row r="3" spans="1:23">
      <c r="C3" s="99" t="s">
        <v>174</v>
      </c>
      <c r="D3" s="99">
        <f>O180</f>
        <v>3.8597443650170167</v>
      </c>
      <c r="F3"/>
      <c r="G3" s="102" t="s">
        <v>252</v>
      </c>
      <c r="H3" s="102" t="s">
        <v>253</v>
      </c>
      <c r="I3" s="102" t="s">
        <v>159</v>
      </c>
      <c r="J3"/>
      <c r="K3" s="102" t="s">
        <v>257</v>
      </c>
      <c r="L3" s="102" t="s">
        <v>32</v>
      </c>
      <c r="M3" s="102" t="s">
        <v>258</v>
      </c>
      <c r="N3"/>
      <c r="O3"/>
    </row>
    <row r="4" spans="1:23">
      <c r="C4" s="99" t="s">
        <v>175</v>
      </c>
      <c r="D4" s="99">
        <f>385000.56+P117</f>
        <v>360664.51646476268</v>
      </c>
      <c r="F4"/>
      <c r="G4" s="102">
        <f>D!G4</f>
        <v>2015</v>
      </c>
      <c r="H4" s="102">
        <f>D!H4</f>
        <v>3</v>
      </c>
      <c r="I4" s="102">
        <f>D!I4-1</f>
        <v>18</v>
      </c>
      <c r="J4">
        <f>I4+K5+L5+M5</f>
        <v>18</v>
      </c>
      <c r="K4" s="102">
        <v>0</v>
      </c>
      <c r="L4" s="102">
        <v>0</v>
      </c>
      <c r="M4" s="102">
        <v>0</v>
      </c>
      <c r="N4" s="99"/>
    </row>
    <row r="5" spans="1:23">
      <c r="C5" s="99" t="s">
        <v>176</v>
      </c>
      <c r="D5" s="99">
        <f>ASIN(6378.14/D4)*180/PI()</f>
        <v>1.0132950069192852</v>
      </c>
      <c r="F5"/>
      <c r="G5" s="102">
        <f>IF(H4&lt;3,G4-1,G4)</f>
        <v>2015</v>
      </c>
      <c r="H5" s="102">
        <f>IF(H4&lt;3,H4+12,H4)</f>
        <v>3</v>
      </c>
      <c r="I5" s="102">
        <f>IF(J4&lt;3,I4,J4)</f>
        <v>18</v>
      </c>
      <c r="J5"/>
      <c r="K5" s="102">
        <f>K4/24</f>
        <v>0</v>
      </c>
      <c r="L5" s="102">
        <f>L4/(24*60)</f>
        <v>0</v>
      </c>
      <c r="M5" s="102">
        <f>(M4)/(24*3600)</f>
        <v>0</v>
      </c>
      <c r="N5" s="99"/>
    </row>
    <row r="6" spans="1:23">
      <c r="C6" s="100" t="s">
        <v>153</v>
      </c>
      <c r="D6" s="100">
        <f>G13</f>
        <v>2457099.5</v>
      </c>
      <c r="F6"/>
      <c r="G6"/>
      <c r="H6"/>
      <c r="I6"/>
      <c r="J6"/>
      <c r="K6"/>
      <c r="L6"/>
      <c r="M6"/>
      <c r="N6" s="99"/>
    </row>
    <row r="7" spans="1:23" ht="15.75">
      <c r="C7" s="100" t="s">
        <v>152</v>
      </c>
      <c r="D7" s="100">
        <f>(D6-2451545)/36525</f>
        <v>0.15207392197125258</v>
      </c>
      <c r="F7"/>
      <c r="G7"/>
      <c r="H7"/>
      <c r="I7"/>
      <c r="J7"/>
      <c r="K7"/>
      <c r="L7"/>
      <c r="M7"/>
      <c r="N7" s="99"/>
      <c r="P7"/>
      <c r="Q7" s="101" t="s">
        <v>241</v>
      </c>
      <c r="R7"/>
      <c r="S7"/>
      <c r="T7"/>
      <c r="U7"/>
      <c r="V7"/>
      <c r="W7"/>
    </row>
    <row r="8" spans="1:23">
      <c r="A8" s="99" t="s">
        <v>151</v>
      </c>
      <c r="D8" s="100">
        <f>MOD(218.3164591+481267.881342*D7-0.0013267*D7^2+D7^3/538841-D7^4/65194000,360)</f>
        <v>326.61066289796145</v>
      </c>
      <c r="F8"/>
      <c r="G8"/>
      <c r="H8"/>
      <c r="I8"/>
      <c r="J8"/>
      <c r="K8"/>
      <c r="L8"/>
      <c r="M8"/>
      <c r="N8" s="99"/>
    </row>
    <row r="9" spans="1:23">
      <c r="C9" s="100" t="s">
        <v>154</v>
      </c>
      <c r="D9" s="100">
        <f>MOD(297.8502042+445267.1115186*D7-0.00163*D7^2+D7^3/545868-D7^4/113065000,360)</f>
        <v>331.36613995490188</v>
      </c>
      <c r="F9"/>
      <c r="G9"/>
      <c r="H9"/>
      <c r="I9"/>
      <c r="J9"/>
      <c r="K9"/>
      <c r="L9"/>
      <c r="M9"/>
      <c r="N9" s="99"/>
    </row>
    <row r="10" spans="1:23">
      <c r="C10" s="100" t="s">
        <v>136</v>
      </c>
      <c r="D10" s="100">
        <f>MOD(357.5291092+35999.0502909*D7-0.0001536*D7^2+D7^3/24490000,360)</f>
        <v>72.04587062544033</v>
      </c>
      <c r="F10"/>
      <c r="G10"/>
      <c r="H10"/>
      <c r="I10"/>
      <c r="J10"/>
      <c r="K10"/>
      <c r="L10"/>
      <c r="M10"/>
      <c r="N10" s="99"/>
    </row>
    <row r="11" spans="1:23">
      <c r="C11" s="100" t="s">
        <v>155</v>
      </c>
      <c r="D11" s="100">
        <f>MOD(134.9634114+477198.8676313*D7+0.008997*D7^2+D7^3/69699-D7^4/14712000,360)</f>
        <v>344.46698045174708</v>
      </c>
      <c r="F11" t="s">
        <v>259</v>
      </c>
      <c r="G11">
        <f>INT(G5/100)</f>
        <v>20</v>
      </c>
      <c r="H11"/>
      <c r="I11"/>
      <c r="J11"/>
      <c r="K11"/>
      <c r="L11"/>
      <c r="M11"/>
      <c r="N11" s="99"/>
    </row>
    <row r="12" spans="1:23">
      <c r="C12" s="100" t="s">
        <v>138</v>
      </c>
      <c r="D12" s="100">
        <f>MOD(93.2720993+483202.0175273*D7-0.0034029*D7^2-D7^3/3526000+D7^4/863310000,360)</f>
        <v>135.6979304003471</v>
      </c>
      <c r="F12" t="s">
        <v>260</v>
      </c>
      <c r="G12">
        <f>2-G11+INT(G11/4)</f>
        <v>-13</v>
      </c>
      <c r="H12"/>
      <c r="I12"/>
      <c r="J12"/>
      <c r="K12"/>
      <c r="L12"/>
      <c r="M12"/>
      <c r="N12" s="99"/>
    </row>
    <row r="13" spans="1:23" ht="28.5">
      <c r="C13" s="100" t="s">
        <v>156</v>
      </c>
      <c r="D13" s="100">
        <f>MOD(119.75+131.849*D7,360)</f>
        <v>139.80079453798768</v>
      </c>
      <c r="F13" s="104" t="s">
        <v>128</v>
      </c>
      <c r="G13" s="105">
        <f>INT(365.25*(G5+4716))+INT(30.6001*(H5+1))+I5+G12-1524.5</f>
        <v>2457099.5</v>
      </c>
      <c r="H13"/>
      <c r="I13"/>
      <c r="J13"/>
      <c r="K13"/>
      <c r="L13"/>
      <c r="M13"/>
      <c r="N13" s="99"/>
    </row>
    <row r="14" spans="1:23">
      <c r="C14" s="100" t="s">
        <v>157</v>
      </c>
      <c r="D14" s="100">
        <f>MOD(53.09+479264.29*D7,360)</f>
        <v>216.6902410677576</v>
      </c>
      <c r="H14" s="99"/>
      <c r="J14" s="100"/>
      <c r="M14" s="99"/>
      <c r="N14" s="99"/>
    </row>
    <row r="15" spans="1:23">
      <c r="C15" s="100" t="s">
        <v>158</v>
      </c>
      <c r="D15" s="100">
        <f>MOD(313.45+481266.484*D7,360)</f>
        <v>61.531735195079818</v>
      </c>
      <c r="H15" s="99"/>
      <c r="I15" s="99"/>
      <c r="K15" s="99"/>
      <c r="L15" s="99"/>
      <c r="M15" s="99"/>
      <c r="N15" s="99"/>
    </row>
    <row r="16" spans="1:23">
      <c r="C16" s="100" t="s">
        <v>235</v>
      </c>
      <c r="D16" s="100">
        <f>MOD(125.04452-1934.136261*D7+0.0020708*D7^2+D7^3/450000,306)</f>
        <v>136.9128810610413</v>
      </c>
    </row>
    <row r="17" spans="3:7">
      <c r="C17" s="100" t="s">
        <v>236</v>
      </c>
      <c r="D17" s="100">
        <f>MOD(280.4665+36000.769*D7+0.0003032*D7^2,360)</f>
        <v>355.24464282303597</v>
      </c>
    </row>
    <row r="18" spans="3:7">
      <c r="C18" s="100" t="s">
        <v>237</v>
      </c>
      <c r="D18" s="100">
        <f>MOD(218.3165+481267.881*D7,360)</f>
        <v>326.61068246407376</v>
      </c>
    </row>
    <row r="19" spans="3:7">
      <c r="C19" s="100" t="s">
        <v>238</v>
      </c>
      <c r="D19" s="100">
        <f>(-17.2*SIN(D16*PI()/180)-1.32*SIN(2*D17*PI()/180)-0.23*SIN(2*D18*PI()/180)+21*SIN(2*D16*PI()/180))/3600</f>
        <v>-8.9647818055419871E-3</v>
      </c>
    </row>
    <row r="20" spans="3:7">
      <c r="C20" s="100" t="s">
        <v>239</v>
      </c>
      <c r="D20" s="100">
        <f>(E20*COS(D16*PI()/180)+F20*COS(2*D17*PI()/180)+E21*COS(2*D18*PI()/180)-F21*COS(2*D16*PI()/180))/3600</f>
        <v>-4.7247819269149876E-7</v>
      </c>
      <c r="E20" s="99">
        <f>9.2/3600</f>
        <v>2.5555555555555553E-3</v>
      </c>
      <c r="F20" s="100">
        <f>0.57/3600</f>
        <v>1.5833333333333332E-4</v>
      </c>
      <c r="G20" s="99"/>
    </row>
    <row r="21" spans="3:7">
      <c r="C21" s="100" t="s">
        <v>240</v>
      </c>
      <c r="D21" s="100">
        <f>23.4392911 - 0.01300416667*D7 - 0.00000016389*D7^2+0.00000050361 *D7^3+0.00255625*COS(D16*PI()/180)</f>
        <v>23.435446633411626</v>
      </c>
      <c r="E21" s="100">
        <f>0.1/3600</f>
        <v>2.7777777777777779E-5</v>
      </c>
      <c r="F21" s="99">
        <f>0.09/3600</f>
        <v>2.4999999999999998E-5</v>
      </c>
      <c r="G21" s="99"/>
    </row>
    <row r="22" spans="3:7">
      <c r="D22" s="100">
        <f>D21+D20</f>
        <v>23.435446160933434</v>
      </c>
    </row>
    <row r="23" spans="3:7">
      <c r="C23" s="100" t="s">
        <v>184</v>
      </c>
      <c r="D23" s="100">
        <f>SIN(D2*PI()/180)*COS(D22*PI()/180)-TAN(D3*PI()/180)*SIN(D22*PI()/180)</f>
        <v>-0.57744665587810307</v>
      </c>
      <c r="F23" s="99"/>
      <c r="G23" s="99"/>
    </row>
    <row r="24" spans="3:7">
      <c r="C24" s="100" t="s">
        <v>243</v>
      </c>
      <c r="D24" s="100">
        <f>COS(D2*PI()/180)</f>
        <v>0.79991121922307917</v>
      </c>
      <c r="F24" s="99"/>
      <c r="G24" s="99"/>
    </row>
    <row r="25" spans="3:7">
      <c r="D25" s="100">
        <f>ATAN(D23/D24)*180/PI()</f>
        <v>-35.825082152284871</v>
      </c>
      <c r="F25" s="99"/>
      <c r="G25" s="99"/>
    </row>
    <row r="26" spans="3:7">
      <c r="D26" s="100">
        <f>ATAN((SIN(D2*PI()/180)*COS(D22*PI()/180)-TAN(D3*PI()/180)*SIN(D22*PI()/180))/COS(D2*PI()/180))*180/PI()</f>
        <v>-35.825082152284871</v>
      </c>
      <c r="F26" s="99"/>
      <c r="G26" s="99"/>
    </row>
    <row r="27" spans="3:7" ht="15.75">
      <c r="C27" s="107" t="s">
        <v>242</v>
      </c>
      <c r="D27" s="107">
        <f>IF(D24&lt;0,D25+180,IF(D23&lt;0,D25+360,D25))</f>
        <v>324.17491784771511</v>
      </c>
      <c r="E27" s="100">
        <f>D27/15</f>
        <v>21.611661189847673</v>
      </c>
      <c r="F27" s="99"/>
      <c r="G27" s="99"/>
    </row>
    <row r="28" spans="3:7" ht="15.75">
      <c r="C28" s="107" t="s">
        <v>244</v>
      </c>
      <c r="D28" s="107">
        <f>ASIN(SIN(D3*PI()/180)*COS(D22*PI()/180)+COS(D3*PI()/180)*SIN(D22*PI()/180)*SIN(D2*PI()/180))*180/PI()</f>
        <v>-10.158602806776411</v>
      </c>
      <c r="F28" s="99"/>
      <c r="G28" s="99"/>
    </row>
    <row r="29" spans="3:7">
      <c r="F29" s="99"/>
      <c r="G29" s="99"/>
    </row>
    <row r="30" spans="3:7">
      <c r="C30" s="100" t="s">
        <v>245</v>
      </c>
      <c r="F30" s="101" t="s">
        <v>246</v>
      </c>
      <c r="G30" t="s">
        <v>247</v>
      </c>
    </row>
    <row r="31" spans="3:7">
      <c r="C31" s="100" t="s">
        <v>249</v>
      </c>
      <c r="D31" s="100">
        <f>-SIN(0.83*PI()/180)-SIN(D12*PI()/180)*SIN(D28*PI()/180)</f>
        <v>0.1087008485928324</v>
      </c>
      <c r="F31" s="101" t="s">
        <v>248</v>
      </c>
      <c r="G31"/>
    </row>
    <row r="32" spans="3:7">
      <c r="C32" s="100" t="s">
        <v>250</v>
      </c>
      <c r="D32" s="100">
        <f>COS(D12*PI()/180)*SIN(D28*PI()/180)</f>
        <v>0.12622485133928874</v>
      </c>
      <c r="F32" s="99"/>
      <c r="G32" s="99"/>
    </row>
    <row r="33" spans="1:7">
      <c r="C33" s="100" t="s">
        <v>245</v>
      </c>
      <c r="D33" s="102">
        <f>ACOS(D31/D32)*180/PI()</f>
        <v>30.551979201817222</v>
      </c>
      <c r="F33" s="99"/>
      <c r="G33" s="99"/>
    </row>
    <row r="34" spans="1:7">
      <c r="F34" s="99"/>
      <c r="G34" s="99"/>
    </row>
    <row r="35" spans="1:7">
      <c r="F35" s="99"/>
      <c r="G35" s="99"/>
    </row>
    <row r="36" spans="1:7">
      <c r="C36" s="100" t="s">
        <v>251</v>
      </c>
      <c r="F36" s="99"/>
      <c r="G36" s="99"/>
    </row>
    <row r="37" spans="1:7">
      <c r="F37" s="99"/>
      <c r="G37" s="99"/>
    </row>
    <row r="38" spans="1:7">
      <c r="F38" s="99"/>
      <c r="G38" s="99"/>
    </row>
    <row r="39" spans="1:7">
      <c r="F39" s="99"/>
      <c r="G39" s="99"/>
    </row>
    <row r="40" spans="1:7">
      <c r="F40" s="99"/>
      <c r="G40" s="99"/>
    </row>
    <row r="41" spans="1:7">
      <c r="F41" s="99"/>
      <c r="G41" s="99"/>
    </row>
    <row r="42" spans="1:7">
      <c r="F42" s="99"/>
      <c r="G42" s="99"/>
    </row>
    <row r="43" spans="1:7">
      <c r="A43" s="99" t="s">
        <v>161</v>
      </c>
      <c r="C43" s="100" t="s">
        <v>162</v>
      </c>
      <c r="D43" s="100">
        <f>3958*SIN(D13*PI()/180)+1963*SIN((D8-D12)*PI()/180)+318*SIN(D14*PI()/180)</f>
        <v>1993.0555373855648</v>
      </c>
      <c r="F43" s="99"/>
      <c r="G43" s="99"/>
    </row>
    <row r="45" spans="1:7">
      <c r="A45" s="99" t="s">
        <v>163</v>
      </c>
      <c r="C45" s="100" t="s">
        <v>164</v>
      </c>
      <c r="D45" s="100">
        <f>-2235*SIN(D8*PI()/180)+382*SIN(D15*PI()/180)+175*SIN((D13-D12)*PI()/180)+175*SIN((D13+D12)*PI()/180)+127*SIN((D8-D11)*PI()/180)-115*SIN((D8+D11)*PI()/180)</f>
        <v>1451.8594423233835</v>
      </c>
    </row>
    <row r="47" spans="1:7">
      <c r="C47" s="100" t="s">
        <v>143</v>
      </c>
      <c r="D47" s="100">
        <f>(1-0.002516*D7-0.000074*D7^2)</f>
        <v>0.9996156706529673</v>
      </c>
    </row>
    <row r="48" spans="1:7">
      <c r="C48" s="100" t="s">
        <v>232</v>
      </c>
      <c r="D48" s="100">
        <f>D47*D47</f>
        <v>0.9992314890149816</v>
      </c>
    </row>
    <row r="49" spans="3:16">
      <c r="C49" s="100" t="s">
        <v>233</v>
      </c>
      <c r="D49" s="100">
        <v>1</v>
      </c>
    </row>
    <row r="55" spans="3:16">
      <c r="C55" s="100" t="s">
        <v>159</v>
      </c>
      <c r="D55" s="100" t="s">
        <v>32</v>
      </c>
      <c r="E55" s="100" t="s">
        <v>66</v>
      </c>
      <c r="F55" s="100" t="s">
        <v>160</v>
      </c>
      <c r="G55" s="100" t="s">
        <v>167</v>
      </c>
      <c r="H55" s="100" t="s">
        <v>168</v>
      </c>
      <c r="I55" s="100" t="s">
        <v>234</v>
      </c>
      <c r="J55" s="100"/>
      <c r="K55" s="100" t="s">
        <v>159</v>
      </c>
      <c r="L55" s="100" t="s">
        <v>166</v>
      </c>
      <c r="M55" s="100" t="s">
        <v>165</v>
      </c>
      <c r="N55" s="100" t="s">
        <v>160</v>
      </c>
      <c r="O55" s="100" t="s">
        <v>169</v>
      </c>
      <c r="P55" s="100" t="s">
        <v>170</v>
      </c>
    </row>
    <row r="56" spans="3:16">
      <c r="C56" s="100">
        <v>0</v>
      </c>
      <c r="D56" s="100">
        <v>0</v>
      </c>
      <c r="E56" s="100">
        <v>1</v>
      </c>
      <c r="F56" s="100">
        <v>0</v>
      </c>
      <c r="G56" s="100">
        <v>6288774</v>
      </c>
      <c r="H56" s="100">
        <v>-20905355</v>
      </c>
      <c r="I56" s="100">
        <f>IF(ABS(D56)=2,$D$48,IF(ABS(E56)=2,$D$48,IF(ABS(D56)=1,$D$47,IF(ABS(E56)=1,$D$47,1))))</f>
        <v>0.9996156706529673</v>
      </c>
      <c r="J56" s="100"/>
      <c r="K56" s="100">
        <f>C56</f>
        <v>0</v>
      </c>
      <c r="L56" s="100">
        <f>D56</f>
        <v>0</v>
      </c>
      <c r="M56" s="100">
        <f>E56</f>
        <v>1</v>
      </c>
      <c r="N56" s="100">
        <f>F56</f>
        <v>0</v>
      </c>
      <c r="O56" s="99">
        <f>I56*G56*SIN(((K56*$D$9+L56*$D$10+M56*$D$11+N56*$D$12))*PI()/180)</f>
        <v>-1683446.6335045549</v>
      </c>
      <c r="P56" s="99">
        <f>I56*H56*COS(((K56*D$9+L56*D$10+M56*D$11+N56*D$12))*PI()/180)</f>
        <v>-20134072.656042911</v>
      </c>
    </row>
    <row r="57" spans="3:16">
      <c r="C57" s="100">
        <v>2</v>
      </c>
      <c r="D57" s="100">
        <v>0</v>
      </c>
      <c r="E57" s="100">
        <v>-1</v>
      </c>
      <c r="F57" s="100">
        <v>0</v>
      </c>
      <c r="G57" s="100">
        <v>1274027</v>
      </c>
      <c r="H57" s="100">
        <v>-3699111</v>
      </c>
      <c r="I57" s="100">
        <f t="shared" ref="I57:I115" si="0">IF(ABS(D57)=2,$D$48,IF(ABS(E57)=2,$D$48,IF(ABS(D57)=1,$D$47,IF(ABS(E57)=1,$D$47,1))))</f>
        <v>0.9996156706529673</v>
      </c>
      <c r="J57" s="100"/>
      <c r="K57" s="100">
        <f t="shared" ref="K57:N115" si="1">C57</f>
        <v>2</v>
      </c>
      <c r="L57" s="100">
        <f t="shared" si="1"/>
        <v>0</v>
      </c>
      <c r="M57" s="100">
        <f t="shared" si="1"/>
        <v>-1</v>
      </c>
      <c r="N57" s="100">
        <f t="shared" si="1"/>
        <v>0</v>
      </c>
      <c r="O57" s="99">
        <f t="shared" ref="O57:O115" si="2">I57*G57*SIN(((K57*$D$9+L57*$D$10+M57*$D$11+N57*$D$12))*PI()/180)</f>
        <v>-847771.43493763928</v>
      </c>
      <c r="P57" s="99">
        <f t="shared" ref="P57:P115" si="3">I57*H57*COS(((K57*D$9+L57*D$10+M57*D$11+N57*D$12))*PI()/180)</f>
        <v>-2759345.7693100823</v>
      </c>
    </row>
    <row r="58" spans="3:16">
      <c r="C58" s="100">
        <v>2</v>
      </c>
      <c r="D58" s="100">
        <v>0</v>
      </c>
      <c r="E58" s="100">
        <v>0</v>
      </c>
      <c r="F58" s="100">
        <v>0</v>
      </c>
      <c r="G58" s="100">
        <v>658314</v>
      </c>
      <c r="H58" s="100">
        <v>-2955968</v>
      </c>
      <c r="I58" s="100">
        <f t="shared" si="0"/>
        <v>1</v>
      </c>
      <c r="J58" s="100"/>
      <c r="K58" s="100">
        <f t="shared" si="1"/>
        <v>2</v>
      </c>
      <c r="L58" s="100">
        <f t="shared" si="1"/>
        <v>0</v>
      </c>
      <c r="M58" s="100">
        <f t="shared" si="1"/>
        <v>0</v>
      </c>
      <c r="N58" s="100">
        <f t="shared" si="1"/>
        <v>0</v>
      </c>
      <c r="O58" s="99">
        <f t="shared" si="2"/>
        <v>-553777.87235027726</v>
      </c>
      <c r="P58" s="99">
        <f t="shared" si="3"/>
        <v>-1598334.2686507015</v>
      </c>
    </row>
    <row r="59" spans="3:16">
      <c r="C59" s="100">
        <v>0</v>
      </c>
      <c r="D59" s="100">
        <v>0</v>
      </c>
      <c r="E59" s="100">
        <v>2</v>
      </c>
      <c r="F59" s="100">
        <v>0</v>
      </c>
      <c r="G59" s="100">
        <v>213618</v>
      </c>
      <c r="H59" s="100">
        <v>-569925</v>
      </c>
      <c r="I59" s="100">
        <f t="shared" si="0"/>
        <v>0.9992314890149816</v>
      </c>
      <c r="J59" s="100"/>
      <c r="K59" s="100">
        <f t="shared" si="1"/>
        <v>0</v>
      </c>
      <c r="L59" s="100">
        <f t="shared" si="1"/>
        <v>0</v>
      </c>
      <c r="M59" s="100">
        <f t="shared" si="1"/>
        <v>2</v>
      </c>
      <c r="N59" s="100">
        <f t="shared" si="1"/>
        <v>0</v>
      </c>
      <c r="O59" s="99">
        <f t="shared" si="2"/>
        <v>-110147.66389959703</v>
      </c>
      <c r="P59" s="99">
        <f t="shared" si="3"/>
        <v>-487807.24975096574</v>
      </c>
    </row>
    <row r="60" spans="3:16">
      <c r="C60" s="100">
        <v>0</v>
      </c>
      <c r="D60" s="100">
        <v>1</v>
      </c>
      <c r="E60" s="100">
        <v>0</v>
      </c>
      <c r="F60" s="100">
        <v>0</v>
      </c>
      <c r="G60" s="100">
        <v>-185116</v>
      </c>
      <c r="H60" s="100">
        <v>48888</v>
      </c>
      <c r="I60" s="100">
        <f t="shared" si="0"/>
        <v>0.9996156706529673</v>
      </c>
      <c r="J60" s="100"/>
      <c r="K60" s="100">
        <f t="shared" si="1"/>
        <v>0</v>
      </c>
      <c r="L60" s="100">
        <f t="shared" si="1"/>
        <v>1</v>
      </c>
      <c r="M60" s="100">
        <f t="shared" si="1"/>
        <v>0</v>
      </c>
      <c r="N60" s="100">
        <f t="shared" si="1"/>
        <v>0</v>
      </c>
      <c r="O60" s="99">
        <f t="shared" si="2"/>
        <v>-176033.83780171798</v>
      </c>
      <c r="P60" s="99">
        <f t="shared" si="3"/>
        <v>15064.202349368768</v>
      </c>
    </row>
    <row r="61" spans="3:16">
      <c r="C61" s="100">
        <v>0</v>
      </c>
      <c r="D61" s="100">
        <v>0</v>
      </c>
      <c r="E61" s="100">
        <v>0</v>
      </c>
      <c r="F61" s="100">
        <v>2</v>
      </c>
      <c r="G61" s="100">
        <v>-114332</v>
      </c>
      <c r="H61" s="100">
        <v>-3149</v>
      </c>
      <c r="I61" s="100">
        <f t="shared" si="0"/>
        <v>1</v>
      </c>
      <c r="J61" s="100"/>
      <c r="K61" s="100">
        <f t="shared" si="1"/>
        <v>0</v>
      </c>
      <c r="L61" s="100">
        <f t="shared" si="1"/>
        <v>0</v>
      </c>
      <c r="M61" s="100">
        <f t="shared" si="1"/>
        <v>0</v>
      </c>
      <c r="N61" s="100">
        <f t="shared" si="1"/>
        <v>2</v>
      </c>
      <c r="O61" s="99">
        <f t="shared" si="2"/>
        <v>114298.07223257789</v>
      </c>
      <c r="P61" s="99">
        <f t="shared" si="3"/>
        <v>-76.709504586224853</v>
      </c>
    </row>
    <row r="62" spans="3:16">
      <c r="C62" s="100">
        <v>2</v>
      </c>
      <c r="D62" s="100">
        <v>0</v>
      </c>
      <c r="E62" s="100">
        <v>-2</v>
      </c>
      <c r="F62" s="100">
        <v>0</v>
      </c>
      <c r="G62" s="100">
        <v>58793</v>
      </c>
      <c r="H62" s="100">
        <v>246158</v>
      </c>
      <c r="I62" s="100">
        <f t="shared" si="0"/>
        <v>0.9992314890149816</v>
      </c>
      <c r="J62" s="100"/>
      <c r="K62" s="100">
        <f t="shared" si="1"/>
        <v>2</v>
      </c>
      <c r="L62" s="100">
        <f t="shared" si="1"/>
        <v>0</v>
      </c>
      <c r="M62" s="100">
        <f t="shared" si="1"/>
        <v>-2</v>
      </c>
      <c r="N62" s="100">
        <f t="shared" si="1"/>
        <v>0</v>
      </c>
      <c r="O62" s="99">
        <f t="shared" si="2"/>
        <v>-25939.051513675498</v>
      </c>
      <c r="P62" s="99">
        <f t="shared" si="3"/>
        <v>220694.40059697581</v>
      </c>
    </row>
    <row r="63" spans="3:16">
      <c r="C63" s="100">
        <v>2</v>
      </c>
      <c r="D63" s="100">
        <v>-1</v>
      </c>
      <c r="E63" s="100">
        <v>-1</v>
      </c>
      <c r="F63" s="100">
        <v>0</v>
      </c>
      <c r="G63" s="100">
        <v>57066</v>
      </c>
      <c r="H63" s="100">
        <v>-152138</v>
      </c>
      <c r="I63" s="100">
        <f t="shared" si="0"/>
        <v>0.9996156706529673</v>
      </c>
      <c r="J63" s="100"/>
      <c r="K63" s="100">
        <f t="shared" si="1"/>
        <v>2</v>
      </c>
      <c r="L63" s="100">
        <f t="shared" si="1"/>
        <v>-1</v>
      </c>
      <c r="M63" s="100">
        <f t="shared" si="1"/>
        <v>-1</v>
      </c>
      <c r="N63" s="100">
        <f t="shared" si="1"/>
        <v>0</v>
      </c>
      <c r="O63" s="99">
        <f t="shared" si="2"/>
        <v>-52200.824351971634</v>
      </c>
      <c r="P63" s="99">
        <f t="shared" si="3"/>
        <v>61323.790811940526</v>
      </c>
    </row>
    <row r="64" spans="3:16">
      <c r="C64" s="100">
        <v>2</v>
      </c>
      <c r="D64" s="100">
        <v>0</v>
      </c>
      <c r="E64" s="100">
        <v>1</v>
      </c>
      <c r="F64" s="100">
        <v>0</v>
      </c>
      <c r="G64" s="100">
        <v>53322</v>
      </c>
      <c r="H64" s="100">
        <v>-170733</v>
      </c>
      <c r="I64" s="100">
        <f t="shared" si="0"/>
        <v>0.9996156706529673</v>
      </c>
      <c r="J64" s="100"/>
      <c r="K64" s="100">
        <f t="shared" si="1"/>
        <v>2</v>
      </c>
      <c r="L64" s="100">
        <f t="shared" si="1"/>
        <v>0</v>
      </c>
      <c r="M64" s="100">
        <f t="shared" si="1"/>
        <v>1</v>
      </c>
      <c r="N64" s="100">
        <f t="shared" si="1"/>
        <v>0</v>
      </c>
      <c r="O64" s="99">
        <f t="shared" si="2"/>
        <v>-50917.979570870455</v>
      </c>
      <c r="P64" s="99">
        <f t="shared" si="3"/>
        <v>-50465.614183586498</v>
      </c>
    </row>
    <row r="65" spans="3:16">
      <c r="C65" s="100">
        <v>2</v>
      </c>
      <c r="D65" s="100">
        <v>-1</v>
      </c>
      <c r="E65" s="100">
        <v>0</v>
      </c>
      <c r="F65" s="100">
        <v>0</v>
      </c>
      <c r="G65" s="100">
        <v>45758</v>
      </c>
      <c r="H65" s="100">
        <v>-204586</v>
      </c>
      <c r="I65" s="100">
        <f t="shared" si="0"/>
        <v>0.9996156706529673</v>
      </c>
      <c r="J65" s="100"/>
      <c r="K65" s="100">
        <f t="shared" si="1"/>
        <v>2</v>
      </c>
      <c r="L65" s="100">
        <f t="shared" si="1"/>
        <v>-1</v>
      </c>
      <c r="M65" s="100">
        <f t="shared" si="1"/>
        <v>0</v>
      </c>
      <c r="N65" s="100">
        <f t="shared" si="1"/>
        <v>0</v>
      </c>
      <c r="O65" s="99">
        <f t="shared" si="2"/>
        <v>-35388.898431998423</v>
      </c>
      <c r="P65" s="99">
        <f t="shared" si="3"/>
        <v>129568.59259858028</v>
      </c>
    </row>
    <row r="66" spans="3:16">
      <c r="C66" s="100">
        <v>0</v>
      </c>
      <c r="D66" s="100">
        <v>1</v>
      </c>
      <c r="E66" s="100">
        <v>-1</v>
      </c>
      <c r="F66" s="100">
        <v>0</v>
      </c>
      <c r="G66" s="100">
        <v>-40923</v>
      </c>
      <c r="H66" s="100">
        <v>-129620</v>
      </c>
      <c r="I66" s="100">
        <f t="shared" si="0"/>
        <v>0.9996156706529673</v>
      </c>
      <c r="J66" s="100"/>
      <c r="K66" s="100">
        <f t="shared" si="1"/>
        <v>0</v>
      </c>
      <c r="L66" s="100">
        <f t="shared" si="1"/>
        <v>1</v>
      </c>
      <c r="M66" s="100">
        <f t="shared" si="1"/>
        <v>-1</v>
      </c>
      <c r="N66" s="100">
        <f t="shared" si="1"/>
        <v>0</v>
      </c>
      <c r="O66" s="99">
        <f t="shared" si="2"/>
        <v>-40870.75555055069</v>
      </c>
      <c r="P66" s="99">
        <f t="shared" si="3"/>
        <v>-5473.5321992161289</v>
      </c>
    </row>
    <row r="67" spans="3:16">
      <c r="C67" s="100">
        <v>1</v>
      </c>
      <c r="D67" s="100">
        <v>0</v>
      </c>
      <c r="E67" s="100">
        <v>0</v>
      </c>
      <c r="F67" s="100">
        <v>0</v>
      </c>
      <c r="G67" s="100">
        <v>-34720</v>
      </c>
      <c r="H67" s="100">
        <v>108743</v>
      </c>
      <c r="I67" s="100">
        <f t="shared" si="0"/>
        <v>1</v>
      </c>
      <c r="J67" s="100"/>
      <c r="K67" s="100">
        <f t="shared" si="1"/>
        <v>1</v>
      </c>
      <c r="L67" s="100">
        <f t="shared" si="1"/>
        <v>0</v>
      </c>
      <c r="M67" s="100">
        <f t="shared" si="1"/>
        <v>0</v>
      </c>
      <c r="N67" s="100">
        <f t="shared" si="1"/>
        <v>0</v>
      </c>
      <c r="O67" s="99">
        <f t="shared" si="2"/>
        <v>16638.193256914259</v>
      </c>
      <c r="P67" s="99">
        <f t="shared" si="3"/>
        <v>95443.723482584232</v>
      </c>
    </row>
    <row r="68" spans="3:16">
      <c r="C68" s="100">
        <v>0</v>
      </c>
      <c r="D68" s="100">
        <v>1</v>
      </c>
      <c r="E68" s="100">
        <v>1</v>
      </c>
      <c r="F68" s="100">
        <v>0</v>
      </c>
      <c r="G68" s="100">
        <v>-30383</v>
      </c>
      <c r="H68" s="100">
        <v>104755</v>
      </c>
      <c r="I68" s="100">
        <f t="shared" si="0"/>
        <v>0.9996156706529673</v>
      </c>
      <c r="J68" s="100"/>
      <c r="K68" s="100">
        <f t="shared" si="1"/>
        <v>0</v>
      </c>
      <c r="L68" s="100">
        <f t="shared" si="1"/>
        <v>1</v>
      </c>
      <c r="M68" s="100">
        <f t="shared" si="1"/>
        <v>1</v>
      </c>
      <c r="N68" s="100">
        <f t="shared" si="1"/>
        <v>0</v>
      </c>
      <c r="O68" s="99">
        <f t="shared" si="2"/>
        <v>-25329.974790964265</v>
      </c>
      <c r="P68" s="99">
        <f t="shared" si="3"/>
        <v>57776.350878857018</v>
      </c>
    </row>
    <row r="69" spans="3:16">
      <c r="C69" s="100">
        <v>2</v>
      </c>
      <c r="D69" s="100">
        <v>0</v>
      </c>
      <c r="E69" s="100">
        <v>0</v>
      </c>
      <c r="F69" s="100">
        <v>-2</v>
      </c>
      <c r="G69" s="100">
        <v>15327</v>
      </c>
      <c r="H69" s="100">
        <v>10321</v>
      </c>
      <c r="I69" s="100">
        <f t="shared" si="0"/>
        <v>1</v>
      </c>
      <c r="J69" s="100"/>
      <c r="K69" s="100">
        <f t="shared" si="1"/>
        <v>2</v>
      </c>
      <c r="L69" s="100">
        <f t="shared" si="1"/>
        <v>0</v>
      </c>
      <c r="M69" s="100">
        <f t="shared" si="1"/>
        <v>0</v>
      </c>
      <c r="N69" s="100">
        <f t="shared" si="1"/>
        <v>-2</v>
      </c>
      <c r="O69" s="99">
        <f t="shared" si="2"/>
        <v>7970.9922578266105</v>
      </c>
      <c r="P69" s="99">
        <f t="shared" si="3"/>
        <v>8815.4595658751077</v>
      </c>
    </row>
    <row r="70" spans="3:16">
      <c r="C70" s="100">
        <v>0</v>
      </c>
      <c r="D70" s="100">
        <v>0</v>
      </c>
      <c r="E70" s="100">
        <v>1</v>
      </c>
      <c r="F70" s="100">
        <v>2</v>
      </c>
      <c r="G70" s="100">
        <v>-12528</v>
      </c>
      <c r="H70" s="100">
        <v>0</v>
      </c>
      <c r="I70" s="100">
        <f t="shared" si="0"/>
        <v>0.9996156706529673</v>
      </c>
      <c r="J70" s="100"/>
      <c r="K70" s="100">
        <f t="shared" si="1"/>
        <v>0</v>
      </c>
      <c r="L70" s="100">
        <f t="shared" si="1"/>
        <v>0</v>
      </c>
      <c r="M70" s="100">
        <f t="shared" si="1"/>
        <v>1</v>
      </c>
      <c r="N70" s="100">
        <f t="shared" si="1"/>
        <v>2</v>
      </c>
      <c r="O70" s="99">
        <f t="shared" si="2"/>
        <v>12143.905641106485</v>
      </c>
      <c r="P70" s="99">
        <f t="shared" si="3"/>
        <v>0</v>
      </c>
    </row>
    <row r="71" spans="3:16">
      <c r="C71" s="100">
        <v>0</v>
      </c>
      <c r="D71" s="100">
        <v>0</v>
      </c>
      <c r="E71" s="100">
        <v>1</v>
      </c>
      <c r="F71" s="100">
        <v>-2</v>
      </c>
      <c r="G71" s="100">
        <v>10980</v>
      </c>
      <c r="H71" s="100">
        <v>79661</v>
      </c>
      <c r="I71" s="100">
        <f t="shared" si="0"/>
        <v>0.9996156706529673</v>
      </c>
      <c r="J71" s="100"/>
      <c r="K71" s="100">
        <f t="shared" si="1"/>
        <v>0</v>
      </c>
      <c r="L71" s="100">
        <f t="shared" si="1"/>
        <v>0</v>
      </c>
      <c r="M71" s="100">
        <f t="shared" si="1"/>
        <v>1</v>
      </c>
      <c r="N71" s="100">
        <f t="shared" si="1"/>
        <v>-2</v>
      </c>
      <c r="O71" s="99">
        <f t="shared" si="2"/>
        <v>10500.16583975783</v>
      </c>
      <c r="P71" s="99">
        <f t="shared" si="3"/>
        <v>23187.129184782934</v>
      </c>
    </row>
    <row r="72" spans="3:16">
      <c r="C72" s="100">
        <v>4</v>
      </c>
      <c r="D72" s="100">
        <v>0</v>
      </c>
      <c r="E72" s="100">
        <v>-1</v>
      </c>
      <c r="F72" s="100">
        <v>0</v>
      </c>
      <c r="G72" s="100">
        <v>10675</v>
      </c>
      <c r="H72" s="100">
        <v>-34782</v>
      </c>
      <c r="I72" s="100">
        <f t="shared" si="0"/>
        <v>0.9996156706529673</v>
      </c>
      <c r="J72" s="100"/>
      <c r="K72" s="100">
        <f t="shared" si="1"/>
        <v>4</v>
      </c>
      <c r="L72" s="100">
        <f t="shared" si="1"/>
        <v>0</v>
      </c>
      <c r="M72" s="100">
        <f t="shared" si="1"/>
        <v>-1</v>
      </c>
      <c r="N72" s="100">
        <f t="shared" si="1"/>
        <v>0</v>
      </c>
      <c r="O72" s="99">
        <f t="shared" si="2"/>
        <v>-10539.45029748356</v>
      </c>
      <c r="P72" s="99">
        <f t="shared" si="3"/>
        <v>5440.4632029386139</v>
      </c>
    </row>
    <row r="73" spans="3:16">
      <c r="C73" s="100">
        <v>0</v>
      </c>
      <c r="D73" s="100">
        <v>0</v>
      </c>
      <c r="E73" s="100">
        <v>3</v>
      </c>
      <c r="F73" s="100">
        <v>0</v>
      </c>
      <c r="G73" s="100">
        <v>10034</v>
      </c>
      <c r="H73" s="100">
        <v>-23210</v>
      </c>
      <c r="I73" s="100">
        <f t="shared" si="0"/>
        <v>1</v>
      </c>
      <c r="J73" s="100"/>
      <c r="K73" s="100">
        <f t="shared" si="1"/>
        <v>0</v>
      </c>
      <c r="L73" s="100">
        <f t="shared" si="1"/>
        <v>0</v>
      </c>
      <c r="M73" s="100">
        <f t="shared" si="1"/>
        <v>3</v>
      </c>
      <c r="N73" s="100">
        <f t="shared" si="1"/>
        <v>0</v>
      </c>
      <c r="O73" s="99">
        <f t="shared" si="2"/>
        <v>-7290.3369769746159</v>
      </c>
      <c r="P73" s="99">
        <f t="shared" si="3"/>
        <v>-15947.578191578141</v>
      </c>
    </row>
    <row r="74" spans="3:16">
      <c r="C74" s="100">
        <v>4</v>
      </c>
      <c r="D74" s="100">
        <v>0</v>
      </c>
      <c r="E74" s="100">
        <v>-2</v>
      </c>
      <c r="F74" s="100">
        <v>0</v>
      </c>
      <c r="G74" s="100">
        <v>8548</v>
      </c>
      <c r="H74" s="100">
        <v>-21636</v>
      </c>
      <c r="I74" s="100">
        <f t="shared" si="0"/>
        <v>0.9992314890149816</v>
      </c>
      <c r="J74" s="100"/>
      <c r="K74" s="100">
        <f t="shared" si="1"/>
        <v>4</v>
      </c>
      <c r="L74" s="100">
        <f t="shared" si="1"/>
        <v>0</v>
      </c>
      <c r="M74" s="100">
        <f t="shared" si="1"/>
        <v>-2</v>
      </c>
      <c r="N74" s="100">
        <f t="shared" si="1"/>
        <v>0</v>
      </c>
      <c r="O74" s="99">
        <f t="shared" si="2"/>
        <v>-8486.0076241746156</v>
      </c>
      <c r="P74" s="99">
        <f t="shared" si="3"/>
        <v>-2458.8537437094851</v>
      </c>
    </row>
    <row r="75" spans="3:16">
      <c r="C75" s="100">
        <v>2</v>
      </c>
      <c r="D75" s="100">
        <v>1</v>
      </c>
      <c r="E75" s="100">
        <v>-1</v>
      </c>
      <c r="F75" s="100">
        <v>0</v>
      </c>
      <c r="G75" s="100">
        <v>-7888</v>
      </c>
      <c r="H75" s="100">
        <v>24208</v>
      </c>
      <c r="I75" s="100">
        <f t="shared" si="0"/>
        <v>0.9996156706529673</v>
      </c>
      <c r="J75" s="100"/>
      <c r="K75" s="100">
        <f t="shared" si="1"/>
        <v>2</v>
      </c>
      <c r="L75" s="100">
        <f t="shared" si="1"/>
        <v>1</v>
      </c>
      <c r="M75" s="100">
        <f t="shared" si="1"/>
        <v>-1</v>
      </c>
      <c r="N75" s="100">
        <f t="shared" si="1"/>
        <v>0</v>
      </c>
      <c r="O75" s="99">
        <f t="shared" si="2"/>
        <v>-3979.5115221373344</v>
      </c>
      <c r="P75" s="99">
        <f t="shared" si="3"/>
        <v>20890.666008885528</v>
      </c>
    </row>
    <row r="76" spans="3:16">
      <c r="C76" s="100">
        <v>2</v>
      </c>
      <c r="D76" s="100">
        <v>1</v>
      </c>
      <c r="E76" s="100">
        <v>0</v>
      </c>
      <c r="F76" s="100">
        <v>0</v>
      </c>
      <c r="G76" s="100">
        <v>-6766</v>
      </c>
      <c r="H76" s="100">
        <v>30824</v>
      </c>
      <c r="I76" s="100">
        <f t="shared" si="0"/>
        <v>0.9996156706529673</v>
      </c>
      <c r="J76" s="100"/>
      <c r="K76" s="100">
        <f t="shared" si="1"/>
        <v>2</v>
      </c>
      <c r="L76" s="100">
        <f t="shared" si="1"/>
        <v>1</v>
      </c>
      <c r="M76" s="100">
        <f t="shared" si="1"/>
        <v>0</v>
      </c>
      <c r="N76" s="100">
        <f t="shared" si="1"/>
        <v>0</v>
      </c>
      <c r="O76" s="99">
        <f t="shared" si="2"/>
        <v>-1725.1879979971936</v>
      </c>
      <c r="P76" s="99">
        <f t="shared" si="3"/>
        <v>29792.909929303107</v>
      </c>
    </row>
    <row r="77" spans="3:16">
      <c r="C77" s="100">
        <v>1</v>
      </c>
      <c r="D77" s="100">
        <v>0</v>
      </c>
      <c r="E77" s="100">
        <v>-1</v>
      </c>
      <c r="F77" s="100">
        <v>0</v>
      </c>
      <c r="G77" s="100">
        <v>-5163</v>
      </c>
      <c r="H77" s="100">
        <v>-8379</v>
      </c>
      <c r="I77" s="100">
        <f t="shared" si="0"/>
        <v>0.9996156706529673</v>
      </c>
      <c r="J77" s="100"/>
      <c r="K77" s="100">
        <f t="shared" si="1"/>
        <v>1</v>
      </c>
      <c r="L77" s="100">
        <f t="shared" si="1"/>
        <v>0</v>
      </c>
      <c r="M77" s="100">
        <f t="shared" si="1"/>
        <v>-1</v>
      </c>
      <c r="N77" s="100">
        <f t="shared" si="1"/>
        <v>0</v>
      </c>
      <c r="O77" s="99">
        <f t="shared" si="2"/>
        <v>1169.8246966373076</v>
      </c>
      <c r="P77" s="99">
        <f t="shared" si="3"/>
        <v>-8157.7802902454459</v>
      </c>
    </row>
    <row r="78" spans="3:16">
      <c r="C78" s="100">
        <v>1</v>
      </c>
      <c r="D78" s="100">
        <v>1</v>
      </c>
      <c r="E78" s="100">
        <v>0</v>
      </c>
      <c r="F78" s="100">
        <v>0</v>
      </c>
      <c r="G78" s="100">
        <v>4987</v>
      </c>
      <c r="H78" s="100">
        <v>-16675</v>
      </c>
      <c r="I78" s="100">
        <f t="shared" si="0"/>
        <v>0.9996156706529673</v>
      </c>
      <c r="J78" s="100"/>
      <c r="K78" s="100">
        <f t="shared" si="1"/>
        <v>1</v>
      </c>
      <c r="L78" s="100">
        <f t="shared" si="1"/>
        <v>1</v>
      </c>
      <c r="M78" s="100">
        <f t="shared" si="1"/>
        <v>0</v>
      </c>
      <c r="N78" s="100">
        <f t="shared" si="1"/>
        <v>0</v>
      </c>
      <c r="O78" s="99">
        <f t="shared" si="2"/>
        <v>3425.9477006812185</v>
      </c>
      <c r="P78" s="99">
        <f t="shared" si="3"/>
        <v>-12108.575199469758</v>
      </c>
    </row>
    <row r="79" spans="3:16">
      <c r="C79" s="100">
        <v>2</v>
      </c>
      <c r="D79" s="100">
        <v>-1</v>
      </c>
      <c r="E79" s="100">
        <v>1</v>
      </c>
      <c r="F79" s="100">
        <v>0</v>
      </c>
      <c r="G79" s="100">
        <v>4036</v>
      </c>
      <c r="H79" s="100">
        <v>-12831</v>
      </c>
      <c r="I79" s="100">
        <f t="shared" si="0"/>
        <v>0.9996156706529673</v>
      </c>
      <c r="J79" s="100"/>
      <c r="K79" s="100">
        <f t="shared" si="1"/>
        <v>2</v>
      </c>
      <c r="L79" s="100">
        <f t="shared" si="1"/>
        <v>-1</v>
      </c>
      <c r="M79" s="100">
        <f t="shared" si="1"/>
        <v>1</v>
      </c>
      <c r="N79" s="100">
        <f t="shared" si="1"/>
        <v>0</v>
      </c>
      <c r="O79" s="99">
        <f t="shared" si="2"/>
        <v>-2322.9040262262033</v>
      </c>
      <c r="P79" s="99">
        <f t="shared" si="3"/>
        <v>10486.767628577916</v>
      </c>
    </row>
    <row r="80" spans="3:16">
      <c r="C80" s="100">
        <v>2</v>
      </c>
      <c r="D80" s="100">
        <v>0</v>
      </c>
      <c r="E80" s="100">
        <v>2</v>
      </c>
      <c r="F80" s="100">
        <v>0</v>
      </c>
      <c r="G80" s="100">
        <v>3994</v>
      </c>
      <c r="H80" s="100">
        <v>-10445</v>
      </c>
      <c r="I80" s="100">
        <f t="shared" si="0"/>
        <v>0.9992314890149816</v>
      </c>
      <c r="J80" s="100"/>
      <c r="K80" s="100">
        <f t="shared" si="1"/>
        <v>2</v>
      </c>
      <c r="L80" s="100">
        <f t="shared" si="1"/>
        <v>0</v>
      </c>
      <c r="M80" s="100">
        <f t="shared" si="1"/>
        <v>2</v>
      </c>
      <c r="N80" s="100">
        <f t="shared" si="1"/>
        <v>0</v>
      </c>
      <c r="O80" s="99">
        <f t="shared" si="2"/>
        <v>-3989.2430669004516</v>
      </c>
      <c r="P80" s="99">
        <f t="shared" si="3"/>
        <v>-303.47888096104811</v>
      </c>
    </row>
    <row r="81" spans="3:16">
      <c r="C81" s="100">
        <v>4</v>
      </c>
      <c r="D81" s="100">
        <v>0</v>
      </c>
      <c r="E81" s="100">
        <v>0</v>
      </c>
      <c r="F81" s="100">
        <v>0</v>
      </c>
      <c r="G81" s="100">
        <v>3861</v>
      </c>
      <c r="H81" s="100">
        <v>-11650</v>
      </c>
      <c r="I81" s="100">
        <f t="shared" si="0"/>
        <v>1</v>
      </c>
      <c r="J81" s="100"/>
      <c r="K81" s="100">
        <f t="shared" si="1"/>
        <v>4</v>
      </c>
      <c r="L81" s="100">
        <f t="shared" si="1"/>
        <v>0</v>
      </c>
      <c r="M81" s="100">
        <f t="shared" si="1"/>
        <v>0</v>
      </c>
      <c r="N81" s="100">
        <f t="shared" si="1"/>
        <v>0</v>
      </c>
      <c r="O81" s="99">
        <f t="shared" si="2"/>
        <v>-3512.3694189362832</v>
      </c>
      <c r="P81" s="99">
        <f t="shared" si="3"/>
        <v>4837.7326081108358</v>
      </c>
    </row>
    <row r="82" spans="3:16">
      <c r="C82" s="100">
        <v>2</v>
      </c>
      <c r="D82" s="100">
        <v>0</v>
      </c>
      <c r="E82" s="100">
        <v>-3</v>
      </c>
      <c r="F82" s="100">
        <v>0</v>
      </c>
      <c r="G82" s="100">
        <v>3665</v>
      </c>
      <c r="H82" s="100">
        <v>14403</v>
      </c>
      <c r="I82" s="100">
        <f t="shared" si="0"/>
        <v>1</v>
      </c>
      <c r="J82" s="100"/>
      <c r="K82" s="100">
        <f t="shared" si="1"/>
        <v>2</v>
      </c>
      <c r="L82" s="100">
        <f t="shared" si="1"/>
        <v>0</v>
      </c>
      <c r="M82" s="100">
        <f t="shared" si="1"/>
        <v>-3</v>
      </c>
      <c r="N82" s="100">
        <f t="shared" si="1"/>
        <v>0</v>
      </c>
      <c r="O82" s="99">
        <f t="shared" si="2"/>
        <v>-678.49828637691451</v>
      </c>
      <c r="P82" s="99">
        <f t="shared" si="3"/>
        <v>14154.032650634297</v>
      </c>
    </row>
    <row r="83" spans="3:16">
      <c r="C83" s="100">
        <v>0</v>
      </c>
      <c r="D83" s="100">
        <v>1</v>
      </c>
      <c r="E83" s="100">
        <v>-2</v>
      </c>
      <c r="F83" s="100">
        <v>0</v>
      </c>
      <c r="G83" s="100">
        <v>-2689</v>
      </c>
      <c r="H83" s="100">
        <v>-7003</v>
      </c>
      <c r="I83" s="100">
        <f t="shared" si="0"/>
        <v>0.9992314890149816</v>
      </c>
      <c r="J83" s="100"/>
      <c r="K83" s="100">
        <f t="shared" si="1"/>
        <v>0</v>
      </c>
      <c r="L83" s="100">
        <f t="shared" si="1"/>
        <v>1</v>
      </c>
      <c r="M83" s="100">
        <f t="shared" si="1"/>
        <v>-2</v>
      </c>
      <c r="N83" s="100">
        <f t="shared" si="1"/>
        <v>0</v>
      </c>
      <c r="O83" s="99">
        <f t="shared" si="2"/>
        <v>-2616.8819843151814</v>
      </c>
      <c r="P83" s="99">
        <f t="shared" si="3"/>
        <v>1587.4359596301065</v>
      </c>
    </row>
    <row r="84" spans="3:16">
      <c r="C84" s="100">
        <v>2</v>
      </c>
      <c r="D84" s="100">
        <v>0</v>
      </c>
      <c r="E84" s="100">
        <v>-1</v>
      </c>
      <c r="F84" s="100">
        <v>2</v>
      </c>
      <c r="G84" s="100">
        <v>-2602</v>
      </c>
      <c r="H84" s="100">
        <v>0</v>
      </c>
      <c r="I84" s="100">
        <f t="shared" si="0"/>
        <v>0.9996156706529673</v>
      </c>
      <c r="J84" s="100"/>
      <c r="K84" s="100">
        <f t="shared" si="1"/>
        <v>2</v>
      </c>
      <c r="L84" s="100">
        <f t="shared" si="1"/>
        <v>0</v>
      </c>
      <c r="M84" s="100">
        <f t="shared" si="1"/>
        <v>-1</v>
      </c>
      <c r="N84" s="100">
        <f t="shared" si="1"/>
        <v>2</v>
      </c>
      <c r="O84" s="99">
        <f t="shared" si="2"/>
        <v>1982.5594508539239</v>
      </c>
      <c r="P84" s="99">
        <f t="shared" si="3"/>
        <v>0</v>
      </c>
    </row>
    <row r="85" spans="3:16">
      <c r="C85" s="100">
        <v>2</v>
      </c>
      <c r="D85" s="100">
        <v>-1</v>
      </c>
      <c r="E85" s="100">
        <v>-2</v>
      </c>
      <c r="F85" s="100">
        <v>0</v>
      </c>
      <c r="G85" s="100">
        <v>2390</v>
      </c>
      <c r="H85" s="100">
        <v>10056</v>
      </c>
      <c r="I85" s="100">
        <f t="shared" si="0"/>
        <v>0.9992314890149816</v>
      </c>
      <c r="J85" s="100"/>
      <c r="K85" s="100">
        <f t="shared" si="1"/>
        <v>2</v>
      </c>
      <c r="L85" s="100">
        <f t="shared" si="1"/>
        <v>-1</v>
      </c>
      <c r="M85" s="100">
        <f t="shared" si="1"/>
        <v>-2</v>
      </c>
      <c r="N85" s="100">
        <f t="shared" si="1"/>
        <v>0</v>
      </c>
      <c r="O85" s="99">
        <f t="shared" si="2"/>
        <v>-2363.4637224815287</v>
      </c>
      <c r="P85" s="99">
        <f t="shared" si="3"/>
        <v>-1441.4279311327196</v>
      </c>
    </row>
    <row r="86" spans="3:16">
      <c r="C86" s="100">
        <v>1</v>
      </c>
      <c r="D86" s="100">
        <v>0</v>
      </c>
      <c r="E86" s="100">
        <v>1</v>
      </c>
      <c r="F86" s="100">
        <v>0</v>
      </c>
      <c r="G86" s="100">
        <v>-2348</v>
      </c>
      <c r="H86" s="100">
        <v>6322</v>
      </c>
      <c r="I86" s="100">
        <f t="shared" si="0"/>
        <v>0.9996156706529673</v>
      </c>
      <c r="J86" s="100"/>
      <c r="K86" s="100">
        <f t="shared" si="1"/>
        <v>1</v>
      </c>
      <c r="L86" s="100">
        <f t="shared" si="1"/>
        <v>0</v>
      </c>
      <c r="M86" s="100">
        <f t="shared" si="1"/>
        <v>1</v>
      </c>
      <c r="N86" s="100">
        <f t="shared" si="1"/>
        <v>0</v>
      </c>
      <c r="O86" s="99">
        <f t="shared" si="2"/>
        <v>1635.3415844773012</v>
      </c>
      <c r="P86" s="99">
        <f t="shared" si="3"/>
        <v>4533.1130132248181</v>
      </c>
    </row>
    <row r="87" spans="3:16">
      <c r="C87" s="100">
        <v>2</v>
      </c>
      <c r="D87" s="100">
        <v>-2</v>
      </c>
      <c r="E87" s="100">
        <v>0</v>
      </c>
      <c r="F87" s="100">
        <v>0</v>
      </c>
      <c r="G87" s="100">
        <v>2236</v>
      </c>
      <c r="H87" s="100">
        <v>-9884</v>
      </c>
      <c r="I87" s="100">
        <f t="shared" si="0"/>
        <v>0.9992314890149816</v>
      </c>
      <c r="J87" s="100"/>
      <c r="K87" s="100">
        <f t="shared" si="1"/>
        <v>2</v>
      </c>
      <c r="L87" s="100">
        <f t="shared" si="1"/>
        <v>-2</v>
      </c>
      <c r="M87" s="100">
        <f t="shared" si="1"/>
        <v>0</v>
      </c>
      <c r="N87" s="100">
        <f t="shared" si="1"/>
        <v>0</v>
      </c>
      <c r="O87" s="99">
        <f t="shared" si="2"/>
        <v>813.76544579761617</v>
      </c>
      <c r="P87" s="99">
        <f t="shared" si="3"/>
        <v>9198.0308330895605</v>
      </c>
    </row>
    <row r="88" spans="3:16">
      <c r="C88" s="100">
        <v>0</v>
      </c>
      <c r="D88" s="100">
        <v>1</v>
      </c>
      <c r="E88" s="100">
        <v>2</v>
      </c>
      <c r="F88" s="100">
        <v>0</v>
      </c>
      <c r="G88" s="100">
        <v>-2120</v>
      </c>
      <c r="H88" s="100">
        <v>5751</v>
      </c>
      <c r="I88" s="100">
        <f t="shared" si="0"/>
        <v>0.9992314890149816</v>
      </c>
      <c r="J88" s="100"/>
      <c r="K88" s="100">
        <f t="shared" si="1"/>
        <v>0</v>
      </c>
      <c r="L88" s="100">
        <f t="shared" si="1"/>
        <v>1</v>
      </c>
      <c r="M88" s="100">
        <f t="shared" si="1"/>
        <v>2</v>
      </c>
      <c r="N88" s="100">
        <f t="shared" si="1"/>
        <v>0</v>
      </c>
      <c r="O88" s="99">
        <f t="shared" si="2"/>
        <v>-1389.2134039908115</v>
      </c>
      <c r="P88" s="99">
        <f t="shared" si="3"/>
        <v>4338.3260293910707</v>
      </c>
    </row>
    <row r="89" spans="3:16">
      <c r="C89" s="100">
        <v>0</v>
      </c>
      <c r="D89" s="100">
        <v>2</v>
      </c>
      <c r="E89" s="100">
        <v>0</v>
      </c>
      <c r="F89" s="100">
        <v>0</v>
      </c>
      <c r="G89" s="100">
        <v>-2069</v>
      </c>
      <c r="H89" s="100">
        <v>0</v>
      </c>
      <c r="I89" s="100">
        <f t="shared" si="0"/>
        <v>0.9992314890149816</v>
      </c>
      <c r="J89" s="100"/>
      <c r="K89" s="100">
        <f t="shared" si="1"/>
        <v>0</v>
      </c>
      <c r="L89" s="100">
        <f t="shared" si="1"/>
        <v>2</v>
      </c>
      <c r="M89" s="100">
        <f t="shared" si="1"/>
        <v>0</v>
      </c>
      <c r="N89" s="100">
        <f t="shared" si="1"/>
        <v>0</v>
      </c>
      <c r="O89" s="99">
        <f t="shared" si="2"/>
        <v>-1212.5134260876594</v>
      </c>
      <c r="P89" s="99">
        <f t="shared" si="3"/>
        <v>0</v>
      </c>
    </row>
    <row r="90" spans="3:16">
      <c r="C90" s="100">
        <v>2</v>
      </c>
      <c r="D90" s="100">
        <v>-2</v>
      </c>
      <c r="E90" s="100">
        <v>-1</v>
      </c>
      <c r="F90" s="100">
        <v>0</v>
      </c>
      <c r="G90" s="100">
        <v>2048</v>
      </c>
      <c r="H90" s="100">
        <v>-4950</v>
      </c>
      <c r="I90" s="100">
        <f t="shared" si="0"/>
        <v>0.9992314890149816</v>
      </c>
      <c r="J90" s="100"/>
      <c r="K90" s="100">
        <f t="shared" si="1"/>
        <v>2</v>
      </c>
      <c r="L90" s="100">
        <f t="shared" si="1"/>
        <v>-2</v>
      </c>
      <c r="M90" s="100">
        <f t="shared" si="1"/>
        <v>-1</v>
      </c>
      <c r="N90" s="100">
        <f t="shared" si="1"/>
        <v>0</v>
      </c>
      <c r="O90" s="99">
        <f t="shared" si="2"/>
        <v>207.74380441677954</v>
      </c>
      <c r="P90" s="99">
        <f t="shared" si="3"/>
        <v>4920.6436534698832</v>
      </c>
    </row>
    <row r="91" spans="3:16">
      <c r="C91" s="100">
        <v>2</v>
      </c>
      <c r="D91" s="100">
        <v>0</v>
      </c>
      <c r="E91" s="100">
        <v>1</v>
      </c>
      <c r="F91" s="100">
        <v>-2</v>
      </c>
      <c r="G91" s="100">
        <v>-1773</v>
      </c>
      <c r="H91" s="100">
        <v>4130</v>
      </c>
      <c r="I91" s="100">
        <f t="shared" si="0"/>
        <v>0.9996156706529673</v>
      </c>
      <c r="J91" s="100"/>
      <c r="K91" s="100">
        <f t="shared" si="1"/>
        <v>2</v>
      </c>
      <c r="L91" s="100">
        <f t="shared" si="1"/>
        <v>0</v>
      </c>
      <c r="M91" s="100">
        <f t="shared" si="1"/>
        <v>1</v>
      </c>
      <c r="N91" s="100">
        <f t="shared" si="1"/>
        <v>-2</v>
      </c>
      <c r="O91" s="99">
        <f t="shared" si="2"/>
        <v>-482.66852589592901</v>
      </c>
      <c r="P91" s="99">
        <f t="shared" si="3"/>
        <v>3972.3663007661353</v>
      </c>
    </row>
    <row r="92" spans="3:16">
      <c r="C92" s="100">
        <v>2</v>
      </c>
      <c r="D92" s="100">
        <v>0</v>
      </c>
      <c r="E92" s="100">
        <v>0</v>
      </c>
      <c r="F92" s="100">
        <v>2</v>
      </c>
      <c r="G92" s="100">
        <v>-1595</v>
      </c>
      <c r="H92" s="100">
        <v>0</v>
      </c>
      <c r="I92" s="100">
        <f t="shared" si="0"/>
        <v>1</v>
      </c>
      <c r="J92" s="100"/>
      <c r="K92" s="100">
        <f t="shared" si="1"/>
        <v>2</v>
      </c>
      <c r="L92" s="100">
        <f t="shared" si="1"/>
        <v>0</v>
      </c>
      <c r="M92" s="100">
        <f t="shared" si="1"/>
        <v>0</v>
      </c>
      <c r="N92" s="100">
        <f t="shared" si="1"/>
        <v>2</v>
      </c>
      <c r="O92" s="99">
        <f t="shared" si="2"/>
        <v>894.86777529905999</v>
      </c>
      <c r="P92" s="99">
        <f t="shared" si="3"/>
        <v>0</v>
      </c>
    </row>
    <row r="93" spans="3:16">
      <c r="C93" s="100">
        <v>4</v>
      </c>
      <c r="D93" s="100">
        <v>-1</v>
      </c>
      <c r="E93" s="100">
        <v>-1</v>
      </c>
      <c r="F93" s="100">
        <v>0</v>
      </c>
      <c r="G93" s="100">
        <v>1215</v>
      </c>
      <c r="H93" s="100">
        <v>-3958</v>
      </c>
      <c r="I93" s="100">
        <f t="shared" si="0"/>
        <v>0.9996156706529673</v>
      </c>
      <c r="J93" s="100"/>
      <c r="K93" s="100">
        <f t="shared" si="1"/>
        <v>4</v>
      </c>
      <c r="L93" s="100">
        <f t="shared" si="1"/>
        <v>-1</v>
      </c>
      <c r="M93" s="100">
        <f t="shared" si="1"/>
        <v>-1</v>
      </c>
      <c r="N93" s="100">
        <f t="shared" si="1"/>
        <v>0</v>
      </c>
      <c r="O93" s="99">
        <f t="shared" si="2"/>
        <v>-188.98370315320253</v>
      </c>
      <c r="P93" s="99">
        <f t="shared" si="3"/>
        <v>3908.2882762091899</v>
      </c>
    </row>
    <row r="94" spans="3:16">
      <c r="C94" s="100">
        <v>0</v>
      </c>
      <c r="D94" s="100">
        <v>0</v>
      </c>
      <c r="E94" s="100">
        <v>2</v>
      </c>
      <c r="F94" s="100">
        <v>2</v>
      </c>
      <c r="G94" s="100">
        <v>-1110</v>
      </c>
      <c r="H94" s="100">
        <v>0</v>
      </c>
      <c r="I94" s="100">
        <f t="shared" si="0"/>
        <v>0.9992314890149816</v>
      </c>
      <c r="J94" s="100"/>
      <c r="K94" s="100">
        <f t="shared" si="1"/>
        <v>0</v>
      </c>
      <c r="L94" s="100">
        <f t="shared" si="1"/>
        <v>0</v>
      </c>
      <c r="M94" s="100">
        <f t="shared" si="1"/>
        <v>2</v>
      </c>
      <c r="N94" s="100">
        <f t="shared" si="1"/>
        <v>2</v>
      </c>
      <c r="O94" s="99">
        <f t="shared" si="2"/>
        <v>963.7258933864324</v>
      </c>
      <c r="P94" s="99">
        <f t="shared" si="3"/>
        <v>0</v>
      </c>
    </row>
    <row r="95" spans="3:16">
      <c r="C95" s="100">
        <v>3</v>
      </c>
      <c r="D95" s="100">
        <v>0</v>
      </c>
      <c r="E95" s="100">
        <v>-1</v>
      </c>
      <c r="F95" s="100">
        <v>0</v>
      </c>
      <c r="G95" s="100">
        <v>-892</v>
      </c>
      <c r="H95" s="100">
        <v>3258</v>
      </c>
      <c r="I95" s="100">
        <f t="shared" si="0"/>
        <v>0.9996156706529673</v>
      </c>
      <c r="J95" s="100"/>
      <c r="K95" s="100">
        <f t="shared" si="1"/>
        <v>3</v>
      </c>
      <c r="L95" s="100">
        <f t="shared" si="1"/>
        <v>0</v>
      </c>
      <c r="M95" s="100">
        <f t="shared" si="1"/>
        <v>-1</v>
      </c>
      <c r="N95" s="100">
        <f t="shared" si="1"/>
        <v>0</v>
      </c>
      <c r="O95" s="99">
        <f t="shared" si="2"/>
        <v>839.82803681298287</v>
      </c>
      <c r="P95" s="99">
        <f t="shared" si="3"/>
        <v>1094.1645164589836</v>
      </c>
    </row>
    <row r="96" spans="3:16">
      <c r="C96" s="100">
        <v>2</v>
      </c>
      <c r="D96" s="100">
        <v>1</v>
      </c>
      <c r="E96" s="100">
        <v>1</v>
      </c>
      <c r="F96" s="100">
        <v>0</v>
      </c>
      <c r="G96" s="100">
        <v>-810</v>
      </c>
      <c r="H96" s="100">
        <v>2616</v>
      </c>
      <c r="I96" s="100">
        <f t="shared" si="0"/>
        <v>0.9996156706529673</v>
      </c>
      <c r="J96" s="100"/>
      <c r="K96" s="100">
        <f t="shared" si="1"/>
        <v>2</v>
      </c>
      <c r="L96" s="100">
        <f t="shared" si="1"/>
        <v>1</v>
      </c>
      <c r="M96" s="100">
        <f t="shared" si="1"/>
        <v>1</v>
      </c>
      <c r="N96" s="100">
        <f t="shared" si="1"/>
        <v>0</v>
      </c>
      <c r="O96" s="99">
        <f t="shared" si="2"/>
        <v>10.667299194589104</v>
      </c>
      <c r="P96" s="99">
        <f t="shared" si="3"/>
        <v>2614.7676432460098</v>
      </c>
    </row>
    <row r="97" spans="3:16">
      <c r="C97" s="100">
        <v>4</v>
      </c>
      <c r="D97" s="100">
        <v>-1</v>
      </c>
      <c r="E97" s="100">
        <v>-2</v>
      </c>
      <c r="F97" s="100">
        <v>0</v>
      </c>
      <c r="G97" s="100">
        <v>759</v>
      </c>
      <c r="H97" s="100">
        <v>-1897</v>
      </c>
      <c r="I97" s="100">
        <f t="shared" si="0"/>
        <v>0.9992314890149816</v>
      </c>
      <c r="J97" s="100"/>
      <c r="K97" s="100">
        <f t="shared" si="1"/>
        <v>4</v>
      </c>
      <c r="L97" s="100">
        <f t="shared" si="1"/>
        <v>-1</v>
      </c>
      <c r="M97" s="100">
        <f t="shared" si="1"/>
        <v>-2</v>
      </c>
      <c r="N97" s="100">
        <f t="shared" si="1"/>
        <v>0</v>
      </c>
      <c r="O97" s="99">
        <f t="shared" si="2"/>
        <v>-314.32632119045508</v>
      </c>
      <c r="P97" s="99">
        <f t="shared" si="3"/>
        <v>1725.0793885503911</v>
      </c>
    </row>
    <row r="98" spans="3:16">
      <c r="C98" s="100">
        <v>0</v>
      </c>
      <c r="D98" s="100">
        <v>2</v>
      </c>
      <c r="E98" s="100">
        <v>-1</v>
      </c>
      <c r="F98" s="100">
        <v>0</v>
      </c>
      <c r="G98" s="100">
        <v>-713</v>
      </c>
      <c r="H98" s="100">
        <v>-2117</v>
      </c>
      <c r="I98" s="100">
        <f t="shared" si="0"/>
        <v>0.9992314890149816</v>
      </c>
      <c r="J98" s="100"/>
      <c r="K98" s="100">
        <f t="shared" si="1"/>
        <v>0</v>
      </c>
      <c r="L98" s="100">
        <f t="shared" si="1"/>
        <v>2</v>
      </c>
      <c r="M98" s="100">
        <f t="shared" si="1"/>
        <v>-1</v>
      </c>
      <c r="N98" s="100">
        <f t="shared" si="1"/>
        <v>0</v>
      </c>
      <c r="O98" s="99">
        <f t="shared" si="2"/>
        <v>-248.05226595182123</v>
      </c>
      <c r="P98" s="99">
        <f t="shared" si="3"/>
        <v>1983.0195427410292</v>
      </c>
    </row>
    <row r="99" spans="3:16">
      <c r="C99" s="100">
        <v>2</v>
      </c>
      <c r="D99" s="100">
        <v>2</v>
      </c>
      <c r="E99" s="100">
        <v>-1</v>
      </c>
      <c r="F99" s="100">
        <v>0</v>
      </c>
      <c r="G99" s="100">
        <v>-700</v>
      </c>
      <c r="H99" s="100">
        <v>2354</v>
      </c>
      <c r="I99" s="100">
        <f t="shared" si="0"/>
        <v>0.9992314890149816</v>
      </c>
      <c r="J99" s="100"/>
      <c r="K99" s="100">
        <f t="shared" si="1"/>
        <v>2</v>
      </c>
      <c r="L99" s="100">
        <f t="shared" si="1"/>
        <v>2</v>
      </c>
      <c r="M99" s="100">
        <f t="shared" si="1"/>
        <v>-1</v>
      </c>
      <c r="N99" s="100">
        <f t="shared" si="1"/>
        <v>0</v>
      </c>
      <c r="O99" s="99">
        <f t="shared" si="2"/>
        <v>-683.25761096394478</v>
      </c>
      <c r="P99" s="99">
        <f t="shared" si="3"/>
        <v>-503.37585924698612</v>
      </c>
    </row>
    <row r="100" spans="3:16">
      <c r="C100" s="100">
        <v>2</v>
      </c>
      <c r="D100" s="100">
        <v>1</v>
      </c>
      <c r="E100" s="100">
        <v>-2</v>
      </c>
      <c r="F100" s="100">
        <v>0</v>
      </c>
      <c r="G100" s="100">
        <v>691</v>
      </c>
      <c r="H100" s="100">
        <v>0</v>
      </c>
      <c r="I100" s="100">
        <f t="shared" si="0"/>
        <v>0.9992314890149816</v>
      </c>
      <c r="J100" s="100"/>
      <c r="K100" s="100">
        <f t="shared" si="1"/>
        <v>2</v>
      </c>
      <c r="L100" s="100">
        <f t="shared" si="1"/>
        <v>1</v>
      </c>
      <c r="M100" s="100">
        <f t="shared" si="1"/>
        <v>-2</v>
      </c>
      <c r="N100" s="100">
        <f t="shared" si="1"/>
        <v>0</v>
      </c>
      <c r="O100" s="99">
        <f t="shared" si="2"/>
        <v>495.37563311345662</v>
      </c>
      <c r="P100" s="99">
        <f t="shared" si="3"/>
        <v>0</v>
      </c>
    </row>
    <row r="101" spans="3:16">
      <c r="C101" s="100">
        <v>2</v>
      </c>
      <c r="D101" s="100">
        <v>-1</v>
      </c>
      <c r="E101" s="100">
        <v>0</v>
      </c>
      <c r="F101" s="100">
        <v>-2</v>
      </c>
      <c r="G101" s="100">
        <v>596</v>
      </c>
      <c r="H101" s="100">
        <v>0</v>
      </c>
      <c r="I101" s="100">
        <f t="shared" si="0"/>
        <v>0.9996156706529673</v>
      </c>
      <c r="J101" s="100"/>
      <c r="K101" s="100">
        <f t="shared" si="1"/>
        <v>2</v>
      </c>
      <c r="L101" s="100">
        <f t="shared" si="1"/>
        <v>-1</v>
      </c>
      <c r="M101" s="100">
        <f t="shared" si="1"/>
        <v>0</v>
      </c>
      <c r="N101" s="100">
        <f t="shared" si="1"/>
        <v>-2</v>
      </c>
      <c r="O101" s="99">
        <f t="shared" si="2"/>
        <v>-388.5757817924341</v>
      </c>
      <c r="P101" s="99">
        <f t="shared" si="3"/>
        <v>0</v>
      </c>
    </row>
    <row r="102" spans="3:16">
      <c r="C102" s="100">
        <v>4</v>
      </c>
      <c r="D102" s="100">
        <v>0</v>
      </c>
      <c r="E102" s="100">
        <v>1</v>
      </c>
      <c r="F102" s="100">
        <v>0</v>
      </c>
      <c r="G102" s="100">
        <v>549</v>
      </c>
      <c r="H102" s="100">
        <v>-1423</v>
      </c>
      <c r="I102" s="100">
        <f t="shared" si="0"/>
        <v>0.9996156706529673</v>
      </c>
      <c r="J102" s="100"/>
      <c r="K102" s="100">
        <f t="shared" si="1"/>
        <v>4</v>
      </c>
      <c r="L102" s="100">
        <f t="shared" si="1"/>
        <v>0</v>
      </c>
      <c r="M102" s="100">
        <f t="shared" si="1"/>
        <v>1</v>
      </c>
      <c r="N102" s="100">
        <f t="shared" si="1"/>
        <v>0</v>
      </c>
      <c r="O102" s="99">
        <f t="shared" si="2"/>
        <v>-419.97497812877401</v>
      </c>
      <c r="P102" s="99">
        <f t="shared" si="3"/>
        <v>915.6365550763353</v>
      </c>
    </row>
    <row r="103" spans="3:16">
      <c r="C103" s="100">
        <v>0</v>
      </c>
      <c r="D103" s="100">
        <v>0</v>
      </c>
      <c r="E103" s="100">
        <v>4</v>
      </c>
      <c r="F103" s="100">
        <v>0</v>
      </c>
      <c r="G103" s="100">
        <v>537</v>
      </c>
      <c r="H103" s="100">
        <v>-1117</v>
      </c>
      <c r="I103" s="100">
        <f t="shared" si="0"/>
        <v>1</v>
      </c>
      <c r="J103" s="100"/>
      <c r="K103" s="100">
        <f t="shared" si="1"/>
        <v>0</v>
      </c>
      <c r="L103" s="100">
        <f t="shared" si="1"/>
        <v>0</v>
      </c>
      <c r="M103" s="100">
        <f t="shared" si="1"/>
        <v>4</v>
      </c>
      <c r="N103" s="100">
        <f t="shared" si="1"/>
        <v>0</v>
      </c>
      <c r="O103" s="99">
        <f t="shared" si="2"/>
        <v>-474.72275217953387</v>
      </c>
      <c r="P103" s="99">
        <f t="shared" si="3"/>
        <v>-522.12483580974356</v>
      </c>
    </row>
    <row r="104" spans="3:16">
      <c r="C104" s="100">
        <v>4</v>
      </c>
      <c r="D104" s="100">
        <v>-1</v>
      </c>
      <c r="E104" s="100">
        <v>0</v>
      </c>
      <c r="F104" s="100">
        <v>0</v>
      </c>
      <c r="G104" s="100">
        <v>520</v>
      </c>
      <c r="H104" s="100">
        <v>-1571</v>
      </c>
      <c r="I104" s="100">
        <f t="shared" si="0"/>
        <v>0.9996156706529673</v>
      </c>
      <c r="J104" s="100"/>
      <c r="K104" s="100">
        <f t="shared" si="1"/>
        <v>4</v>
      </c>
      <c r="L104" s="100">
        <f t="shared" si="1"/>
        <v>-1</v>
      </c>
      <c r="M104" s="100">
        <f t="shared" si="1"/>
        <v>0</v>
      </c>
      <c r="N104" s="100">
        <f t="shared" si="1"/>
        <v>0</v>
      </c>
      <c r="O104" s="99">
        <f t="shared" si="2"/>
        <v>59.575915854300042</v>
      </c>
      <c r="P104" s="99">
        <f t="shared" si="3"/>
        <v>1560.0476276705501</v>
      </c>
    </row>
    <row r="105" spans="3:16">
      <c r="C105" s="100">
        <v>1</v>
      </c>
      <c r="D105" s="100">
        <v>0</v>
      </c>
      <c r="E105" s="100">
        <v>-2</v>
      </c>
      <c r="F105" s="100">
        <v>0</v>
      </c>
      <c r="G105" s="100">
        <v>-487</v>
      </c>
      <c r="H105" s="100">
        <v>-1739</v>
      </c>
      <c r="I105" s="100">
        <f t="shared" si="0"/>
        <v>0.9992314890149816</v>
      </c>
      <c r="J105" s="100"/>
      <c r="K105" s="100">
        <f t="shared" si="1"/>
        <v>1</v>
      </c>
      <c r="L105" s="100">
        <f t="shared" si="1"/>
        <v>0</v>
      </c>
      <c r="M105" s="100">
        <f t="shared" si="1"/>
        <v>-2</v>
      </c>
      <c r="N105" s="100">
        <f t="shared" si="1"/>
        <v>0</v>
      </c>
      <c r="O105" s="99">
        <f t="shared" si="2"/>
        <v>-20.650831623713827</v>
      </c>
      <c r="P105" s="99">
        <f t="shared" si="3"/>
        <v>-1736.0981919287444</v>
      </c>
    </row>
    <row r="106" spans="3:16">
      <c r="C106" s="100">
        <v>2</v>
      </c>
      <c r="D106" s="100">
        <v>1</v>
      </c>
      <c r="E106" s="100">
        <v>0</v>
      </c>
      <c r="F106" s="100">
        <v>-2</v>
      </c>
      <c r="G106" s="100">
        <v>-399</v>
      </c>
      <c r="H106" s="100">
        <v>0</v>
      </c>
      <c r="I106" s="100">
        <f t="shared" si="0"/>
        <v>0.9996156706529673</v>
      </c>
      <c r="J106" s="100"/>
      <c r="K106" s="100">
        <f t="shared" si="1"/>
        <v>2</v>
      </c>
      <c r="L106" s="100">
        <f t="shared" si="1"/>
        <v>1</v>
      </c>
      <c r="M106" s="100">
        <f t="shared" si="1"/>
        <v>0</v>
      </c>
      <c r="N106" s="100">
        <f t="shared" si="1"/>
        <v>-2</v>
      </c>
      <c r="O106" s="99">
        <f t="shared" si="2"/>
        <v>-388.01695512772721</v>
      </c>
      <c r="P106" s="99">
        <f t="shared" si="3"/>
        <v>0</v>
      </c>
    </row>
    <row r="107" spans="3:16">
      <c r="C107" s="100">
        <v>0</v>
      </c>
      <c r="D107" s="100">
        <v>0</v>
      </c>
      <c r="E107" s="100">
        <v>2</v>
      </c>
      <c r="F107" s="100">
        <v>-2</v>
      </c>
      <c r="G107" s="100">
        <v>-381</v>
      </c>
      <c r="H107" s="100">
        <v>-4421</v>
      </c>
      <c r="I107" s="100">
        <f t="shared" si="0"/>
        <v>0.9992314890149816</v>
      </c>
      <c r="J107" s="100"/>
      <c r="K107" s="100">
        <f t="shared" si="1"/>
        <v>0</v>
      </c>
      <c r="L107" s="100">
        <f t="shared" si="1"/>
        <v>0</v>
      </c>
      <c r="M107" s="100">
        <f t="shared" si="1"/>
        <v>2</v>
      </c>
      <c r="N107" s="100">
        <f t="shared" si="1"/>
        <v>-2</v>
      </c>
      <c r="O107" s="99">
        <f t="shared" si="2"/>
        <v>-321.22114519163023</v>
      </c>
      <c r="P107" s="99">
        <f t="shared" si="3"/>
        <v>-2371.0979893542153</v>
      </c>
    </row>
    <row r="108" spans="3:16">
      <c r="C108" s="100">
        <v>1</v>
      </c>
      <c r="D108" s="100">
        <v>1</v>
      </c>
      <c r="E108" s="100">
        <v>1</v>
      </c>
      <c r="F108" s="100">
        <v>0</v>
      </c>
      <c r="G108" s="100">
        <v>351</v>
      </c>
      <c r="H108" s="100">
        <v>0</v>
      </c>
      <c r="I108" s="100">
        <f t="shared" si="0"/>
        <v>0.9996156706529673</v>
      </c>
      <c r="J108" s="100"/>
      <c r="K108" s="100">
        <f t="shared" si="1"/>
        <v>1</v>
      </c>
      <c r="L108" s="100">
        <f t="shared" si="1"/>
        <v>1</v>
      </c>
      <c r="M108" s="100">
        <f t="shared" si="1"/>
        <v>1</v>
      </c>
      <c r="N108" s="100">
        <f t="shared" si="1"/>
        <v>0</v>
      </c>
      <c r="O108" s="99">
        <f t="shared" si="2"/>
        <v>164.06653051358214</v>
      </c>
      <c r="P108" s="99">
        <f t="shared" si="3"/>
        <v>0</v>
      </c>
    </row>
    <row r="109" spans="3:16">
      <c r="C109" s="100">
        <v>3</v>
      </c>
      <c r="D109" s="100">
        <v>0</v>
      </c>
      <c r="E109" s="100">
        <v>-2</v>
      </c>
      <c r="F109" s="100">
        <v>0</v>
      </c>
      <c r="G109" s="100">
        <v>-340</v>
      </c>
      <c r="H109" s="100">
        <v>0</v>
      </c>
      <c r="I109" s="100">
        <f t="shared" si="0"/>
        <v>0.9992314890149816</v>
      </c>
      <c r="J109" s="100"/>
      <c r="K109" s="100">
        <f t="shared" si="1"/>
        <v>3</v>
      </c>
      <c r="L109" s="100">
        <f t="shared" si="1"/>
        <v>0</v>
      </c>
      <c r="M109" s="100">
        <f t="shared" si="1"/>
        <v>-2</v>
      </c>
      <c r="N109" s="100">
        <f t="shared" si="1"/>
        <v>0</v>
      </c>
      <c r="O109" s="99">
        <f t="shared" si="2"/>
        <v>277.73717606818383</v>
      </c>
      <c r="P109" s="99">
        <f t="shared" si="3"/>
        <v>0</v>
      </c>
    </row>
    <row r="110" spans="3:16">
      <c r="C110" s="100">
        <v>4</v>
      </c>
      <c r="D110" s="100">
        <v>0</v>
      </c>
      <c r="E110" s="100">
        <v>-3</v>
      </c>
      <c r="F110" s="100">
        <v>0</v>
      </c>
      <c r="G110" s="100">
        <v>330</v>
      </c>
      <c r="H110" s="100">
        <v>0</v>
      </c>
      <c r="I110" s="100">
        <f t="shared" si="0"/>
        <v>1</v>
      </c>
      <c r="J110" s="100"/>
      <c r="K110" s="100">
        <f t="shared" si="1"/>
        <v>4</v>
      </c>
      <c r="L110" s="100">
        <f t="shared" si="1"/>
        <v>0</v>
      </c>
      <c r="M110" s="100">
        <f t="shared" si="1"/>
        <v>-3</v>
      </c>
      <c r="N110" s="100">
        <f t="shared" si="1"/>
        <v>0</v>
      </c>
      <c r="O110" s="99">
        <f t="shared" si="2"/>
        <v>-305.83322155411656</v>
      </c>
      <c r="P110" s="99">
        <f t="shared" si="3"/>
        <v>0</v>
      </c>
    </row>
    <row r="111" spans="3:16">
      <c r="C111" s="100">
        <v>2</v>
      </c>
      <c r="D111" s="100">
        <v>-1</v>
      </c>
      <c r="E111" s="100">
        <v>2</v>
      </c>
      <c r="F111" s="100">
        <v>0</v>
      </c>
      <c r="G111" s="100">
        <v>327</v>
      </c>
      <c r="H111" s="100">
        <v>0</v>
      </c>
      <c r="I111" s="100">
        <f t="shared" si="0"/>
        <v>0.9992314890149816</v>
      </c>
      <c r="J111" s="100"/>
      <c r="K111" s="100">
        <f t="shared" si="1"/>
        <v>2</v>
      </c>
      <c r="L111" s="100">
        <f t="shared" si="1"/>
        <v>-1</v>
      </c>
      <c r="M111" s="100">
        <f t="shared" si="1"/>
        <v>2</v>
      </c>
      <c r="N111" s="100">
        <f t="shared" si="1"/>
        <v>0</v>
      </c>
      <c r="O111" s="99">
        <f t="shared" si="2"/>
        <v>-109.71779323017348</v>
      </c>
      <c r="P111" s="99">
        <f t="shared" si="3"/>
        <v>0</v>
      </c>
    </row>
    <row r="112" spans="3:16">
      <c r="C112" s="100">
        <v>0</v>
      </c>
      <c r="D112" s="100">
        <v>2</v>
      </c>
      <c r="E112" s="100">
        <v>1</v>
      </c>
      <c r="F112" s="100">
        <v>0</v>
      </c>
      <c r="G112" s="100">
        <v>-323</v>
      </c>
      <c r="H112" s="100">
        <v>1165</v>
      </c>
      <c r="I112" s="100">
        <f t="shared" si="0"/>
        <v>0.9992314890149816</v>
      </c>
      <c r="J112" s="100"/>
      <c r="K112" s="100">
        <f t="shared" si="1"/>
        <v>0</v>
      </c>
      <c r="L112" s="100">
        <f t="shared" si="1"/>
        <v>2</v>
      </c>
      <c r="M112" s="100">
        <f t="shared" si="1"/>
        <v>1</v>
      </c>
      <c r="N112" s="100">
        <f t="shared" si="1"/>
        <v>0</v>
      </c>
      <c r="O112" s="99">
        <f t="shared" si="2"/>
        <v>-252.3821180121019</v>
      </c>
      <c r="P112" s="99">
        <f t="shared" si="3"/>
        <v>-725.60553491523615</v>
      </c>
    </row>
    <row r="113" spans="3:16">
      <c r="C113" s="100">
        <v>1</v>
      </c>
      <c r="D113" s="100">
        <v>1</v>
      </c>
      <c r="E113" s="100">
        <v>-1</v>
      </c>
      <c r="F113" s="100">
        <v>0</v>
      </c>
      <c r="G113" s="100">
        <v>299</v>
      </c>
      <c r="H113" s="100">
        <v>0</v>
      </c>
      <c r="I113" s="100">
        <f t="shared" si="0"/>
        <v>0.9996156706529673</v>
      </c>
      <c r="J113" s="100"/>
      <c r="K113" s="100">
        <f t="shared" si="1"/>
        <v>1</v>
      </c>
      <c r="L113" s="100">
        <f t="shared" si="1"/>
        <v>1</v>
      </c>
      <c r="M113" s="100">
        <f t="shared" si="1"/>
        <v>-1</v>
      </c>
      <c r="N113" s="100">
        <f t="shared" si="1"/>
        <v>0</v>
      </c>
      <c r="O113" s="99">
        <f t="shared" si="2"/>
        <v>256.04671593800009</v>
      </c>
      <c r="P113" s="99">
        <f t="shared" si="3"/>
        <v>0</v>
      </c>
    </row>
    <row r="114" spans="3:16">
      <c r="C114" s="100">
        <v>2</v>
      </c>
      <c r="D114" s="100">
        <v>0</v>
      </c>
      <c r="E114" s="100">
        <v>3</v>
      </c>
      <c r="F114" s="100">
        <v>0</v>
      </c>
      <c r="G114" s="100">
        <v>294</v>
      </c>
      <c r="H114" s="100">
        <v>0</v>
      </c>
      <c r="I114" s="100">
        <f t="shared" si="0"/>
        <v>1</v>
      </c>
      <c r="J114" s="100"/>
      <c r="K114" s="100">
        <f t="shared" si="1"/>
        <v>2</v>
      </c>
      <c r="L114" s="100">
        <f t="shared" si="1"/>
        <v>0</v>
      </c>
      <c r="M114" s="100">
        <f t="shared" si="1"/>
        <v>3</v>
      </c>
      <c r="N114" s="100">
        <f t="shared" si="1"/>
        <v>0</v>
      </c>
      <c r="O114" s="99">
        <f t="shared" si="2"/>
        <v>-285.43154861389439</v>
      </c>
      <c r="P114" s="99">
        <f t="shared" si="3"/>
        <v>0</v>
      </c>
    </row>
    <row r="115" spans="3:16">
      <c r="C115" s="100">
        <v>2</v>
      </c>
      <c r="D115" s="100">
        <v>0</v>
      </c>
      <c r="E115" s="100">
        <v>-1</v>
      </c>
      <c r="F115" s="100">
        <v>-2</v>
      </c>
      <c r="G115" s="100">
        <v>0</v>
      </c>
      <c r="H115" s="100">
        <v>8752</v>
      </c>
      <c r="I115" s="100">
        <f t="shared" si="0"/>
        <v>0.9996156706529673</v>
      </c>
      <c r="J115" s="100"/>
      <c r="K115" s="100">
        <f t="shared" si="1"/>
        <v>2</v>
      </c>
      <c r="L115" s="100">
        <f t="shared" si="1"/>
        <v>0</v>
      </c>
      <c r="M115" s="100">
        <f t="shared" si="1"/>
        <v>-1</v>
      </c>
      <c r="N115" s="100">
        <f t="shared" si="1"/>
        <v>-2</v>
      </c>
      <c r="O115" s="99">
        <f t="shared" si="2"/>
        <v>0</v>
      </c>
      <c r="P115" s="99">
        <f t="shared" si="3"/>
        <v>5981.120216168566</v>
      </c>
    </row>
    <row r="116" spans="3:16">
      <c r="O116" s="99">
        <f>SUM(O56:O115)+D43</f>
        <v>-3480072.8655858976</v>
      </c>
      <c r="P116" s="99">
        <f>SUM(P56:P115)</f>
        <v>-24336043.535237297</v>
      </c>
    </row>
    <row r="117" spans="3:16">
      <c r="O117" s="99">
        <f>O116/1000000</f>
        <v>-3.4800728655858975</v>
      </c>
      <c r="P117" s="99">
        <f>P116/1000</f>
        <v>-24336.043535237299</v>
      </c>
    </row>
    <row r="118" spans="3:16">
      <c r="C118" s="100" t="s">
        <v>159</v>
      </c>
      <c r="D118" s="100" t="s">
        <v>32</v>
      </c>
      <c r="E118" s="100" t="s">
        <v>66</v>
      </c>
      <c r="F118" s="100" t="s">
        <v>160</v>
      </c>
      <c r="G118" s="100" t="s">
        <v>171</v>
      </c>
      <c r="I118" s="100" t="s">
        <v>166</v>
      </c>
      <c r="J118" s="100"/>
      <c r="K118" s="100" t="s">
        <v>159</v>
      </c>
      <c r="L118" s="100" t="s">
        <v>166</v>
      </c>
      <c r="M118" s="100" t="s">
        <v>165</v>
      </c>
      <c r="N118" s="100" t="s">
        <v>160</v>
      </c>
      <c r="O118" s="100" t="s">
        <v>172</v>
      </c>
    </row>
    <row r="119" spans="3:16">
      <c r="C119" s="100">
        <v>0</v>
      </c>
      <c r="D119" s="100">
        <v>0</v>
      </c>
      <c r="E119" s="100">
        <v>0</v>
      </c>
      <c r="F119" s="100">
        <v>1</v>
      </c>
      <c r="G119" s="100">
        <v>5128122</v>
      </c>
      <c r="I119" s="100">
        <f>IF(ABS(D119)=2,$D$48,IF(ABS(E119)=2,$D$48,IF(ABS(D119)=1,$D$47,IF(ABS(E119)=1,$D$47,1))))</f>
        <v>1</v>
      </c>
      <c r="J119" s="100"/>
      <c r="K119" s="100">
        <f>C119</f>
        <v>0</v>
      </c>
      <c r="L119" s="100">
        <f t="shared" ref="L119:N134" si="4">D119</f>
        <v>0</v>
      </c>
      <c r="M119" s="100">
        <f t="shared" si="4"/>
        <v>0</v>
      </c>
      <c r="N119" s="100">
        <f t="shared" si="4"/>
        <v>1</v>
      </c>
      <c r="O119" s="99">
        <f t="shared" ref="O119:O178" si="5">I119*G119*SIN(((K119*$D$9+L119*$D$10+M119*$D$11+N119*$D$12))*PI()/180)</f>
        <v>3581691.3590596272</v>
      </c>
    </row>
    <row r="120" spans="3:16">
      <c r="C120" s="100">
        <v>0</v>
      </c>
      <c r="D120" s="100">
        <v>0</v>
      </c>
      <c r="E120" s="100">
        <v>1</v>
      </c>
      <c r="F120" s="100">
        <v>1</v>
      </c>
      <c r="G120" s="100">
        <v>280602</v>
      </c>
      <c r="I120" s="100">
        <f t="shared" ref="I120:I178" si="6">IF(ABS(D120)=2,$D$48,IF(ABS(E120)=2,$D$48,IF(ABS(D120)=1,$D$47,IF(ABS(E120)=1,$D$47,1))))</f>
        <v>0.9996156706529673</v>
      </c>
      <c r="J120" s="100"/>
      <c r="K120" s="100">
        <f t="shared" ref="K120:N178" si="7">C120</f>
        <v>0</v>
      </c>
      <c r="L120" s="100">
        <f t="shared" si="4"/>
        <v>0</v>
      </c>
      <c r="M120" s="100">
        <f t="shared" si="4"/>
        <v>1</v>
      </c>
      <c r="N120" s="100">
        <f t="shared" si="4"/>
        <v>1</v>
      </c>
      <c r="O120" s="99">
        <f t="shared" si="5"/>
        <v>242510.39506577104</v>
      </c>
    </row>
    <row r="121" spans="3:16">
      <c r="C121" s="100">
        <v>0</v>
      </c>
      <c r="D121" s="100">
        <v>0</v>
      </c>
      <c r="E121" s="100">
        <v>1</v>
      </c>
      <c r="F121" s="100">
        <v>-1</v>
      </c>
      <c r="G121" s="100">
        <v>277693</v>
      </c>
      <c r="I121" s="100">
        <f t="shared" si="6"/>
        <v>0.9996156706529673</v>
      </c>
      <c r="J121" s="100"/>
      <c r="K121" s="100">
        <f t="shared" si="7"/>
        <v>0</v>
      </c>
      <c r="L121" s="100">
        <f t="shared" si="4"/>
        <v>0</v>
      </c>
      <c r="M121" s="100">
        <f t="shared" si="4"/>
        <v>1</v>
      </c>
      <c r="N121" s="100">
        <f t="shared" si="4"/>
        <v>-1</v>
      </c>
      <c r="O121" s="99">
        <f t="shared" si="5"/>
        <v>-133596.78927973527</v>
      </c>
    </row>
    <row r="122" spans="3:16">
      <c r="C122" s="100">
        <v>2</v>
      </c>
      <c r="D122" s="100">
        <v>0</v>
      </c>
      <c r="E122" s="100">
        <v>0</v>
      </c>
      <c r="F122" s="100">
        <v>-1</v>
      </c>
      <c r="G122" s="100">
        <v>173237</v>
      </c>
      <c r="I122" s="100">
        <f t="shared" si="6"/>
        <v>1</v>
      </c>
      <c r="J122" s="100"/>
      <c r="K122" s="100">
        <f t="shared" si="7"/>
        <v>2</v>
      </c>
      <c r="L122" s="100">
        <f t="shared" si="4"/>
        <v>0</v>
      </c>
      <c r="M122" s="100">
        <f t="shared" si="4"/>
        <v>0</v>
      </c>
      <c r="N122" s="100">
        <f t="shared" si="4"/>
        <v>-1</v>
      </c>
      <c r="O122" s="99">
        <f t="shared" si="5"/>
        <v>38868.643002870078</v>
      </c>
    </row>
    <row r="123" spans="3:16">
      <c r="C123" s="100">
        <v>2</v>
      </c>
      <c r="D123" s="100">
        <v>0</v>
      </c>
      <c r="E123" s="100">
        <v>-1</v>
      </c>
      <c r="F123" s="100">
        <v>1</v>
      </c>
      <c r="G123" s="100">
        <v>55413</v>
      </c>
      <c r="I123" s="100">
        <f t="shared" si="6"/>
        <v>0.9996156706529673</v>
      </c>
      <c r="J123" s="100"/>
      <c r="K123" s="100">
        <f t="shared" si="7"/>
        <v>2</v>
      </c>
      <c r="L123" s="100">
        <f t="shared" si="4"/>
        <v>0</v>
      </c>
      <c r="M123" s="100">
        <f t="shared" si="4"/>
        <v>-1</v>
      </c>
      <c r="N123" s="100">
        <f t="shared" si="4"/>
        <v>1</v>
      </c>
      <c r="O123" s="99">
        <f t="shared" si="5"/>
        <v>55259.240089681014</v>
      </c>
    </row>
    <row r="124" spans="3:16">
      <c r="C124" s="100">
        <v>2</v>
      </c>
      <c r="D124" s="100">
        <v>0</v>
      </c>
      <c r="E124" s="100">
        <v>-1</v>
      </c>
      <c r="F124" s="100">
        <v>-1</v>
      </c>
      <c r="G124" s="100">
        <v>46271</v>
      </c>
      <c r="I124" s="100">
        <f t="shared" si="6"/>
        <v>0.9996156706529673</v>
      </c>
      <c r="J124" s="100"/>
      <c r="K124" s="100">
        <f t="shared" si="7"/>
        <v>2</v>
      </c>
      <c r="L124" s="100">
        <f t="shared" si="4"/>
        <v>0</v>
      </c>
      <c r="M124" s="100">
        <f t="shared" si="4"/>
        <v>-1</v>
      </c>
      <c r="N124" s="100">
        <f t="shared" si="4"/>
        <v>-1</v>
      </c>
      <c r="O124" s="99">
        <f t="shared" si="5"/>
        <v>-2071.8688875314078</v>
      </c>
    </row>
    <row r="125" spans="3:16">
      <c r="C125" s="100">
        <v>2</v>
      </c>
      <c r="D125" s="100">
        <v>0</v>
      </c>
      <c r="E125" s="100">
        <v>0</v>
      </c>
      <c r="F125" s="100">
        <v>1</v>
      </c>
      <c r="G125" s="100">
        <v>32573</v>
      </c>
      <c r="I125" s="100">
        <f t="shared" si="6"/>
        <v>1</v>
      </c>
      <c r="J125" s="100"/>
      <c r="K125" s="100">
        <f t="shared" si="7"/>
        <v>2</v>
      </c>
      <c r="L125" s="100">
        <f t="shared" si="4"/>
        <v>0</v>
      </c>
      <c r="M125" s="100">
        <f t="shared" si="4"/>
        <v>0</v>
      </c>
      <c r="N125" s="100">
        <f t="shared" si="4"/>
        <v>1</v>
      </c>
      <c r="O125" s="99">
        <f t="shared" si="5"/>
        <v>31911.153631786696</v>
      </c>
    </row>
    <row r="126" spans="3:16">
      <c r="C126" s="100">
        <v>0</v>
      </c>
      <c r="D126" s="100">
        <v>0</v>
      </c>
      <c r="E126" s="100">
        <v>2</v>
      </c>
      <c r="F126" s="100">
        <v>1</v>
      </c>
      <c r="G126" s="100">
        <v>17198</v>
      </c>
      <c r="I126" s="100">
        <f t="shared" si="6"/>
        <v>0.9992314890149816</v>
      </c>
      <c r="J126" s="100"/>
      <c r="K126" s="100">
        <f t="shared" si="7"/>
        <v>0</v>
      </c>
      <c r="L126" s="100">
        <f t="shared" si="4"/>
        <v>0</v>
      </c>
      <c r="M126" s="100">
        <f t="shared" si="4"/>
        <v>2</v>
      </c>
      <c r="N126" s="100">
        <f t="shared" si="4"/>
        <v>1</v>
      </c>
      <c r="O126" s="99">
        <f t="shared" si="5"/>
        <v>16627.458577343601</v>
      </c>
    </row>
    <row r="127" spans="3:16">
      <c r="C127" s="100">
        <v>2</v>
      </c>
      <c r="D127" s="100">
        <v>0</v>
      </c>
      <c r="E127" s="100">
        <v>1</v>
      </c>
      <c r="F127" s="100">
        <v>-1</v>
      </c>
      <c r="G127" s="100">
        <v>9266</v>
      </c>
      <c r="I127" s="100">
        <f t="shared" si="6"/>
        <v>0.9996156706529673</v>
      </c>
      <c r="J127" s="100"/>
      <c r="K127" s="100">
        <f t="shared" si="7"/>
        <v>2</v>
      </c>
      <c r="L127" s="100">
        <f t="shared" si="4"/>
        <v>0</v>
      </c>
      <c r="M127" s="100">
        <f t="shared" si="4"/>
        <v>1</v>
      </c>
      <c r="N127" s="100">
        <f t="shared" si="4"/>
        <v>-1</v>
      </c>
      <c r="O127" s="99">
        <f t="shared" si="5"/>
        <v>4419.4648685502716</v>
      </c>
    </row>
    <row r="128" spans="3:16">
      <c r="C128" s="100">
        <v>0</v>
      </c>
      <c r="D128" s="100">
        <v>0</v>
      </c>
      <c r="E128" s="100">
        <v>2</v>
      </c>
      <c r="F128" s="100">
        <v>-1</v>
      </c>
      <c r="G128" s="100">
        <v>8822</v>
      </c>
      <c r="I128" s="100">
        <f t="shared" si="6"/>
        <v>0.9992314890149816</v>
      </c>
      <c r="J128" s="100"/>
      <c r="K128" s="100">
        <f t="shared" si="7"/>
        <v>0</v>
      </c>
      <c r="L128" s="100">
        <f t="shared" si="4"/>
        <v>0</v>
      </c>
      <c r="M128" s="100">
        <f t="shared" si="4"/>
        <v>2</v>
      </c>
      <c r="N128" s="100">
        <f t="shared" si="4"/>
        <v>-1</v>
      </c>
      <c r="O128" s="99">
        <f t="shared" si="5"/>
        <v>-2018.3597985981355</v>
      </c>
    </row>
    <row r="129" spans="3:15">
      <c r="C129" s="100">
        <v>2</v>
      </c>
      <c r="D129" s="100">
        <v>-1</v>
      </c>
      <c r="E129" s="100">
        <v>0</v>
      </c>
      <c r="F129" s="100">
        <v>-1</v>
      </c>
      <c r="G129" s="100">
        <v>8216</v>
      </c>
      <c r="I129" s="100">
        <f t="shared" si="6"/>
        <v>0.9996156706529673</v>
      </c>
      <c r="J129" s="100"/>
      <c r="K129" s="100">
        <f t="shared" si="7"/>
        <v>2</v>
      </c>
      <c r="L129" s="100">
        <f t="shared" si="4"/>
        <v>-1</v>
      </c>
      <c r="M129" s="100">
        <f t="shared" si="4"/>
        <v>0</v>
      </c>
      <c r="N129" s="100">
        <f t="shared" si="4"/>
        <v>-1</v>
      </c>
      <c r="O129" s="99">
        <f t="shared" si="5"/>
        <v>8181.7337733532586</v>
      </c>
    </row>
    <row r="130" spans="3:15">
      <c r="C130" s="100">
        <v>2</v>
      </c>
      <c r="D130" s="100">
        <v>0</v>
      </c>
      <c r="E130" s="100">
        <v>-2</v>
      </c>
      <c r="F130" s="100">
        <v>-1</v>
      </c>
      <c r="G130" s="100">
        <v>4324</v>
      </c>
      <c r="I130" s="100">
        <f t="shared" si="6"/>
        <v>0.9992314890149816</v>
      </c>
      <c r="J130" s="100"/>
      <c r="K130" s="100">
        <f t="shared" si="7"/>
        <v>2</v>
      </c>
      <c r="L130" s="100">
        <f t="shared" si="4"/>
        <v>0</v>
      </c>
      <c r="M130" s="100">
        <f t="shared" si="4"/>
        <v>-2</v>
      </c>
      <c r="N130" s="100">
        <f t="shared" si="4"/>
        <v>-1</v>
      </c>
      <c r="O130" s="99">
        <f t="shared" si="5"/>
        <v>-1342.3603456885153</v>
      </c>
    </row>
    <row r="131" spans="3:15">
      <c r="C131" s="100">
        <v>2</v>
      </c>
      <c r="D131" s="100">
        <v>0</v>
      </c>
      <c r="E131" s="100">
        <v>1</v>
      </c>
      <c r="F131" s="100">
        <v>1</v>
      </c>
      <c r="G131" s="100">
        <v>4200</v>
      </c>
      <c r="I131" s="100">
        <f t="shared" si="6"/>
        <v>0.9996156706529673</v>
      </c>
      <c r="J131" s="100"/>
      <c r="K131" s="100">
        <f t="shared" si="7"/>
        <v>2</v>
      </c>
      <c r="L131" s="100">
        <f t="shared" si="4"/>
        <v>0</v>
      </c>
      <c r="M131" s="100">
        <f t="shared" si="4"/>
        <v>1</v>
      </c>
      <c r="N131" s="100">
        <f t="shared" si="4"/>
        <v>1</v>
      </c>
      <c r="O131" s="99">
        <f t="shared" si="5"/>
        <v>3737.3630349133523</v>
      </c>
    </row>
    <row r="132" spans="3:15">
      <c r="C132" s="100">
        <v>2</v>
      </c>
      <c r="D132" s="100">
        <v>1</v>
      </c>
      <c r="E132" s="100">
        <v>0</v>
      </c>
      <c r="F132" s="100">
        <v>-1</v>
      </c>
      <c r="G132" s="100">
        <v>-3359</v>
      </c>
      <c r="I132" s="100">
        <f t="shared" si="6"/>
        <v>0.9996156706529673</v>
      </c>
      <c r="J132" s="100"/>
      <c r="K132" s="100">
        <f t="shared" si="7"/>
        <v>2</v>
      </c>
      <c r="L132" s="100">
        <f t="shared" si="4"/>
        <v>1</v>
      </c>
      <c r="M132" s="100">
        <f t="shared" si="4"/>
        <v>0</v>
      </c>
      <c r="N132" s="100">
        <f t="shared" si="4"/>
        <v>-1</v>
      </c>
      <c r="O132" s="99">
        <f t="shared" si="5"/>
        <v>2880.5368402473982</v>
      </c>
    </row>
    <row r="133" spans="3:15">
      <c r="C133" s="100">
        <v>2</v>
      </c>
      <c r="D133" s="100">
        <v>-1</v>
      </c>
      <c r="E133" s="100">
        <v>-1</v>
      </c>
      <c r="F133" s="100">
        <v>1</v>
      </c>
      <c r="G133" s="100">
        <v>2463</v>
      </c>
      <c r="I133" s="100">
        <f t="shared" si="6"/>
        <v>0.9996156706529673</v>
      </c>
      <c r="J133" s="100"/>
      <c r="K133" s="100">
        <f t="shared" si="7"/>
        <v>2</v>
      </c>
      <c r="L133" s="100">
        <f t="shared" si="4"/>
        <v>-1</v>
      </c>
      <c r="M133" s="100">
        <f t="shared" si="4"/>
        <v>-1</v>
      </c>
      <c r="N133" s="100">
        <f t="shared" si="4"/>
        <v>1</v>
      </c>
      <c r="O133" s="99">
        <f t="shared" si="5"/>
        <v>919.00790742250319</v>
      </c>
    </row>
    <row r="134" spans="3:15">
      <c r="C134" s="100">
        <v>2</v>
      </c>
      <c r="D134" s="100">
        <v>-1</v>
      </c>
      <c r="E134" s="100">
        <v>0</v>
      </c>
      <c r="F134" s="100">
        <v>1</v>
      </c>
      <c r="G134" s="100">
        <v>2211</v>
      </c>
      <c r="I134" s="100">
        <f t="shared" si="6"/>
        <v>0.9996156706529673</v>
      </c>
      <c r="J134" s="100"/>
      <c r="K134" s="100">
        <f t="shared" si="7"/>
        <v>2</v>
      </c>
      <c r="L134" s="100">
        <f t="shared" si="4"/>
        <v>-1</v>
      </c>
      <c r="M134" s="100">
        <f t="shared" si="4"/>
        <v>0</v>
      </c>
      <c r="N134" s="100">
        <f t="shared" si="4"/>
        <v>1</v>
      </c>
      <c r="O134" s="99">
        <f t="shared" si="5"/>
        <v>245.76275641784164</v>
      </c>
    </row>
    <row r="135" spans="3:15">
      <c r="C135" s="100">
        <v>2</v>
      </c>
      <c r="D135" s="100">
        <v>-1</v>
      </c>
      <c r="E135" s="100">
        <v>-1</v>
      </c>
      <c r="F135" s="100">
        <v>-1</v>
      </c>
      <c r="G135" s="100">
        <v>2065</v>
      </c>
      <c r="I135" s="100">
        <f t="shared" si="6"/>
        <v>0.9996156706529673</v>
      </c>
      <c r="J135" s="100"/>
      <c r="K135" s="100">
        <f t="shared" si="7"/>
        <v>2</v>
      </c>
      <c r="L135" s="100">
        <f t="shared" si="7"/>
        <v>-1</v>
      </c>
      <c r="M135" s="100">
        <f t="shared" si="7"/>
        <v>-1</v>
      </c>
      <c r="N135" s="100">
        <f t="shared" si="7"/>
        <v>-1</v>
      </c>
      <c r="O135" s="99">
        <f t="shared" si="5"/>
        <v>1933.213308571377</v>
      </c>
    </row>
    <row r="136" spans="3:15">
      <c r="C136" s="100">
        <v>0</v>
      </c>
      <c r="D136" s="100">
        <v>1</v>
      </c>
      <c r="E136" s="100">
        <v>-1</v>
      </c>
      <c r="F136" s="100">
        <v>-1</v>
      </c>
      <c r="G136" s="100">
        <v>-1870</v>
      </c>
      <c r="I136" s="100">
        <f t="shared" si="6"/>
        <v>0.9996156706529673</v>
      </c>
      <c r="J136" s="100"/>
      <c r="K136" s="100">
        <f t="shared" si="7"/>
        <v>0</v>
      </c>
      <c r="L136" s="100">
        <f t="shared" si="7"/>
        <v>1</v>
      </c>
      <c r="M136" s="100">
        <f t="shared" si="7"/>
        <v>-1</v>
      </c>
      <c r="N136" s="100">
        <f t="shared" si="7"/>
        <v>-1</v>
      </c>
      <c r="O136" s="99">
        <f t="shared" si="5"/>
        <v>1391.7424315865769</v>
      </c>
    </row>
    <row r="137" spans="3:15">
      <c r="C137" s="100">
        <v>4</v>
      </c>
      <c r="D137" s="100">
        <v>0</v>
      </c>
      <c r="E137" s="100">
        <v>-1</v>
      </c>
      <c r="F137" s="100">
        <v>-1</v>
      </c>
      <c r="G137" s="100">
        <v>1828</v>
      </c>
      <c r="I137" s="100">
        <f t="shared" si="6"/>
        <v>0.9996156706529673</v>
      </c>
      <c r="J137" s="100"/>
      <c r="K137" s="100">
        <f t="shared" si="7"/>
        <v>4</v>
      </c>
      <c r="L137" s="100">
        <f t="shared" si="7"/>
        <v>0</v>
      </c>
      <c r="M137" s="100">
        <f t="shared" si="7"/>
        <v>-1</v>
      </c>
      <c r="N137" s="100">
        <f t="shared" si="7"/>
        <v>-1</v>
      </c>
      <c r="O137" s="99">
        <f t="shared" si="5"/>
        <v>1491.3326031347256</v>
      </c>
    </row>
    <row r="138" spans="3:15">
      <c r="C138" s="100">
        <v>0</v>
      </c>
      <c r="D138" s="100">
        <v>1</v>
      </c>
      <c r="E138" s="100">
        <v>0</v>
      </c>
      <c r="F138" s="100">
        <v>1</v>
      </c>
      <c r="G138" s="100">
        <v>-1794</v>
      </c>
      <c r="I138" s="100">
        <f t="shared" si="6"/>
        <v>0.9996156706529673</v>
      </c>
      <c r="J138" s="100"/>
      <c r="K138" s="100">
        <f t="shared" si="7"/>
        <v>0</v>
      </c>
      <c r="L138" s="100">
        <f t="shared" si="7"/>
        <v>1</v>
      </c>
      <c r="M138" s="100">
        <f t="shared" si="7"/>
        <v>0</v>
      </c>
      <c r="N138" s="100">
        <f t="shared" si="7"/>
        <v>1</v>
      </c>
      <c r="O138" s="99">
        <f t="shared" si="5"/>
        <v>834.81970173889681</v>
      </c>
    </row>
    <row r="139" spans="3:15">
      <c r="C139" s="100">
        <v>0</v>
      </c>
      <c r="D139" s="100">
        <v>0</v>
      </c>
      <c r="E139" s="100">
        <v>0</v>
      </c>
      <c r="F139" s="100">
        <v>3</v>
      </c>
      <c r="G139" s="100">
        <v>-1749</v>
      </c>
      <c r="I139" s="100">
        <f t="shared" si="6"/>
        <v>1</v>
      </c>
      <c r="J139" s="100"/>
      <c r="K139" s="100">
        <f t="shared" si="7"/>
        <v>0</v>
      </c>
      <c r="L139" s="100">
        <f t="shared" si="7"/>
        <v>0</v>
      </c>
      <c r="M139" s="100">
        <f t="shared" si="7"/>
        <v>0</v>
      </c>
      <c r="N139" s="100">
        <f t="shared" si="7"/>
        <v>3</v>
      </c>
      <c r="O139" s="99">
        <f t="shared" si="5"/>
        <v>-1281.0885063776204</v>
      </c>
    </row>
    <row r="140" spans="3:15">
      <c r="C140" s="100">
        <v>0</v>
      </c>
      <c r="D140" s="100">
        <v>1</v>
      </c>
      <c r="E140" s="100">
        <v>-1</v>
      </c>
      <c r="F140" s="100">
        <v>1</v>
      </c>
      <c r="G140" s="100">
        <v>-1565</v>
      </c>
      <c r="I140" s="100">
        <f t="shared" si="6"/>
        <v>0.9996156706529673</v>
      </c>
      <c r="J140" s="100"/>
      <c r="K140" s="100">
        <f t="shared" si="7"/>
        <v>0</v>
      </c>
      <c r="L140" s="100">
        <f t="shared" si="7"/>
        <v>1</v>
      </c>
      <c r="M140" s="100">
        <f t="shared" si="7"/>
        <v>-1</v>
      </c>
      <c r="N140" s="100">
        <f t="shared" si="7"/>
        <v>1</v>
      </c>
      <c r="O140" s="99">
        <f t="shared" si="5"/>
        <v>1072.4325323974008</v>
      </c>
    </row>
    <row r="141" spans="3:15">
      <c r="C141" s="100">
        <v>1</v>
      </c>
      <c r="D141" s="100">
        <v>0</v>
      </c>
      <c r="E141" s="100">
        <v>0</v>
      </c>
      <c r="F141" s="100">
        <v>1</v>
      </c>
      <c r="G141" s="100">
        <v>-1491</v>
      </c>
      <c r="I141" s="100">
        <f t="shared" si="6"/>
        <v>1</v>
      </c>
      <c r="J141" s="100"/>
      <c r="K141" s="100">
        <f t="shared" si="7"/>
        <v>1</v>
      </c>
      <c r="L141" s="100">
        <f t="shared" si="7"/>
        <v>0</v>
      </c>
      <c r="M141" s="100">
        <f t="shared" si="7"/>
        <v>0</v>
      </c>
      <c r="N141" s="100">
        <f t="shared" si="7"/>
        <v>1</v>
      </c>
      <c r="O141" s="99">
        <f t="shared" si="5"/>
        <v>-1425.3620302203876</v>
      </c>
    </row>
    <row r="142" spans="3:15">
      <c r="C142" s="100">
        <v>0</v>
      </c>
      <c r="D142" s="100">
        <v>1</v>
      </c>
      <c r="E142" s="100">
        <v>1</v>
      </c>
      <c r="F142" s="100">
        <v>1</v>
      </c>
      <c r="G142" s="100">
        <v>-1475</v>
      </c>
      <c r="I142" s="100">
        <f t="shared" si="6"/>
        <v>0.9996156706529673</v>
      </c>
      <c r="J142" s="100"/>
      <c r="K142" s="100">
        <f t="shared" si="7"/>
        <v>0</v>
      </c>
      <c r="L142" s="100">
        <f t="shared" si="7"/>
        <v>1</v>
      </c>
      <c r="M142" s="100">
        <f t="shared" si="7"/>
        <v>1</v>
      </c>
      <c r="N142" s="100">
        <f t="shared" si="7"/>
        <v>1</v>
      </c>
      <c r="O142" s="99">
        <f t="shared" si="5"/>
        <v>311.85545377037397</v>
      </c>
    </row>
    <row r="143" spans="3:15">
      <c r="C143" s="100">
        <v>0</v>
      </c>
      <c r="D143" s="100">
        <v>1</v>
      </c>
      <c r="E143" s="100">
        <v>1</v>
      </c>
      <c r="F143" s="100">
        <v>-1</v>
      </c>
      <c r="G143" s="100">
        <v>-1410</v>
      </c>
      <c r="I143" s="100">
        <f t="shared" si="6"/>
        <v>0.9996156706529673</v>
      </c>
      <c r="J143" s="100"/>
      <c r="K143" s="100">
        <f t="shared" si="7"/>
        <v>0</v>
      </c>
      <c r="L143" s="100">
        <f t="shared" si="7"/>
        <v>1</v>
      </c>
      <c r="M143" s="100">
        <f t="shared" si="7"/>
        <v>1</v>
      </c>
      <c r="N143" s="100">
        <f t="shared" si="7"/>
        <v>-1</v>
      </c>
      <c r="O143" s="99">
        <f t="shared" si="5"/>
        <v>1384.4238936436379</v>
      </c>
    </row>
    <row r="144" spans="3:15">
      <c r="C144" s="100">
        <v>0</v>
      </c>
      <c r="D144" s="100">
        <v>1</v>
      </c>
      <c r="E144" s="100">
        <v>0</v>
      </c>
      <c r="F144" s="100">
        <v>-1</v>
      </c>
      <c r="G144" s="100">
        <v>-1344</v>
      </c>
      <c r="I144" s="100">
        <f t="shared" si="6"/>
        <v>0.9996156706529673</v>
      </c>
      <c r="J144" s="100"/>
      <c r="K144" s="100">
        <f t="shared" si="7"/>
        <v>0</v>
      </c>
      <c r="L144" s="100">
        <f t="shared" si="7"/>
        <v>1</v>
      </c>
      <c r="M144" s="100">
        <f t="shared" si="7"/>
        <v>0</v>
      </c>
      <c r="N144" s="100">
        <f t="shared" si="7"/>
        <v>-1</v>
      </c>
      <c r="O144" s="99">
        <f t="shared" si="5"/>
        <v>1203.9162091640569</v>
      </c>
    </row>
    <row r="145" spans="3:15">
      <c r="C145" s="100">
        <v>1</v>
      </c>
      <c r="D145" s="100">
        <v>0</v>
      </c>
      <c r="E145" s="100">
        <v>0</v>
      </c>
      <c r="F145" s="100">
        <v>-1</v>
      </c>
      <c r="G145" s="100">
        <v>-1335</v>
      </c>
      <c r="I145" s="100">
        <f t="shared" si="6"/>
        <v>1</v>
      </c>
      <c r="J145" s="100"/>
      <c r="K145" s="100">
        <f t="shared" si="7"/>
        <v>1</v>
      </c>
      <c r="L145" s="100">
        <f t="shared" si="7"/>
        <v>0</v>
      </c>
      <c r="M145" s="100">
        <f t="shared" si="7"/>
        <v>0</v>
      </c>
      <c r="N145" s="100">
        <f t="shared" si="7"/>
        <v>-1</v>
      </c>
      <c r="O145" s="99">
        <f t="shared" si="5"/>
        <v>360.53845284713901</v>
      </c>
    </row>
    <row r="146" spans="3:15">
      <c r="C146" s="100">
        <v>0</v>
      </c>
      <c r="D146" s="100">
        <v>0</v>
      </c>
      <c r="E146" s="100">
        <v>3</v>
      </c>
      <c r="F146" s="100">
        <v>1</v>
      </c>
      <c r="G146" s="100">
        <v>1107</v>
      </c>
      <c r="I146" s="100">
        <f t="shared" si="6"/>
        <v>1</v>
      </c>
      <c r="J146" s="100"/>
      <c r="K146" s="100">
        <f t="shared" si="7"/>
        <v>0</v>
      </c>
      <c r="L146" s="100">
        <f t="shared" si="7"/>
        <v>0</v>
      </c>
      <c r="M146" s="100">
        <f t="shared" si="7"/>
        <v>3</v>
      </c>
      <c r="N146" s="100">
        <f t="shared" si="7"/>
        <v>1</v>
      </c>
      <c r="O146" s="99">
        <f t="shared" si="5"/>
        <v>1106.8630895454066</v>
      </c>
    </row>
    <row r="147" spans="3:15">
      <c r="C147" s="100">
        <v>4</v>
      </c>
      <c r="D147" s="100">
        <v>0</v>
      </c>
      <c r="E147" s="100">
        <v>0</v>
      </c>
      <c r="F147" s="100">
        <v>-1</v>
      </c>
      <c r="G147" s="100">
        <v>1021</v>
      </c>
      <c r="I147" s="100">
        <f t="shared" si="6"/>
        <v>1</v>
      </c>
      <c r="J147" s="100"/>
      <c r="K147" s="100">
        <f t="shared" si="7"/>
        <v>4</v>
      </c>
      <c r="L147" s="100">
        <f t="shared" si="7"/>
        <v>0</v>
      </c>
      <c r="M147" s="100">
        <f t="shared" si="7"/>
        <v>0</v>
      </c>
      <c r="N147" s="100">
        <f t="shared" si="7"/>
        <v>-1</v>
      </c>
      <c r="O147" s="99">
        <f t="shared" si="5"/>
        <v>960.84053518911605</v>
      </c>
    </row>
    <row r="148" spans="3:15">
      <c r="C148" s="100">
        <v>4</v>
      </c>
      <c r="D148" s="100">
        <v>0</v>
      </c>
      <c r="E148" s="100">
        <v>-1</v>
      </c>
      <c r="F148" s="100">
        <v>1</v>
      </c>
      <c r="G148" s="100">
        <v>833</v>
      </c>
      <c r="I148" s="100">
        <f t="shared" si="6"/>
        <v>0.9996156706529673</v>
      </c>
      <c r="J148" s="100"/>
      <c r="K148" s="100">
        <f t="shared" si="7"/>
        <v>4</v>
      </c>
      <c r="L148" s="100">
        <f t="shared" si="7"/>
        <v>0</v>
      </c>
      <c r="M148" s="100">
        <f t="shared" si="7"/>
        <v>-1</v>
      </c>
      <c r="N148" s="100">
        <f t="shared" si="7"/>
        <v>1</v>
      </c>
      <c r="O148" s="99">
        <f t="shared" si="5"/>
        <v>497.57809727384182</v>
      </c>
    </row>
    <row r="149" spans="3:15">
      <c r="C149" s="100">
        <v>0</v>
      </c>
      <c r="D149" s="100">
        <v>0</v>
      </c>
      <c r="E149" s="100">
        <v>1</v>
      </c>
      <c r="F149" s="100">
        <v>-3</v>
      </c>
      <c r="G149" s="100">
        <v>777</v>
      </c>
      <c r="I149" s="100">
        <f t="shared" si="6"/>
        <v>0.9996156706529673</v>
      </c>
      <c r="J149" s="100"/>
      <c r="K149" s="100">
        <f t="shared" si="7"/>
        <v>0</v>
      </c>
      <c r="L149" s="100">
        <f t="shared" si="7"/>
        <v>0</v>
      </c>
      <c r="M149" s="100">
        <f t="shared" si="7"/>
        <v>1</v>
      </c>
      <c r="N149" s="100">
        <f t="shared" si="7"/>
        <v>-3</v>
      </c>
      <c r="O149" s="99">
        <f t="shared" si="5"/>
        <v>-689.73461381820573</v>
      </c>
    </row>
    <row r="150" spans="3:15">
      <c r="C150" s="100">
        <v>4</v>
      </c>
      <c r="D150" s="100">
        <v>0</v>
      </c>
      <c r="E150" s="100">
        <v>-2</v>
      </c>
      <c r="F150" s="100">
        <v>1</v>
      </c>
      <c r="G150" s="100">
        <v>671</v>
      </c>
      <c r="I150" s="100">
        <f t="shared" si="6"/>
        <v>0.9992314890149816</v>
      </c>
      <c r="J150" s="100"/>
      <c r="K150" s="100">
        <f t="shared" si="7"/>
        <v>4</v>
      </c>
      <c r="L150" s="100">
        <f t="shared" si="7"/>
        <v>0</v>
      </c>
      <c r="M150" s="100">
        <f t="shared" si="7"/>
        <v>-2</v>
      </c>
      <c r="N150" s="100">
        <f t="shared" si="7"/>
        <v>1</v>
      </c>
      <c r="O150" s="99">
        <f t="shared" si="5"/>
        <v>529.99110953579861</v>
      </c>
    </row>
    <row r="151" spans="3:15">
      <c r="C151" s="100">
        <v>2</v>
      </c>
      <c r="D151" s="100">
        <v>0</v>
      </c>
      <c r="E151" s="100">
        <v>0</v>
      </c>
      <c r="F151" s="100">
        <v>-3</v>
      </c>
      <c r="G151" s="100">
        <v>607</v>
      </c>
      <c r="I151" s="100">
        <f t="shared" si="6"/>
        <v>1</v>
      </c>
      <c r="J151" s="100"/>
      <c r="K151" s="100">
        <f t="shared" si="7"/>
        <v>2</v>
      </c>
      <c r="L151" s="100">
        <f t="shared" si="7"/>
        <v>0</v>
      </c>
      <c r="M151" s="100">
        <f t="shared" si="7"/>
        <v>0</v>
      </c>
      <c r="N151" s="100">
        <f t="shared" si="7"/>
        <v>-3</v>
      </c>
      <c r="O151" s="99">
        <f t="shared" si="5"/>
        <v>-588.03125071390832</v>
      </c>
    </row>
    <row r="152" spans="3:15">
      <c r="C152" s="100">
        <v>2</v>
      </c>
      <c r="D152" s="100">
        <v>0</v>
      </c>
      <c r="E152" s="100">
        <v>2</v>
      </c>
      <c r="F152" s="100">
        <v>-1</v>
      </c>
      <c r="G152" s="100">
        <v>596</v>
      </c>
      <c r="I152" s="100">
        <f t="shared" si="6"/>
        <v>0.9992314890149816</v>
      </c>
      <c r="J152" s="100"/>
      <c r="K152" s="100">
        <f t="shared" si="7"/>
        <v>2</v>
      </c>
      <c r="L152" s="100">
        <f t="shared" si="7"/>
        <v>0</v>
      </c>
      <c r="M152" s="100">
        <f t="shared" si="7"/>
        <v>2</v>
      </c>
      <c r="N152" s="100">
        <f t="shared" si="7"/>
        <v>-1</v>
      </c>
      <c r="O152" s="99">
        <f t="shared" si="5"/>
        <v>413.93509046699756</v>
      </c>
    </row>
    <row r="153" spans="3:15">
      <c r="C153" s="100">
        <v>2</v>
      </c>
      <c r="D153" s="100">
        <v>-1</v>
      </c>
      <c r="E153" s="100">
        <v>1</v>
      </c>
      <c r="F153" s="100">
        <v>-1</v>
      </c>
      <c r="G153" s="100">
        <v>491</v>
      </c>
      <c r="I153" s="100">
        <f t="shared" si="6"/>
        <v>0.9996156706529673</v>
      </c>
      <c r="J153" s="100"/>
      <c r="K153" s="100">
        <f t="shared" si="7"/>
        <v>2</v>
      </c>
      <c r="L153" s="100">
        <f t="shared" si="7"/>
        <v>-1</v>
      </c>
      <c r="M153" s="100">
        <f t="shared" si="7"/>
        <v>1</v>
      </c>
      <c r="N153" s="100">
        <f t="shared" si="7"/>
        <v>-1</v>
      </c>
      <c r="O153" s="99">
        <f t="shared" si="5"/>
        <v>482.52293647751526</v>
      </c>
    </row>
    <row r="154" spans="3:15">
      <c r="C154" s="100">
        <v>2</v>
      </c>
      <c r="D154" s="100">
        <v>0</v>
      </c>
      <c r="E154" s="100">
        <v>-2</v>
      </c>
      <c r="F154" s="100">
        <v>1</v>
      </c>
      <c r="G154" s="100">
        <v>-451</v>
      </c>
      <c r="I154" s="100">
        <f t="shared" si="6"/>
        <v>0.9992314890149816</v>
      </c>
      <c r="J154" s="100"/>
      <c r="K154" s="100">
        <f t="shared" si="7"/>
        <v>2</v>
      </c>
      <c r="L154" s="100">
        <f t="shared" si="7"/>
        <v>0</v>
      </c>
      <c r="M154" s="100">
        <f t="shared" si="7"/>
        <v>-2</v>
      </c>
      <c r="N154" s="100">
        <f t="shared" si="7"/>
        <v>1</v>
      </c>
      <c r="O154" s="99">
        <f t="shared" si="5"/>
        <v>-424.81444074532197</v>
      </c>
    </row>
    <row r="155" spans="3:15">
      <c r="C155" s="100">
        <v>0</v>
      </c>
      <c r="D155" s="100">
        <v>0</v>
      </c>
      <c r="E155" s="100">
        <v>3</v>
      </c>
      <c r="F155" s="100">
        <v>-1</v>
      </c>
      <c r="G155" s="100">
        <v>439</v>
      </c>
      <c r="I155" s="100">
        <f t="shared" si="6"/>
        <v>1</v>
      </c>
      <c r="J155" s="100"/>
      <c r="K155" s="100">
        <f t="shared" si="7"/>
        <v>0</v>
      </c>
      <c r="L155" s="100">
        <f t="shared" si="7"/>
        <v>0</v>
      </c>
      <c r="M155" s="100">
        <f t="shared" si="7"/>
        <v>3</v>
      </c>
      <c r="N155" s="100">
        <f t="shared" si="7"/>
        <v>-1</v>
      </c>
      <c r="O155" s="99">
        <f t="shared" si="5"/>
        <v>17.594805560122939</v>
      </c>
    </row>
    <row r="156" spans="3:15">
      <c r="C156" s="100">
        <v>2</v>
      </c>
      <c r="D156" s="100">
        <v>0</v>
      </c>
      <c r="E156" s="100">
        <v>2</v>
      </c>
      <c r="F156" s="100">
        <v>1</v>
      </c>
      <c r="G156" s="100">
        <v>422</v>
      </c>
      <c r="I156" s="100">
        <f t="shared" si="6"/>
        <v>0.9992314890149816</v>
      </c>
      <c r="J156" s="100"/>
      <c r="K156" s="100">
        <f t="shared" si="7"/>
        <v>2</v>
      </c>
      <c r="L156" s="100">
        <f t="shared" si="7"/>
        <v>0</v>
      </c>
      <c r="M156" s="100">
        <f t="shared" si="7"/>
        <v>2</v>
      </c>
      <c r="N156" s="100">
        <f t="shared" si="7"/>
        <v>1</v>
      </c>
      <c r="O156" s="99">
        <f t="shared" si="5"/>
        <v>310.21570212830756</v>
      </c>
    </row>
    <row r="157" spans="3:15">
      <c r="C157" s="100">
        <v>2</v>
      </c>
      <c r="D157" s="100">
        <v>0</v>
      </c>
      <c r="E157" s="100">
        <v>-3</v>
      </c>
      <c r="F157" s="100">
        <v>-1</v>
      </c>
      <c r="G157" s="100">
        <v>421</v>
      </c>
      <c r="I157" s="100">
        <f t="shared" si="6"/>
        <v>1</v>
      </c>
      <c r="J157" s="100"/>
      <c r="K157" s="100">
        <f t="shared" si="7"/>
        <v>2</v>
      </c>
      <c r="L157" s="100">
        <f t="shared" si="7"/>
        <v>0</v>
      </c>
      <c r="M157" s="100">
        <f t="shared" si="7"/>
        <v>-3</v>
      </c>
      <c r="N157" s="100">
        <f t="shared" si="7"/>
        <v>-1</v>
      </c>
      <c r="O157" s="99">
        <f t="shared" si="5"/>
        <v>-233.18226615858907</v>
      </c>
    </row>
    <row r="158" spans="3:15">
      <c r="C158" s="100">
        <v>2</v>
      </c>
      <c r="D158" s="100">
        <v>1</v>
      </c>
      <c r="E158" s="100">
        <v>-1</v>
      </c>
      <c r="F158" s="100">
        <v>1</v>
      </c>
      <c r="G158" s="100">
        <v>-366</v>
      </c>
      <c r="I158" s="100">
        <f t="shared" si="6"/>
        <v>0.9996156706529673</v>
      </c>
      <c r="J158" s="100"/>
      <c r="K158" s="100">
        <f t="shared" si="7"/>
        <v>2</v>
      </c>
      <c r="L158" s="100">
        <f t="shared" si="7"/>
        <v>1</v>
      </c>
      <c r="M158" s="100">
        <f t="shared" si="7"/>
        <v>-1</v>
      </c>
      <c r="N158" s="100">
        <f t="shared" si="7"/>
        <v>1</v>
      </c>
      <c r="O158" s="99">
        <f t="shared" si="5"/>
        <v>-88.452998291942649</v>
      </c>
    </row>
    <row r="159" spans="3:15">
      <c r="C159" s="100">
        <v>2</v>
      </c>
      <c r="D159" s="100">
        <v>1</v>
      </c>
      <c r="E159" s="100">
        <v>0</v>
      </c>
      <c r="F159" s="100">
        <v>1</v>
      </c>
      <c r="G159" s="100">
        <v>-351</v>
      </c>
      <c r="I159" s="100">
        <f t="shared" si="6"/>
        <v>0.9996156706529673</v>
      </c>
      <c r="J159" s="100"/>
      <c r="K159" s="100">
        <f t="shared" si="7"/>
        <v>2</v>
      </c>
      <c r="L159" s="100">
        <f t="shared" si="7"/>
        <v>1</v>
      </c>
      <c r="M159" s="100">
        <f t="shared" si="7"/>
        <v>0</v>
      </c>
      <c r="N159" s="100">
        <f t="shared" si="7"/>
        <v>1</v>
      </c>
      <c r="O159" s="99">
        <f t="shared" si="5"/>
        <v>-172.90171162401313</v>
      </c>
    </row>
    <row r="160" spans="3:15">
      <c r="C160" s="100">
        <v>4</v>
      </c>
      <c r="D160" s="100">
        <v>0</v>
      </c>
      <c r="E160" s="100">
        <v>0</v>
      </c>
      <c r="F160" s="100">
        <v>1</v>
      </c>
      <c r="G160" s="100">
        <v>331</v>
      </c>
      <c r="I160" s="100">
        <f t="shared" si="6"/>
        <v>1</v>
      </c>
      <c r="J160" s="100"/>
      <c r="K160" s="100">
        <f t="shared" si="7"/>
        <v>4</v>
      </c>
      <c r="L160" s="100">
        <f t="shared" si="7"/>
        <v>0</v>
      </c>
      <c r="M160" s="100">
        <f t="shared" si="7"/>
        <v>0</v>
      </c>
      <c r="N160" s="100">
        <f t="shared" si="7"/>
        <v>1</v>
      </c>
      <c r="O160" s="99">
        <f t="shared" si="5"/>
        <v>119.49567669502903</v>
      </c>
    </row>
    <row r="161" spans="3:15">
      <c r="C161" s="100">
        <v>2</v>
      </c>
      <c r="D161" s="100">
        <v>-1</v>
      </c>
      <c r="E161" s="100">
        <v>1</v>
      </c>
      <c r="F161" s="100">
        <v>1</v>
      </c>
      <c r="G161" s="100">
        <v>315</v>
      </c>
      <c r="I161" s="100">
        <f t="shared" si="6"/>
        <v>0.9996156706529673</v>
      </c>
      <c r="J161" s="100"/>
      <c r="K161" s="100">
        <f t="shared" si="7"/>
        <v>2</v>
      </c>
      <c r="L161" s="100">
        <f t="shared" si="7"/>
        <v>-1</v>
      </c>
      <c r="M161" s="100">
        <f t="shared" si="7"/>
        <v>1</v>
      </c>
      <c r="N161" s="100">
        <f t="shared" si="7"/>
        <v>1</v>
      </c>
      <c r="O161" s="99">
        <f t="shared" si="5"/>
        <v>-50.064787472763733</v>
      </c>
    </row>
    <row r="162" spans="3:15">
      <c r="C162" s="100">
        <v>2</v>
      </c>
      <c r="D162" s="100">
        <v>-2</v>
      </c>
      <c r="E162" s="100">
        <v>0</v>
      </c>
      <c r="F162" s="100">
        <v>-1</v>
      </c>
      <c r="G162" s="100">
        <v>302</v>
      </c>
      <c r="I162" s="100">
        <f t="shared" si="6"/>
        <v>0.9992314890149816</v>
      </c>
      <c r="J162" s="100"/>
      <c r="K162" s="100">
        <f t="shared" si="7"/>
        <v>2</v>
      </c>
      <c r="L162" s="100">
        <f t="shared" si="7"/>
        <v>-2</v>
      </c>
      <c r="M162" s="100">
        <f t="shared" si="7"/>
        <v>0</v>
      </c>
      <c r="N162" s="100">
        <f t="shared" si="7"/>
        <v>-1</v>
      </c>
      <c r="O162" s="99">
        <f t="shared" si="5"/>
        <v>117.6318127222245</v>
      </c>
    </row>
    <row r="163" spans="3:15">
      <c r="C163" s="100">
        <v>0</v>
      </c>
      <c r="D163" s="100">
        <v>0</v>
      </c>
      <c r="E163" s="100">
        <v>1</v>
      </c>
      <c r="F163" s="100">
        <v>3</v>
      </c>
      <c r="G163" s="100">
        <v>-283</v>
      </c>
      <c r="I163" s="100">
        <f t="shared" si="6"/>
        <v>0.9996156706529673</v>
      </c>
      <c r="J163" s="100"/>
      <c r="K163" s="100">
        <f t="shared" si="7"/>
        <v>0</v>
      </c>
      <c r="L163" s="100">
        <f t="shared" si="7"/>
        <v>0</v>
      </c>
      <c r="M163" s="100">
        <f t="shared" si="7"/>
        <v>1</v>
      </c>
      <c r="N163" s="100">
        <f t="shared" si="7"/>
        <v>3</v>
      </c>
      <c r="O163" s="99">
        <f t="shared" si="5"/>
        <v>-148.06601815900021</v>
      </c>
    </row>
    <row r="164" spans="3:15">
      <c r="C164" s="100">
        <v>2</v>
      </c>
      <c r="D164" s="100">
        <v>1</v>
      </c>
      <c r="E164" s="100">
        <v>1</v>
      </c>
      <c r="F164" s="100">
        <v>-1</v>
      </c>
      <c r="G164" s="100">
        <v>-229</v>
      </c>
      <c r="I164" s="100">
        <f t="shared" si="6"/>
        <v>0.9996156706529673</v>
      </c>
      <c r="J164" s="100"/>
      <c r="K164" s="100">
        <f t="shared" si="7"/>
        <v>2</v>
      </c>
      <c r="L164" s="100">
        <f t="shared" si="7"/>
        <v>1</v>
      </c>
      <c r="M164" s="100">
        <f t="shared" si="7"/>
        <v>1</v>
      </c>
      <c r="N164" s="100">
        <f t="shared" si="7"/>
        <v>-1</v>
      </c>
      <c r="O164" s="99">
        <f t="shared" si="5"/>
        <v>157.70935165085797</v>
      </c>
    </row>
    <row r="165" spans="3:15">
      <c r="C165" s="100">
        <v>1</v>
      </c>
      <c r="D165" s="100">
        <v>1</v>
      </c>
      <c r="E165" s="100">
        <v>0</v>
      </c>
      <c r="F165" s="100">
        <v>-1</v>
      </c>
      <c r="G165" s="100">
        <v>223</v>
      </c>
      <c r="I165" s="100">
        <f t="shared" si="6"/>
        <v>0.9996156706529673</v>
      </c>
      <c r="J165" s="100"/>
      <c r="K165" s="100">
        <f t="shared" si="7"/>
        <v>1</v>
      </c>
      <c r="L165" s="100">
        <f t="shared" si="7"/>
        <v>1</v>
      </c>
      <c r="M165" s="100">
        <f t="shared" si="7"/>
        <v>0</v>
      </c>
      <c r="N165" s="100">
        <f t="shared" si="7"/>
        <v>-1</v>
      </c>
      <c r="O165" s="99">
        <f t="shared" si="5"/>
        <v>-222.73690541227822</v>
      </c>
    </row>
    <row r="166" spans="3:15">
      <c r="C166" s="100">
        <v>1</v>
      </c>
      <c r="D166" s="100">
        <v>1</v>
      </c>
      <c r="E166" s="100">
        <v>0</v>
      </c>
      <c r="F166" s="100">
        <v>1</v>
      </c>
      <c r="G166" s="100">
        <v>223</v>
      </c>
      <c r="I166" s="100">
        <f t="shared" si="6"/>
        <v>0.9996156706529673</v>
      </c>
      <c r="J166" s="100"/>
      <c r="K166" s="100">
        <f t="shared" si="7"/>
        <v>1</v>
      </c>
      <c r="L166" s="100">
        <f t="shared" si="7"/>
        <v>1</v>
      </c>
      <c r="M166" s="100">
        <f t="shared" si="7"/>
        <v>0</v>
      </c>
      <c r="N166" s="100">
        <f t="shared" si="7"/>
        <v>1</v>
      </c>
      <c r="O166" s="99">
        <f t="shared" si="5"/>
        <v>3.4627140127601752</v>
      </c>
    </row>
    <row r="167" spans="3:15">
      <c r="C167" s="100">
        <v>0</v>
      </c>
      <c r="D167" s="100">
        <v>1</v>
      </c>
      <c r="E167" s="100">
        <v>-2</v>
      </c>
      <c r="F167" s="100">
        <v>-1</v>
      </c>
      <c r="G167" s="100">
        <v>-220</v>
      </c>
      <c r="I167" s="100">
        <f t="shared" si="6"/>
        <v>0.9992314890149816</v>
      </c>
      <c r="J167" s="100"/>
      <c r="K167" s="100">
        <f t="shared" si="7"/>
        <v>0</v>
      </c>
      <c r="L167" s="100">
        <f t="shared" si="7"/>
        <v>1</v>
      </c>
      <c r="M167" s="100">
        <f t="shared" si="7"/>
        <v>-2</v>
      </c>
      <c r="N167" s="100">
        <f t="shared" si="7"/>
        <v>-1</v>
      </c>
      <c r="O167" s="99">
        <f t="shared" si="5"/>
        <v>118.39329255055605</v>
      </c>
    </row>
    <row r="168" spans="3:15">
      <c r="C168" s="100">
        <v>2</v>
      </c>
      <c r="D168" s="100">
        <v>1</v>
      </c>
      <c r="E168" s="100">
        <v>-1</v>
      </c>
      <c r="F168" s="100">
        <v>-1</v>
      </c>
      <c r="G168" s="100">
        <v>-220</v>
      </c>
      <c r="I168" s="100">
        <f t="shared" si="6"/>
        <v>0.9996156706529673</v>
      </c>
      <c r="J168" s="100"/>
      <c r="K168" s="100">
        <f t="shared" si="7"/>
        <v>2</v>
      </c>
      <c r="L168" s="100">
        <f t="shared" si="7"/>
        <v>1</v>
      </c>
      <c r="M168" s="100">
        <f t="shared" si="7"/>
        <v>-1</v>
      </c>
      <c r="N168" s="100">
        <f t="shared" si="7"/>
        <v>-1</v>
      </c>
      <c r="O168" s="99">
        <f t="shared" si="5"/>
        <v>212.03296145350626</v>
      </c>
    </row>
    <row r="169" spans="3:15">
      <c r="C169" s="100">
        <v>1</v>
      </c>
      <c r="D169" s="100">
        <v>0</v>
      </c>
      <c r="E169" s="100">
        <v>1</v>
      </c>
      <c r="F169" s="100">
        <v>1</v>
      </c>
      <c r="G169" s="100">
        <v>-185</v>
      </c>
      <c r="I169" s="100">
        <f t="shared" si="6"/>
        <v>0.9996156706529673</v>
      </c>
      <c r="J169" s="100"/>
      <c r="K169" s="100">
        <f t="shared" si="7"/>
        <v>1</v>
      </c>
      <c r="L169" s="100">
        <f t="shared" si="7"/>
        <v>0</v>
      </c>
      <c r="M169" s="100">
        <f t="shared" si="7"/>
        <v>1</v>
      </c>
      <c r="N169" s="100">
        <f t="shared" si="7"/>
        <v>1</v>
      </c>
      <c r="O169" s="99">
        <f t="shared" si="5"/>
        <v>-184.86287795097354</v>
      </c>
    </row>
    <row r="170" spans="3:15">
      <c r="C170" s="100">
        <v>2</v>
      </c>
      <c r="D170" s="100">
        <v>-1</v>
      </c>
      <c r="E170" s="100">
        <v>-2</v>
      </c>
      <c r="F170" s="100">
        <v>-1</v>
      </c>
      <c r="G170" s="100">
        <v>181</v>
      </c>
      <c r="I170" s="100">
        <f t="shared" si="6"/>
        <v>0.9992314890149816</v>
      </c>
      <c r="J170" s="100"/>
      <c r="K170" s="100">
        <f t="shared" si="7"/>
        <v>2</v>
      </c>
      <c r="L170" s="100">
        <f t="shared" si="7"/>
        <v>-1</v>
      </c>
      <c r="M170" s="100">
        <f t="shared" si="7"/>
        <v>-2</v>
      </c>
      <c r="N170" s="100">
        <f t="shared" si="7"/>
        <v>-1</v>
      </c>
      <c r="O170" s="99">
        <f t="shared" si="5"/>
        <v>146.2183216968987</v>
      </c>
    </row>
    <row r="171" spans="3:15">
      <c r="C171" s="100">
        <v>0</v>
      </c>
      <c r="D171" s="100">
        <v>1</v>
      </c>
      <c r="E171" s="100">
        <v>2</v>
      </c>
      <c r="F171" s="100">
        <v>1</v>
      </c>
      <c r="G171" s="100">
        <v>-177</v>
      </c>
      <c r="I171" s="100">
        <f t="shared" si="6"/>
        <v>0.9992314890149816</v>
      </c>
      <c r="J171" s="100"/>
      <c r="K171" s="100">
        <f t="shared" si="7"/>
        <v>0</v>
      </c>
      <c r="L171" s="100">
        <f t="shared" si="7"/>
        <v>1</v>
      </c>
      <c r="M171" s="100">
        <f t="shared" si="7"/>
        <v>2</v>
      </c>
      <c r="N171" s="100">
        <f t="shared" si="7"/>
        <v>1</v>
      </c>
      <c r="O171" s="99">
        <f t="shared" si="5"/>
        <v>-10.249533727398573</v>
      </c>
    </row>
    <row r="172" spans="3:15">
      <c r="C172" s="100">
        <v>4</v>
      </c>
      <c r="D172" s="100">
        <v>0</v>
      </c>
      <c r="E172" s="100">
        <v>-2</v>
      </c>
      <c r="F172" s="100">
        <v>-1</v>
      </c>
      <c r="G172" s="100">
        <v>176</v>
      </c>
      <c r="I172" s="100">
        <f t="shared" si="6"/>
        <v>0.9992314890149816</v>
      </c>
      <c r="J172" s="100"/>
      <c r="K172" s="100">
        <f t="shared" si="7"/>
        <v>4</v>
      </c>
      <c r="L172" s="100">
        <f t="shared" si="7"/>
        <v>0</v>
      </c>
      <c r="M172" s="100">
        <f t="shared" si="7"/>
        <v>-2</v>
      </c>
      <c r="N172" s="100">
        <f t="shared" si="7"/>
        <v>-1</v>
      </c>
      <c r="O172" s="99">
        <f t="shared" si="5"/>
        <v>111.07394594372953</v>
      </c>
    </row>
    <row r="173" spans="3:15">
      <c r="C173" s="100">
        <v>4</v>
      </c>
      <c r="D173" s="100">
        <v>-1</v>
      </c>
      <c r="E173" s="100">
        <v>-1</v>
      </c>
      <c r="F173" s="100">
        <v>-1</v>
      </c>
      <c r="G173" s="100">
        <v>166</v>
      </c>
      <c r="I173" s="100">
        <f t="shared" si="6"/>
        <v>0.9996156706529673</v>
      </c>
      <c r="J173" s="100"/>
      <c r="K173" s="100">
        <f t="shared" si="7"/>
        <v>4</v>
      </c>
      <c r="L173" s="100">
        <f t="shared" si="7"/>
        <v>-1</v>
      </c>
      <c r="M173" s="100">
        <f t="shared" si="7"/>
        <v>-1</v>
      </c>
      <c r="N173" s="100">
        <f t="shared" si="7"/>
        <v>-1</v>
      </c>
      <c r="O173" s="99">
        <f t="shared" si="5"/>
        <v>132.96356090439014</v>
      </c>
    </row>
    <row r="174" spans="3:15">
      <c r="C174" s="100">
        <v>1</v>
      </c>
      <c r="D174" s="100">
        <v>0</v>
      </c>
      <c r="E174" s="100">
        <v>1</v>
      </c>
      <c r="F174" s="100">
        <v>-1</v>
      </c>
      <c r="G174" s="100">
        <v>-164</v>
      </c>
      <c r="I174" s="100">
        <f t="shared" si="6"/>
        <v>0.9996156706529673</v>
      </c>
      <c r="J174" s="100"/>
      <c r="K174" s="100">
        <f t="shared" si="7"/>
        <v>1</v>
      </c>
      <c r="L174" s="100">
        <f t="shared" si="7"/>
        <v>0</v>
      </c>
      <c r="M174" s="100">
        <f t="shared" si="7"/>
        <v>1</v>
      </c>
      <c r="N174" s="100">
        <f t="shared" si="7"/>
        <v>-1</v>
      </c>
      <c r="O174" s="99">
        <f t="shared" si="5"/>
        <v>0.38681068011804093</v>
      </c>
    </row>
    <row r="175" spans="3:15">
      <c r="C175" s="100">
        <v>4</v>
      </c>
      <c r="D175" s="100">
        <v>0</v>
      </c>
      <c r="E175" s="100">
        <v>1</v>
      </c>
      <c r="F175" s="100">
        <v>-1</v>
      </c>
      <c r="G175" s="100">
        <v>132</v>
      </c>
      <c r="I175" s="100">
        <f t="shared" si="6"/>
        <v>0.9996156706529673</v>
      </c>
      <c r="J175" s="100"/>
      <c r="K175" s="100">
        <f t="shared" si="7"/>
        <v>4</v>
      </c>
      <c r="L175" s="100">
        <f t="shared" si="7"/>
        <v>0</v>
      </c>
      <c r="M175" s="100">
        <f t="shared" si="7"/>
        <v>1</v>
      </c>
      <c r="N175" s="100">
        <f t="shared" si="7"/>
        <v>-1</v>
      </c>
      <c r="O175" s="99">
        <f t="shared" si="5"/>
        <v>131.58922434946155</v>
      </c>
    </row>
    <row r="176" spans="3:15">
      <c r="C176" s="100">
        <v>1</v>
      </c>
      <c r="D176" s="100">
        <v>0</v>
      </c>
      <c r="E176" s="100">
        <v>-1</v>
      </c>
      <c r="F176" s="100">
        <v>-1</v>
      </c>
      <c r="G176" s="100">
        <v>-119</v>
      </c>
      <c r="I176" s="100">
        <f t="shared" si="6"/>
        <v>0.9996156706529673</v>
      </c>
      <c r="J176" s="100"/>
      <c r="K176" s="100">
        <f t="shared" si="7"/>
        <v>1</v>
      </c>
      <c r="L176" s="100">
        <f t="shared" si="7"/>
        <v>0</v>
      </c>
      <c r="M176" s="100">
        <f t="shared" si="7"/>
        <v>-1</v>
      </c>
      <c r="N176" s="100">
        <f t="shared" si="7"/>
        <v>-1</v>
      </c>
      <c r="O176" s="99">
        <f t="shared" si="5"/>
        <v>61.623704749639508</v>
      </c>
    </row>
    <row r="177" spans="3:15">
      <c r="C177" s="100">
        <v>4</v>
      </c>
      <c r="D177" s="100">
        <v>-1</v>
      </c>
      <c r="E177" s="100">
        <v>0</v>
      </c>
      <c r="F177" s="100">
        <v>-1</v>
      </c>
      <c r="G177" s="100">
        <v>115</v>
      </c>
      <c r="I177" s="100">
        <f t="shared" si="6"/>
        <v>0.9996156706529673</v>
      </c>
      <c r="J177" s="100"/>
      <c r="K177" s="100">
        <f t="shared" si="7"/>
        <v>4</v>
      </c>
      <c r="L177" s="100">
        <f t="shared" si="7"/>
        <v>-1</v>
      </c>
      <c r="M177" s="100">
        <f t="shared" si="7"/>
        <v>0</v>
      </c>
      <c r="N177" s="100">
        <f t="shared" si="7"/>
        <v>-1</v>
      </c>
      <c r="O177" s="99">
        <f t="shared" si="5"/>
        <v>70.331530920130419</v>
      </c>
    </row>
    <row r="178" spans="3:15">
      <c r="C178" s="100">
        <v>2</v>
      </c>
      <c r="D178" s="100">
        <v>-2</v>
      </c>
      <c r="E178" s="100">
        <v>0</v>
      </c>
      <c r="F178" s="100">
        <v>1</v>
      </c>
      <c r="G178" s="100">
        <v>107</v>
      </c>
      <c r="I178" s="100">
        <f t="shared" si="6"/>
        <v>0.9992314890149816</v>
      </c>
      <c r="J178" s="100"/>
      <c r="K178" s="100">
        <f t="shared" si="7"/>
        <v>2</v>
      </c>
      <c r="L178" s="100">
        <f t="shared" si="7"/>
        <v>-2</v>
      </c>
      <c r="M178" s="100">
        <f t="shared" si="7"/>
        <v>0</v>
      </c>
      <c r="N178" s="100">
        <f t="shared" si="7"/>
        <v>1</v>
      </c>
      <c r="O178" s="99">
        <f t="shared" si="5"/>
        <v>-97.415642424994402</v>
      </c>
    </row>
    <row r="179" spans="3:15">
      <c r="G179" s="99"/>
      <c r="O179" s="99">
        <f>SUM(O119:O178)+D45</f>
        <v>3859744.3650170169</v>
      </c>
    </row>
    <row r="180" spans="3:15">
      <c r="O180" s="99">
        <f>O179/1000000</f>
        <v>3.8597443650170167</v>
      </c>
    </row>
    <row r="186" spans="3:15">
      <c r="O186" s="99">
        <f>ACOS(0)*180/PI()</f>
        <v>90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2:W186"/>
  <sheetViews>
    <sheetView workbookViewId="0">
      <selection activeCell="G4" sqref="G4"/>
    </sheetView>
  </sheetViews>
  <sheetFormatPr defaultColWidth="9.140625" defaultRowHeight="15"/>
  <cols>
    <col min="1" max="2" width="9.140625" style="99"/>
    <col min="3" max="3" width="12.140625" style="100" bestFit="1" customWidth="1"/>
    <col min="4" max="4" width="19.7109375" style="100" customWidth="1"/>
    <col min="5" max="5" width="18.28515625" style="100" customWidth="1"/>
    <col min="6" max="6" width="16" style="100" customWidth="1"/>
    <col min="7" max="7" width="32.28515625" style="100" customWidth="1"/>
    <col min="8" max="8" width="20.28515625" style="100" bestFit="1" customWidth="1"/>
    <col min="9" max="9" width="15.28515625" style="100" customWidth="1"/>
    <col min="10" max="10" width="9.140625" style="99"/>
    <col min="11" max="11" width="12.140625" style="100" bestFit="1" customWidth="1"/>
    <col min="12" max="14" width="12.7109375" style="100" bestFit="1" customWidth="1"/>
    <col min="15" max="15" width="19.28515625" style="99" bestFit="1" customWidth="1"/>
    <col min="16" max="16" width="20.28515625" style="99" bestFit="1" customWidth="1"/>
    <col min="17" max="18" width="9.140625" style="99"/>
    <col min="19" max="19" width="17.7109375" style="99" bestFit="1" customWidth="1"/>
    <col min="20" max="16384" width="9.140625" style="99"/>
  </cols>
  <sheetData>
    <row r="2" spans="1:23">
      <c r="C2" s="99" t="s">
        <v>173</v>
      </c>
      <c r="D2" s="99">
        <f>D8+O117+D19</f>
        <v>353.362143496241</v>
      </c>
    </row>
    <row r="3" spans="1:23">
      <c r="C3" s="99" t="s">
        <v>174</v>
      </c>
      <c r="D3" s="99">
        <f>O180</f>
        <v>1.5136099332880777</v>
      </c>
      <c r="F3"/>
      <c r="G3" s="102" t="s">
        <v>252</v>
      </c>
      <c r="H3" s="102" t="s">
        <v>253</v>
      </c>
      <c r="I3" s="102" t="s">
        <v>159</v>
      </c>
      <c r="J3"/>
      <c r="K3" s="102" t="s">
        <v>257</v>
      </c>
      <c r="L3" s="102" t="s">
        <v>32</v>
      </c>
      <c r="M3" s="102" t="s">
        <v>258</v>
      </c>
      <c r="N3"/>
      <c r="O3"/>
    </row>
    <row r="4" spans="1:23">
      <c r="C4" s="99" t="s">
        <v>175</v>
      </c>
      <c r="D4" s="99">
        <f>385000.56+P117</f>
        <v>357624.84242237709</v>
      </c>
      <c r="F4"/>
      <c r="G4" s="102">
        <f>D!G4</f>
        <v>2015</v>
      </c>
      <c r="H4" s="102">
        <f>D!H4</f>
        <v>3</v>
      </c>
      <c r="I4" s="102">
        <f>D!I4+1</f>
        <v>20</v>
      </c>
      <c r="J4">
        <f>I4+K5+L5+M5</f>
        <v>20</v>
      </c>
      <c r="K4" s="102">
        <v>0</v>
      </c>
      <c r="L4" s="102">
        <v>0</v>
      </c>
      <c r="M4" s="102">
        <v>0</v>
      </c>
      <c r="N4" s="99"/>
    </row>
    <row r="5" spans="1:23">
      <c r="C5" s="99" t="s">
        <v>176</v>
      </c>
      <c r="D5" s="99">
        <f>ASIN(6378.14/D4)*180/PI()</f>
        <v>1.0219085354894804</v>
      </c>
      <c r="F5"/>
      <c r="G5" s="102">
        <f>IF(H4&lt;3,G4-1,G4)</f>
        <v>2015</v>
      </c>
      <c r="H5" s="102">
        <f>IF(H4&lt;3,H4+12,H4)</f>
        <v>3</v>
      </c>
      <c r="I5" s="102">
        <f>IF(J4&lt;3,I4,J4)</f>
        <v>20</v>
      </c>
      <c r="J5"/>
      <c r="K5" s="102">
        <f>K4/24</f>
        <v>0</v>
      </c>
      <c r="L5" s="102">
        <f>L4/(24*60)</f>
        <v>0</v>
      </c>
      <c r="M5" s="102">
        <f>(M4)/(24*3600)</f>
        <v>0</v>
      </c>
      <c r="N5" s="99"/>
    </row>
    <row r="6" spans="1:23">
      <c r="C6" s="100" t="s">
        <v>153</v>
      </c>
      <c r="D6" s="100">
        <f>G13</f>
        <v>2457101.5</v>
      </c>
      <c r="F6"/>
      <c r="G6"/>
      <c r="H6"/>
      <c r="I6"/>
      <c r="J6"/>
      <c r="K6"/>
      <c r="L6"/>
      <c r="M6"/>
      <c r="N6" s="99"/>
    </row>
    <row r="7" spans="1:23" ht="15.75">
      <c r="C7" s="100" t="s">
        <v>152</v>
      </c>
      <c r="D7" s="100">
        <f>(D6-2451545)/36525</f>
        <v>0.1521286789869952</v>
      </c>
      <c r="F7"/>
      <c r="G7"/>
      <c r="H7"/>
      <c r="I7"/>
      <c r="J7"/>
      <c r="K7"/>
      <c r="L7"/>
      <c r="M7"/>
      <c r="N7" s="99"/>
      <c r="P7"/>
      <c r="Q7" s="101" t="s">
        <v>241</v>
      </c>
      <c r="R7"/>
      <c r="S7"/>
      <c r="T7"/>
      <c r="U7"/>
      <c r="V7"/>
      <c r="W7"/>
    </row>
    <row r="8" spans="1:23">
      <c r="A8" s="99" t="s">
        <v>151</v>
      </c>
      <c r="D8" s="100">
        <f>MOD(218.3164591+481267.881342*D7-0.0013267*D7^2+D7^3/538841-D7^4/65194000,360)</f>
        <v>352.96345583091897</v>
      </c>
      <c r="F8"/>
      <c r="G8"/>
      <c r="H8"/>
      <c r="I8"/>
      <c r="J8"/>
      <c r="K8"/>
      <c r="L8"/>
      <c r="M8"/>
      <c r="N8" s="99"/>
    </row>
    <row r="9" spans="1:23">
      <c r="C9" s="100" t="s">
        <v>154</v>
      </c>
      <c r="D9" s="100">
        <f>MOD(297.8502042+445267.1115186*D7-0.00163*D7^2+D7^3/545868-D7^4/113065000,360)</f>
        <v>355.74763816283667</v>
      </c>
      <c r="F9"/>
      <c r="G9"/>
      <c r="H9"/>
      <c r="I9"/>
      <c r="J9"/>
      <c r="K9"/>
      <c r="L9"/>
      <c r="M9"/>
      <c r="N9" s="99"/>
    </row>
    <row r="10" spans="1:23">
      <c r="C10" s="100" t="s">
        <v>136</v>
      </c>
      <c r="D10" s="100">
        <f>MOD(357.5291092+35999.0502909*D7-0.0001536*D7^2+D7^3/24490000,360)</f>
        <v>74.017071186380235</v>
      </c>
      <c r="F10"/>
      <c r="G10"/>
      <c r="H10"/>
      <c r="I10"/>
      <c r="J10"/>
      <c r="K10"/>
      <c r="L10"/>
      <c r="M10"/>
      <c r="N10" s="99"/>
    </row>
    <row r="11" spans="1:23">
      <c r="C11" s="100" t="s">
        <v>155</v>
      </c>
      <c r="D11" s="100">
        <f>MOD(134.9634114+477198.8676313*D7+0.008997*D7^2+D7^3/69699-D7^4/14712000,360)</f>
        <v>10.596966508892365</v>
      </c>
      <c r="F11" t="s">
        <v>259</v>
      </c>
      <c r="G11">
        <f>INT(G5/100)</f>
        <v>20</v>
      </c>
      <c r="H11"/>
      <c r="I11"/>
      <c r="J11"/>
      <c r="K11"/>
      <c r="L11"/>
      <c r="M11"/>
      <c r="N11" s="99"/>
    </row>
    <row r="12" spans="1:23">
      <c r="C12" s="100" t="s">
        <v>138</v>
      </c>
      <c r="D12" s="100">
        <f>MOD(93.2720993+483202.0175273*D7-0.0034029*D7^2-D7^3/3526000+D7^4/863310000,360)</f>
        <v>162.15663082426181</v>
      </c>
      <c r="F12" t="s">
        <v>260</v>
      </c>
      <c r="G12">
        <f>2-G11+INT(G11/4)</f>
        <v>-13</v>
      </c>
      <c r="H12"/>
      <c r="I12"/>
      <c r="J12"/>
      <c r="K12"/>
      <c r="L12"/>
      <c r="M12"/>
      <c r="N12" s="99"/>
    </row>
    <row r="13" spans="1:23" ht="28.5">
      <c r="C13" s="100" t="s">
        <v>156</v>
      </c>
      <c r="D13" s="100">
        <f>MOD(119.75+131.849*D7,360)</f>
        <v>139.80801419575633</v>
      </c>
      <c r="F13" s="104" t="s">
        <v>128</v>
      </c>
      <c r="G13" s="105">
        <f>INT(365.25*(G5+4716))+INT(30.6001*(H5+1))+I5+G12-1524.5</f>
        <v>2457101.5</v>
      </c>
      <c r="H13"/>
      <c r="I13"/>
      <c r="J13"/>
      <c r="K13"/>
      <c r="L13"/>
      <c r="M13"/>
      <c r="N13" s="99"/>
    </row>
    <row r="14" spans="1:23">
      <c r="C14" s="100" t="s">
        <v>157</v>
      </c>
      <c r="D14" s="100">
        <f>MOD(53.09+479264.29*D7,360)</f>
        <v>242.93332334017032</v>
      </c>
      <c r="H14" s="99"/>
      <c r="J14" s="100"/>
      <c r="M14" s="99"/>
      <c r="N14" s="99"/>
    </row>
    <row r="15" spans="1:23">
      <c r="C15" s="100" t="s">
        <v>158</v>
      </c>
      <c r="D15" s="100">
        <f>MOD(313.45+481266.484*D7,360)</f>
        <v>87.884451635851292</v>
      </c>
      <c r="H15" s="99"/>
      <c r="I15" s="99"/>
      <c r="K15" s="99"/>
      <c r="L15" s="99"/>
      <c r="M15" s="99"/>
      <c r="N15" s="99"/>
    </row>
    <row r="16" spans="1:23">
      <c r="C16" s="100" t="s">
        <v>235</v>
      </c>
      <c r="D16" s="100">
        <f>MOD(125.04452-1934.136261*D7+0.0020708*D7^2+D7^3/450000,306)</f>
        <v>136.80697356585156</v>
      </c>
    </row>
    <row r="17" spans="3:7">
      <c r="C17" s="100" t="s">
        <v>236</v>
      </c>
      <c r="D17" s="100">
        <f>MOD(280.4665+36000.769*D7+0.0003032*D7^2,360)</f>
        <v>357.21593750296688</v>
      </c>
    </row>
    <row r="18" spans="3:7">
      <c r="C18" s="100" t="s">
        <v>237</v>
      </c>
      <c r="D18" s="100">
        <f>MOD(218.3165+481267.881*D7,360)</f>
        <v>352.96347540040733</v>
      </c>
    </row>
    <row r="19" spans="3:7">
      <c r="C19" s="100" t="s">
        <v>238</v>
      </c>
      <c r="D19" s="100">
        <f>(-17.2*SIN(D16*PI()/180)-1.32*SIN(2*D17*PI()/180)-0.23*SIN(2*D18*PI()/180)+21*SIN(2*D16*PI()/180))/3600</f>
        <v>-9.040810748914347E-3</v>
      </c>
    </row>
    <row r="20" spans="3:7">
      <c r="C20" s="100" t="s">
        <v>239</v>
      </c>
      <c r="D20" s="100">
        <f>(E20*COS(D16*PI()/180)+F20*COS(2*D17*PI()/180)+E21*COS(2*D18*PI()/180)-F21*COS(2*D16*PI()/180))/3600</f>
        <v>-4.6671618285657123E-7</v>
      </c>
      <c r="E20" s="99">
        <f>9.2/3600</f>
        <v>2.5555555555555553E-3</v>
      </c>
      <c r="F20" s="100">
        <f>0.57/3600</f>
        <v>1.5833333333333332E-4</v>
      </c>
      <c r="G20" s="99"/>
    </row>
    <row r="21" spans="3:7">
      <c r="C21" s="100" t="s">
        <v>240</v>
      </c>
      <c r="D21" s="100">
        <f>23.4392911 - 0.01300416667*D7 - 0.00000016389*D7^2+0.00000050361 *D7^3+0.00255625*COS(D16*PI()/180)</f>
        <v>23.435449152263214</v>
      </c>
      <c r="E21" s="100">
        <f>0.1/3600</f>
        <v>2.7777777777777779E-5</v>
      </c>
      <c r="F21" s="99">
        <f>0.09/3600</f>
        <v>2.4999999999999998E-5</v>
      </c>
      <c r="G21" s="99"/>
    </row>
    <row r="22" spans="3:7">
      <c r="D22" s="100">
        <f>D21+D20</f>
        <v>23.43544868554703</v>
      </c>
      <c r="F22" s="99"/>
      <c r="G22" s="99"/>
    </row>
    <row r="23" spans="3:7">
      <c r="C23" s="100" t="s">
        <v>184</v>
      </c>
      <c r="D23" s="99">
        <f>SIN(D2*PI()/180)*COS(D22*PI()/180)-TAN(D3*PI()/180)*SIN(D22*PI()/180)</f>
        <v>-0.11656710422317981</v>
      </c>
      <c r="F23" s="99"/>
      <c r="G23" s="99"/>
    </row>
    <row r="24" spans="3:7">
      <c r="C24" s="100" t="s">
        <v>243</v>
      </c>
      <c r="D24" s="100">
        <f>COS(D2*PI()/180)</f>
        <v>0.99329660742968617</v>
      </c>
      <c r="F24" s="99"/>
      <c r="G24" s="99"/>
    </row>
    <row r="25" spans="3:7">
      <c r="D25" s="100">
        <f>ATAN(D23/D24)*180/PI()</f>
        <v>-6.6932615900512431</v>
      </c>
      <c r="F25" s="99"/>
      <c r="G25" s="99"/>
    </row>
    <row r="26" spans="3:7">
      <c r="D26" s="100">
        <f>ATAN((SIN(D2*PI()/180)*COS(D22*PI()/180)-TAN(D3*PI()/180)*SIN(D22*PI()/180))/COS(D2*PI()/180))*180/PI()</f>
        <v>-6.6932615900512431</v>
      </c>
      <c r="F26" s="99"/>
      <c r="G26" s="99"/>
    </row>
    <row r="27" spans="3:7" ht="15.75">
      <c r="C27" s="107" t="s">
        <v>242</v>
      </c>
      <c r="D27" s="107">
        <f>IF(D24&lt;0,D25+180,IF(D23&lt;0,D25+360,D25))</f>
        <v>353.30673840994876</v>
      </c>
      <c r="E27" s="100">
        <f>D27/15</f>
        <v>23.553782560663251</v>
      </c>
      <c r="F27" s="99"/>
      <c r="G27" s="99"/>
    </row>
    <row r="28" spans="3:7" ht="15.75">
      <c r="C28" s="107" t="s">
        <v>244</v>
      </c>
      <c r="D28" s="107">
        <f>ASIN(SIN(D3*PI()/180)*COS(D22*PI()/180)+COS(D3*PI()/180)*SIN(D22*PI()/180)*SIN(D2*PI()/180))*180/PI()</f>
        <v>-1.2446676710148883</v>
      </c>
      <c r="F28" s="99"/>
      <c r="G28" s="99"/>
    </row>
    <row r="29" spans="3:7">
      <c r="F29" s="99"/>
      <c r="G29" s="99"/>
    </row>
    <row r="30" spans="3:7">
      <c r="C30" s="100" t="s">
        <v>245</v>
      </c>
      <c r="F30" s="101" t="s">
        <v>246</v>
      </c>
      <c r="G30" t="s">
        <v>247</v>
      </c>
    </row>
    <row r="31" spans="3:7">
      <c r="C31" s="100" t="s">
        <v>249</v>
      </c>
      <c r="D31" s="100">
        <f>-SIN(0.83*PI()/180)-SIN(D12*PI()/180)*SIN(D28*PI()/180)</f>
        <v>-7.8298084901333893E-3</v>
      </c>
      <c r="F31" s="101" t="s">
        <v>248</v>
      </c>
      <c r="G31"/>
    </row>
    <row r="32" spans="3:7">
      <c r="C32" s="100" t="s">
        <v>250</v>
      </c>
      <c r="D32" s="100">
        <f>COS(D12*PI()/180)*SIN(D28*PI()/180)</f>
        <v>2.0676970527249809E-2</v>
      </c>
      <c r="F32" s="99"/>
      <c r="G32" s="99"/>
    </row>
    <row r="33" spans="1:7">
      <c r="C33" s="100" t="s">
        <v>245</v>
      </c>
      <c r="D33" s="102">
        <f>ACOS(D31/D32)*180/PI()</f>
        <v>112.25150352197794</v>
      </c>
      <c r="F33" s="99"/>
      <c r="G33" s="99"/>
    </row>
    <row r="34" spans="1:7">
      <c r="F34" s="99"/>
      <c r="G34" s="99"/>
    </row>
    <row r="35" spans="1:7">
      <c r="F35" s="99"/>
      <c r="G35" s="99"/>
    </row>
    <row r="36" spans="1:7">
      <c r="C36" s="100" t="s">
        <v>251</v>
      </c>
      <c r="F36" s="99"/>
      <c r="G36" s="99"/>
    </row>
    <row r="37" spans="1:7">
      <c r="F37" s="99"/>
      <c r="G37" s="99"/>
    </row>
    <row r="38" spans="1:7">
      <c r="F38" s="99"/>
      <c r="G38" s="99"/>
    </row>
    <row r="39" spans="1:7">
      <c r="F39" s="99"/>
      <c r="G39" s="99"/>
    </row>
    <row r="40" spans="1:7">
      <c r="F40" s="99"/>
      <c r="G40" s="99"/>
    </row>
    <row r="41" spans="1:7">
      <c r="F41" s="99"/>
      <c r="G41" s="99"/>
    </row>
    <row r="42" spans="1:7">
      <c r="F42" s="99"/>
      <c r="G42" s="99"/>
    </row>
    <row r="43" spans="1:7">
      <c r="A43" s="99" t="s">
        <v>161</v>
      </c>
      <c r="C43" s="100" t="s">
        <v>162</v>
      </c>
      <c r="D43" s="100">
        <f>3958*SIN(D13*PI()/180)+1963*SIN((D8-D12)*PI()/180)+318*SIN(D14*PI()/180)</f>
        <v>1903.0675657865404</v>
      </c>
      <c r="F43" s="99"/>
      <c r="G43" s="99"/>
    </row>
    <row r="45" spans="1:7">
      <c r="A45" s="99" t="s">
        <v>163</v>
      </c>
      <c r="C45" s="100" t="s">
        <v>164</v>
      </c>
      <c r="D45" s="100">
        <f>-2235*SIN(D8*PI()/180)+382*SIN(D15*PI()/180)+175*SIN((D13-D12)*PI()/180)+175*SIN((D13+D12)*PI()/180)+127*SIN((D8-D11)*PI()/180)-115*SIN((D8+D11)*PI()/180)</f>
        <v>394.91125385268396</v>
      </c>
    </row>
    <row r="47" spans="1:7">
      <c r="C47" s="100" t="s">
        <v>143</v>
      </c>
      <c r="D47" s="100">
        <f>(1-0.002516*D7-0.0000074*D7^2)</f>
        <v>0.99961707298446989</v>
      </c>
    </row>
    <row r="48" spans="1:7">
      <c r="C48" s="100" t="s">
        <v>232</v>
      </c>
      <c r="D48" s="100">
        <f>D47*D47</f>
        <v>0.999234292602039</v>
      </c>
    </row>
    <row r="49" spans="3:16">
      <c r="C49" s="100" t="s">
        <v>233</v>
      </c>
      <c r="D49" s="100">
        <v>1</v>
      </c>
    </row>
    <row r="55" spans="3:16">
      <c r="C55" s="100" t="s">
        <v>159</v>
      </c>
      <c r="D55" s="100" t="s">
        <v>32</v>
      </c>
      <c r="E55" s="100" t="s">
        <v>66</v>
      </c>
      <c r="F55" s="100" t="s">
        <v>160</v>
      </c>
      <c r="G55" s="100" t="s">
        <v>167</v>
      </c>
      <c r="H55" s="100" t="s">
        <v>168</v>
      </c>
      <c r="I55" s="100" t="s">
        <v>234</v>
      </c>
      <c r="J55" s="100"/>
      <c r="K55" s="100" t="s">
        <v>159</v>
      </c>
      <c r="L55" s="100" t="s">
        <v>166</v>
      </c>
      <c r="M55" s="100" t="s">
        <v>165</v>
      </c>
      <c r="N55" s="100" t="s">
        <v>160</v>
      </c>
      <c r="O55" s="100" t="s">
        <v>169</v>
      </c>
      <c r="P55" s="100" t="s">
        <v>170</v>
      </c>
    </row>
    <row r="56" spans="3:16">
      <c r="C56" s="100">
        <v>0</v>
      </c>
      <c r="D56" s="100">
        <v>0</v>
      </c>
      <c r="E56" s="100">
        <v>1</v>
      </c>
      <c r="F56" s="100">
        <v>0</v>
      </c>
      <c r="G56" s="100">
        <v>6288774</v>
      </c>
      <c r="H56" s="100">
        <v>-20905355</v>
      </c>
      <c r="I56" s="100">
        <f>IF(ABS(D56)=2,$D$48,IF(ABS(E56)=2,$D$48,IF(ABS(D56)=1,$D$47,IF(ABS(E56)=1,$D$47,1))))</f>
        <v>0.99961707298446989</v>
      </c>
      <c r="J56" s="100"/>
      <c r="K56" s="100">
        <f>C56</f>
        <v>0</v>
      </c>
      <c r="L56" s="100">
        <f>D56</f>
        <v>0</v>
      </c>
      <c r="M56" s="100">
        <f>E56</f>
        <v>1</v>
      </c>
      <c r="N56" s="100">
        <f>F56</f>
        <v>0</v>
      </c>
      <c r="O56" s="99">
        <f>I56*G56*SIN(((K56*$D$9+L56*$D$10+M56*$D$11+N56*$D$12))*PI()/180)</f>
        <v>1156058.3401791824</v>
      </c>
      <c r="P56" s="99">
        <f>I56*H56*COS(((K56*D$9+L56*D$10+M56*D$11+N56*D$12))*PI()/180)</f>
        <v>-20540947.291776177</v>
      </c>
    </row>
    <row r="57" spans="3:16">
      <c r="C57" s="100">
        <v>2</v>
      </c>
      <c r="D57" s="100">
        <v>0</v>
      </c>
      <c r="E57" s="100">
        <v>-1</v>
      </c>
      <c r="F57" s="100">
        <v>0</v>
      </c>
      <c r="G57" s="100">
        <v>1274027</v>
      </c>
      <c r="H57" s="100">
        <v>-3699111</v>
      </c>
      <c r="I57" s="100">
        <f t="shared" ref="I57:I115" si="0">IF(ABS(D57)=2,$D$48,IF(ABS(E57)=2,$D$48,IF(ABS(D57)=1,$D$47,IF(ABS(E57)=1,$D$47,1))))</f>
        <v>0.99961707298446989</v>
      </c>
      <c r="J57" s="100"/>
      <c r="K57" s="100">
        <f t="shared" ref="K57:N115" si="1">C57</f>
        <v>2</v>
      </c>
      <c r="L57" s="100">
        <f t="shared" si="1"/>
        <v>0</v>
      </c>
      <c r="M57" s="100">
        <f t="shared" si="1"/>
        <v>-1</v>
      </c>
      <c r="N57" s="100">
        <f t="shared" si="1"/>
        <v>0</v>
      </c>
      <c r="O57" s="99">
        <f t="shared" ref="O57:O115" si="2">I57*G57*SIN(((K57*$D$9+L57*$D$10+M57*$D$11+N57*$D$12))*PI()/180)</f>
        <v>-416760.30196767976</v>
      </c>
      <c r="P57" s="99">
        <f t="shared" ref="P57:P115" si="3">I57*H57*COS(((K57*D$9+L57*D$10+M57*D$11+N57*D$12))*PI()/180)</f>
        <v>-3494096.7109479769</v>
      </c>
    </row>
    <row r="58" spans="3:16">
      <c r="C58" s="100">
        <v>2</v>
      </c>
      <c r="D58" s="100">
        <v>0</v>
      </c>
      <c r="E58" s="100">
        <v>0</v>
      </c>
      <c r="F58" s="100">
        <v>0</v>
      </c>
      <c r="G58" s="100">
        <v>658314</v>
      </c>
      <c r="H58" s="100">
        <v>-2955968</v>
      </c>
      <c r="I58" s="100">
        <f t="shared" si="0"/>
        <v>1</v>
      </c>
      <c r="J58" s="100"/>
      <c r="K58" s="100">
        <f t="shared" si="1"/>
        <v>2</v>
      </c>
      <c r="L58" s="100">
        <f t="shared" si="1"/>
        <v>0</v>
      </c>
      <c r="M58" s="100">
        <f t="shared" si="1"/>
        <v>0</v>
      </c>
      <c r="N58" s="100">
        <f t="shared" si="1"/>
        <v>0</v>
      </c>
      <c r="O58" s="99">
        <f t="shared" si="2"/>
        <v>-97358.68201858674</v>
      </c>
      <c r="P58" s="99">
        <f t="shared" si="3"/>
        <v>-2923463.2123757005</v>
      </c>
    </row>
    <row r="59" spans="3:16">
      <c r="C59" s="100">
        <v>0</v>
      </c>
      <c r="D59" s="100">
        <v>0</v>
      </c>
      <c r="E59" s="100">
        <v>2</v>
      </c>
      <c r="F59" s="100">
        <v>0</v>
      </c>
      <c r="G59" s="100">
        <v>213618</v>
      </c>
      <c r="H59" s="100">
        <v>-569925</v>
      </c>
      <c r="I59" s="100">
        <f t="shared" si="0"/>
        <v>0.999234292602039</v>
      </c>
      <c r="J59" s="100"/>
      <c r="K59" s="100">
        <f t="shared" si="1"/>
        <v>0</v>
      </c>
      <c r="L59" s="100">
        <f t="shared" si="1"/>
        <v>0</v>
      </c>
      <c r="M59" s="100">
        <f t="shared" si="1"/>
        <v>2</v>
      </c>
      <c r="N59" s="100">
        <f t="shared" si="1"/>
        <v>0</v>
      </c>
      <c r="O59" s="99">
        <f t="shared" si="2"/>
        <v>77169.29366229166</v>
      </c>
      <c r="P59" s="99">
        <f t="shared" si="3"/>
        <v>-530969.58410657058</v>
      </c>
    </row>
    <row r="60" spans="3:16">
      <c r="C60" s="100">
        <v>0</v>
      </c>
      <c r="D60" s="100">
        <v>1</v>
      </c>
      <c r="E60" s="100">
        <v>0</v>
      </c>
      <c r="F60" s="100">
        <v>0</v>
      </c>
      <c r="G60" s="100">
        <v>-185116</v>
      </c>
      <c r="H60" s="100">
        <v>48888</v>
      </c>
      <c r="I60" s="100">
        <f t="shared" si="0"/>
        <v>0.99961707298446989</v>
      </c>
      <c r="J60" s="100"/>
      <c r="K60" s="100">
        <f t="shared" si="1"/>
        <v>0</v>
      </c>
      <c r="L60" s="100">
        <f t="shared" si="1"/>
        <v>1</v>
      </c>
      <c r="M60" s="100">
        <f t="shared" si="1"/>
        <v>0</v>
      </c>
      <c r="N60" s="100">
        <f t="shared" si="1"/>
        <v>0</v>
      </c>
      <c r="O60" s="99">
        <f t="shared" si="2"/>
        <v>-177891.96925426344</v>
      </c>
      <c r="P60" s="99">
        <f t="shared" si="3"/>
        <v>13456.201900384274</v>
      </c>
    </row>
    <row r="61" spans="3:16">
      <c r="C61" s="100">
        <v>0</v>
      </c>
      <c r="D61" s="100">
        <v>0</v>
      </c>
      <c r="E61" s="100">
        <v>0</v>
      </c>
      <c r="F61" s="100">
        <v>2</v>
      </c>
      <c r="G61" s="100">
        <v>-114332</v>
      </c>
      <c r="H61" s="100">
        <v>-3149</v>
      </c>
      <c r="I61" s="100">
        <f t="shared" si="0"/>
        <v>1</v>
      </c>
      <c r="J61" s="100"/>
      <c r="K61" s="100">
        <f t="shared" si="1"/>
        <v>0</v>
      </c>
      <c r="L61" s="100">
        <f t="shared" si="1"/>
        <v>0</v>
      </c>
      <c r="M61" s="100">
        <f t="shared" si="1"/>
        <v>0</v>
      </c>
      <c r="N61" s="100">
        <f t="shared" si="1"/>
        <v>2</v>
      </c>
      <c r="O61" s="99">
        <f t="shared" si="2"/>
        <v>66695.941645060753</v>
      </c>
      <c r="P61" s="99">
        <f t="shared" si="3"/>
        <v>-2557.6762808796907</v>
      </c>
    </row>
    <row r="62" spans="3:16">
      <c r="C62" s="100">
        <v>2</v>
      </c>
      <c r="D62" s="100">
        <v>0</v>
      </c>
      <c r="E62" s="100">
        <v>-2</v>
      </c>
      <c r="F62" s="100">
        <v>0</v>
      </c>
      <c r="G62" s="100">
        <v>58793</v>
      </c>
      <c r="H62" s="100">
        <v>246158</v>
      </c>
      <c r="I62" s="100">
        <f t="shared" si="0"/>
        <v>0.999234292602039</v>
      </c>
      <c r="J62" s="100"/>
      <c r="K62" s="100">
        <f t="shared" si="1"/>
        <v>2</v>
      </c>
      <c r="L62" s="100">
        <f t="shared" si="1"/>
        <v>0</v>
      </c>
      <c r="M62" s="100">
        <f t="shared" si="1"/>
        <v>-2</v>
      </c>
      <c r="N62" s="100">
        <f t="shared" si="1"/>
        <v>0</v>
      </c>
      <c r="O62" s="99">
        <f t="shared" si="2"/>
        <v>-29106.000396410971</v>
      </c>
      <c r="P62" s="99">
        <f t="shared" si="3"/>
        <v>213659.72946653448</v>
      </c>
    </row>
    <row r="63" spans="3:16">
      <c r="C63" s="100">
        <v>2</v>
      </c>
      <c r="D63" s="100">
        <v>-1</v>
      </c>
      <c r="E63" s="100">
        <v>-1</v>
      </c>
      <c r="F63" s="100">
        <v>0</v>
      </c>
      <c r="G63" s="100">
        <v>57066</v>
      </c>
      <c r="H63" s="100">
        <v>-152138</v>
      </c>
      <c r="I63" s="100">
        <f t="shared" si="0"/>
        <v>0.99961707298446989</v>
      </c>
      <c r="J63" s="100"/>
      <c r="K63" s="100">
        <f t="shared" si="1"/>
        <v>2</v>
      </c>
      <c r="L63" s="100">
        <f t="shared" si="1"/>
        <v>-1</v>
      </c>
      <c r="M63" s="100">
        <f t="shared" si="1"/>
        <v>-1</v>
      </c>
      <c r="N63" s="100">
        <f t="shared" si="1"/>
        <v>0</v>
      </c>
      <c r="O63" s="99">
        <f t="shared" si="2"/>
        <v>-56959.660302203156</v>
      </c>
      <c r="P63" s="99">
        <f t="shared" si="3"/>
        <v>8274.0167844833832</v>
      </c>
    </row>
    <row r="64" spans="3:16">
      <c r="C64" s="100">
        <v>2</v>
      </c>
      <c r="D64" s="100">
        <v>0</v>
      </c>
      <c r="E64" s="100">
        <v>1</v>
      </c>
      <c r="F64" s="100">
        <v>0</v>
      </c>
      <c r="G64" s="100">
        <v>53322</v>
      </c>
      <c r="H64" s="100">
        <v>-170733</v>
      </c>
      <c r="I64" s="100">
        <f t="shared" si="0"/>
        <v>0.99961707298446989</v>
      </c>
      <c r="J64" s="100"/>
      <c r="K64" s="100">
        <f t="shared" si="1"/>
        <v>2</v>
      </c>
      <c r="L64" s="100">
        <f t="shared" si="1"/>
        <v>0</v>
      </c>
      <c r="M64" s="100">
        <f t="shared" si="1"/>
        <v>1</v>
      </c>
      <c r="N64" s="100">
        <f t="shared" si="1"/>
        <v>0</v>
      </c>
      <c r="O64" s="99">
        <f t="shared" si="2"/>
        <v>1945.9560585377506</v>
      </c>
      <c r="P64" s="99">
        <f t="shared" si="3"/>
        <v>-170553.8454249808</v>
      </c>
    </row>
    <row r="65" spans="3:16">
      <c r="C65" s="100">
        <v>2</v>
      </c>
      <c r="D65" s="100">
        <v>-1</v>
      </c>
      <c r="E65" s="100">
        <v>0</v>
      </c>
      <c r="F65" s="100">
        <v>0</v>
      </c>
      <c r="G65" s="100">
        <v>45758</v>
      </c>
      <c r="H65" s="100">
        <v>-204586</v>
      </c>
      <c r="I65" s="100">
        <f t="shared" si="0"/>
        <v>0.99961707298446989</v>
      </c>
      <c r="J65" s="100"/>
      <c r="K65" s="100">
        <f t="shared" si="1"/>
        <v>2</v>
      </c>
      <c r="L65" s="100">
        <f t="shared" si="1"/>
        <v>-1</v>
      </c>
      <c r="M65" s="100">
        <f t="shared" si="1"/>
        <v>0</v>
      </c>
      <c r="N65" s="100">
        <f t="shared" si="1"/>
        <v>0</v>
      </c>
      <c r="O65" s="99">
        <f t="shared" si="2"/>
        <v>-45351.429680667236</v>
      </c>
      <c r="P65" s="99">
        <f t="shared" si="3"/>
        <v>-26616.476450852315</v>
      </c>
    </row>
    <row r="66" spans="3:16">
      <c r="C66" s="100">
        <v>0</v>
      </c>
      <c r="D66" s="100">
        <v>1</v>
      </c>
      <c r="E66" s="100">
        <v>-1</v>
      </c>
      <c r="F66" s="100">
        <v>0</v>
      </c>
      <c r="G66" s="100">
        <v>-40923</v>
      </c>
      <c r="H66" s="100">
        <v>-129620</v>
      </c>
      <c r="I66" s="100">
        <f t="shared" si="0"/>
        <v>0.99961707298446989</v>
      </c>
      <c r="J66" s="100"/>
      <c r="K66" s="100">
        <f t="shared" si="1"/>
        <v>0</v>
      </c>
      <c r="L66" s="100">
        <f t="shared" si="1"/>
        <v>1</v>
      </c>
      <c r="M66" s="100">
        <f t="shared" si="1"/>
        <v>-1</v>
      </c>
      <c r="N66" s="100">
        <f t="shared" si="1"/>
        <v>0</v>
      </c>
      <c r="O66" s="99">
        <f t="shared" si="2"/>
        <v>-36583.886891750139</v>
      </c>
      <c r="P66" s="99">
        <f t="shared" si="3"/>
        <v>-57975.651872704409</v>
      </c>
    </row>
    <row r="67" spans="3:16">
      <c r="C67" s="100">
        <v>1</v>
      </c>
      <c r="D67" s="100">
        <v>0</v>
      </c>
      <c r="E67" s="100">
        <v>0</v>
      </c>
      <c r="F67" s="100">
        <v>0</v>
      </c>
      <c r="G67" s="100">
        <v>-34720</v>
      </c>
      <c r="H67" s="100">
        <v>108743</v>
      </c>
      <c r="I67" s="100">
        <f t="shared" si="0"/>
        <v>1</v>
      </c>
      <c r="J67" s="100"/>
      <c r="K67" s="100">
        <f t="shared" si="1"/>
        <v>1</v>
      </c>
      <c r="L67" s="100">
        <f t="shared" si="1"/>
        <v>0</v>
      </c>
      <c r="M67" s="100">
        <f t="shared" si="1"/>
        <v>0</v>
      </c>
      <c r="N67" s="100">
        <f t="shared" si="1"/>
        <v>0</v>
      </c>
      <c r="O67" s="99">
        <f t="shared" si="2"/>
        <v>2574.4740639094512</v>
      </c>
      <c r="P67" s="99">
        <f t="shared" si="3"/>
        <v>108443.64458845726</v>
      </c>
    </row>
    <row r="68" spans="3:16">
      <c r="C68" s="100">
        <v>0</v>
      </c>
      <c r="D68" s="100">
        <v>1</v>
      </c>
      <c r="E68" s="100">
        <v>1</v>
      </c>
      <c r="F68" s="100">
        <v>0</v>
      </c>
      <c r="G68" s="100">
        <v>-30383</v>
      </c>
      <c r="H68" s="100">
        <v>104755</v>
      </c>
      <c r="I68" s="100">
        <f t="shared" si="0"/>
        <v>0.99961707298446989</v>
      </c>
      <c r="J68" s="100"/>
      <c r="K68" s="100">
        <f t="shared" si="1"/>
        <v>0</v>
      </c>
      <c r="L68" s="100">
        <f t="shared" si="1"/>
        <v>1</v>
      </c>
      <c r="M68" s="100">
        <f t="shared" si="1"/>
        <v>1</v>
      </c>
      <c r="N68" s="100">
        <f t="shared" si="1"/>
        <v>0</v>
      </c>
      <c r="O68" s="99">
        <f t="shared" si="2"/>
        <v>-30237.2756956511</v>
      </c>
      <c r="P68" s="99">
        <f t="shared" si="3"/>
        <v>9828.9993445699292</v>
      </c>
    </row>
    <row r="69" spans="3:16">
      <c r="C69" s="100">
        <v>2</v>
      </c>
      <c r="D69" s="100">
        <v>0</v>
      </c>
      <c r="E69" s="100">
        <v>0</v>
      </c>
      <c r="F69" s="100">
        <v>-2</v>
      </c>
      <c r="G69" s="100">
        <v>15327</v>
      </c>
      <c r="H69" s="100">
        <v>10321</v>
      </c>
      <c r="I69" s="100">
        <f t="shared" si="0"/>
        <v>1</v>
      </c>
      <c r="J69" s="100"/>
      <c r="K69" s="100">
        <f t="shared" si="1"/>
        <v>2</v>
      </c>
      <c r="L69" s="100">
        <f t="shared" si="1"/>
        <v>0</v>
      </c>
      <c r="M69" s="100">
        <f t="shared" si="1"/>
        <v>0</v>
      </c>
      <c r="N69" s="100">
        <f t="shared" si="1"/>
        <v>-2</v>
      </c>
      <c r="O69" s="99">
        <f t="shared" si="2"/>
        <v>7001.6604292590891</v>
      </c>
      <c r="P69" s="99">
        <f t="shared" si="3"/>
        <v>9181.1468395324246</v>
      </c>
    </row>
    <row r="70" spans="3:16">
      <c r="C70" s="100">
        <v>0</v>
      </c>
      <c r="D70" s="100">
        <v>0</v>
      </c>
      <c r="E70" s="100">
        <v>1</v>
      </c>
      <c r="F70" s="100">
        <v>2</v>
      </c>
      <c r="G70" s="100">
        <v>-12528</v>
      </c>
      <c r="H70" s="100">
        <v>0</v>
      </c>
      <c r="I70" s="100">
        <f t="shared" si="0"/>
        <v>0.99961707298446989</v>
      </c>
      <c r="J70" s="100"/>
      <c r="K70" s="100">
        <f t="shared" si="1"/>
        <v>0</v>
      </c>
      <c r="L70" s="100">
        <f t="shared" si="1"/>
        <v>0</v>
      </c>
      <c r="M70" s="100">
        <f t="shared" si="1"/>
        <v>1</v>
      </c>
      <c r="N70" s="100">
        <f t="shared" si="1"/>
        <v>2</v>
      </c>
      <c r="O70" s="99">
        <f t="shared" si="2"/>
        <v>5310.3107962017921</v>
      </c>
      <c r="P70" s="99">
        <f t="shared" si="3"/>
        <v>0</v>
      </c>
    </row>
    <row r="71" spans="3:16">
      <c r="C71" s="100">
        <v>0</v>
      </c>
      <c r="D71" s="100">
        <v>0</v>
      </c>
      <c r="E71" s="100">
        <v>1</v>
      </c>
      <c r="F71" s="100">
        <v>-2</v>
      </c>
      <c r="G71" s="100">
        <v>10980</v>
      </c>
      <c r="H71" s="100">
        <v>79661</v>
      </c>
      <c r="I71" s="100">
        <f t="shared" si="0"/>
        <v>0.99961707298446989</v>
      </c>
      <c r="J71" s="100"/>
      <c r="K71" s="100">
        <f t="shared" si="1"/>
        <v>0</v>
      </c>
      <c r="L71" s="100">
        <f t="shared" si="1"/>
        <v>0</v>
      </c>
      <c r="M71" s="100">
        <f t="shared" si="1"/>
        <v>1</v>
      </c>
      <c r="N71" s="100">
        <f t="shared" si="1"/>
        <v>-2</v>
      </c>
      <c r="O71" s="99">
        <f t="shared" si="2"/>
        <v>7932.9825681365455</v>
      </c>
      <c r="P71" s="99">
        <f t="shared" si="3"/>
        <v>55031.679800446698</v>
      </c>
    </row>
    <row r="72" spans="3:16">
      <c r="C72" s="100">
        <v>4</v>
      </c>
      <c r="D72" s="100">
        <v>0</v>
      </c>
      <c r="E72" s="100">
        <v>-1</v>
      </c>
      <c r="F72" s="100">
        <v>0</v>
      </c>
      <c r="G72" s="100">
        <v>10675</v>
      </c>
      <c r="H72" s="100">
        <v>-34782</v>
      </c>
      <c r="I72" s="100">
        <f t="shared" si="0"/>
        <v>0.99961707298446989</v>
      </c>
      <c r="J72" s="100"/>
      <c r="K72" s="100">
        <f t="shared" si="1"/>
        <v>4</v>
      </c>
      <c r="L72" s="100">
        <f t="shared" si="1"/>
        <v>0</v>
      </c>
      <c r="M72" s="100">
        <f t="shared" si="1"/>
        <v>-1</v>
      </c>
      <c r="N72" s="100">
        <f t="shared" si="1"/>
        <v>0</v>
      </c>
      <c r="O72" s="99">
        <f t="shared" si="2"/>
        <v>-4944.849907063608</v>
      </c>
      <c r="P72" s="99">
        <f t="shared" si="3"/>
        <v>-30810.326184889334</v>
      </c>
    </row>
    <row r="73" spans="3:16">
      <c r="C73" s="100">
        <v>0</v>
      </c>
      <c r="D73" s="100">
        <v>0</v>
      </c>
      <c r="E73" s="100">
        <v>3</v>
      </c>
      <c r="F73" s="100">
        <v>0</v>
      </c>
      <c r="G73" s="100">
        <v>10034</v>
      </c>
      <c r="H73" s="100">
        <v>-23210</v>
      </c>
      <c r="I73" s="100">
        <f t="shared" si="0"/>
        <v>1</v>
      </c>
      <c r="J73" s="100"/>
      <c r="K73" s="100">
        <f t="shared" si="1"/>
        <v>0</v>
      </c>
      <c r="L73" s="100">
        <f t="shared" si="1"/>
        <v>0</v>
      </c>
      <c r="M73" s="100">
        <f t="shared" si="1"/>
        <v>3</v>
      </c>
      <c r="N73" s="100">
        <f t="shared" si="1"/>
        <v>0</v>
      </c>
      <c r="O73" s="99">
        <f t="shared" si="2"/>
        <v>5286.1198836664271</v>
      </c>
      <c r="P73" s="99">
        <f t="shared" si="3"/>
        <v>-19727.95178800085</v>
      </c>
    </row>
    <row r="74" spans="3:16">
      <c r="C74" s="100">
        <v>4</v>
      </c>
      <c r="D74" s="100">
        <v>0</v>
      </c>
      <c r="E74" s="100">
        <v>-2</v>
      </c>
      <c r="F74" s="100">
        <v>0</v>
      </c>
      <c r="G74" s="100">
        <v>8548</v>
      </c>
      <c r="H74" s="100">
        <v>-21636</v>
      </c>
      <c r="I74" s="100">
        <f t="shared" si="0"/>
        <v>0.999234292602039</v>
      </c>
      <c r="J74" s="100"/>
      <c r="K74" s="100">
        <f t="shared" si="1"/>
        <v>4</v>
      </c>
      <c r="L74" s="100">
        <f t="shared" si="1"/>
        <v>0</v>
      </c>
      <c r="M74" s="100">
        <f t="shared" si="1"/>
        <v>-2</v>
      </c>
      <c r="N74" s="100">
        <f t="shared" si="1"/>
        <v>0</v>
      </c>
      <c r="O74" s="99">
        <f t="shared" si="2"/>
        <v>-5282.5033257588557</v>
      </c>
      <c r="P74" s="99">
        <f t="shared" si="3"/>
        <v>-16988.991752657643</v>
      </c>
    </row>
    <row r="75" spans="3:16">
      <c r="C75" s="100">
        <v>2</v>
      </c>
      <c r="D75" s="100">
        <v>1</v>
      </c>
      <c r="E75" s="100">
        <v>-1</v>
      </c>
      <c r="F75" s="100">
        <v>0</v>
      </c>
      <c r="G75" s="100">
        <v>-7888</v>
      </c>
      <c r="H75" s="100">
        <v>24208</v>
      </c>
      <c r="I75" s="100">
        <f t="shared" si="0"/>
        <v>0.99961707298446989</v>
      </c>
      <c r="J75" s="100"/>
      <c r="K75" s="100">
        <f t="shared" si="1"/>
        <v>2</v>
      </c>
      <c r="L75" s="100">
        <f t="shared" si="1"/>
        <v>1</v>
      </c>
      <c r="M75" s="100">
        <f t="shared" si="1"/>
        <v>-1</v>
      </c>
      <c r="N75" s="100">
        <f t="shared" si="1"/>
        <v>0</v>
      </c>
      <c r="O75" s="99">
        <f t="shared" si="2"/>
        <v>-6452.3106170378569</v>
      </c>
      <c r="P75" s="99">
        <f t="shared" si="3"/>
        <v>13909.081594918303</v>
      </c>
    </row>
    <row r="76" spans="3:16">
      <c r="C76" s="100">
        <v>2</v>
      </c>
      <c r="D76" s="100">
        <v>1</v>
      </c>
      <c r="E76" s="100">
        <v>0</v>
      </c>
      <c r="F76" s="100">
        <v>0</v>
      </c>
      <c r="G76" s="100">
        <v>-6766</v>
      </c>
      <c r="H76" s="100">
        <v>30824</v>
      </c>
      <c r="I76" s="100">
        <f t="shared" si="0"/>
        <v>0.99961707298446989</v>
      </c>
      <c r="J76" s="100"/>
      <c r="K76" s="100">
        <f t="shared" si="1"/>
        <v>2</v>
      </c>
      <c r="L76" s="100">
        <f t="shared" si="1"/>
        <v>1</v>
      </c>
      <c r="M76" s="100">
        <f t="shared" si="1"/>
        <v>0</v>
      </c>
      <c r="N76" s="100">
        <f t="shared" si="1"/>
        <v>0</v>
      </c>
      <c r="O76" s="99">
        <f t="shared" si="2"/>
        <v>-6155.0446463415174</v>
      </c>
      <c r="P76" s="99">
        <f t="shared" si="3"/>
        <v>12771.567147112142</v>
      </c>
    </row>
    <row r="77" spans="3:16">
      <c r="C77" s="100">
        <v>1</v>
      </c>
      <c r="D77" s="100">
        <v>0</v>
      </c>
      <c r="E77" s="100">
        <v>-1</v>
      </c>
      <c r="F77" s="100">
        <v>0</v>
      </c>
      <c r="G77" s="100">
        <v>-5163</v>
      </c>
      <c r="H77" s="100">
        <v>-8379</v>
      </c>
      <c r="I77" s="100">
        <f t="shared" si="0"/>
        <v>0.99961707298446989</v>
      </c>
      <c r="J77" s="100"/>
      <c r="K77" s="100">
        <f t="shared" si="1"/>
        <v>1</v>
      </c>
      <c r="L77" s="100">
        <f t="shared" si="1"/>
        <v>0</v>
      </c>
      <c r="M77" s="100">
        <f t="shared" si="1"/>
        <v>-1</v>
      </c>
      <c r="N77" s="100">
        <f t="shared" si="1"/>
        <v>0</v>
      </c>
      <c r="O77" s="99">
        <f t="shared" si="2"/>
        <v>1322.6568561730076</v>
      </c>
      <c r="P77" s="99">
        <f t="shared" si="3"/>
        <v>-8096.0660378548882</v>
      </c>
    </row>
    <row r="78" spans="3:16">
      <c r="C78" s="100">
        <v>1</v>
      </c>
      <c r="D78" s="100">
        <v>1</v>
      </c>
      <c r="E78" s="100">
        <v>0</v>
      </c>
      <c r="F78" s="100">
        <v>0</v>
      </c>
      <c r="G78" s="100">
        <v>4987</v>
      </c>
      <c r="H78" s="100">
        <v>-16675</v>
      </c>
      <c r="I78" s="100">
        <f t="shared" si="0"/>
        <v>0.99961707298446989</v>
      </c>
      <c r="J78" s="100"/>
      <c r="K78" s="100">
        <f t="shared" si="1"/>
        <v>1</v>
      </c>
      <c r="L78" s="100">
        <f t="shared" si="1"/>
        <v>1</v>
      </c>
      <c r="M78" s="100">
        <f t="shared" si="1"/>
        <v>0</v>
      </c>
      <c r="N78" s="100">
        <f t="shared" si="1"/>
        <v>0</v>
      </c>
      <c r="O78" s="99">
        <f t="shared" si="2"/>
        <v>4677.4113768361176</v>
      </c>
      <c r="P78" s="99">
        <f t="shared" si="3"/>
        <v>-5765.2768926810368</v>
      </c>
    </row>
    <row r="79" spans="3:16">
      <c r="C79" s="100">
        <v>2</v>
      </c>
      <c r="D79" s="100">
        <v>-1</v>
      </c>
      <c r="E79" s="100">
        <v>1</v>
      </c>
      <c r="F79" s="100">
        <v>0</v>
      </c>
      <c r="G79" s="100">
        <v>4036</v>
      </c>
      <c r="H79" s="100">
        <v>-12831</v>
      </c>
      <c r="I79" s="100">
        <f t="shared" si="0"/>
        <v>0.99961707298446989</v>
      </c>
      <c r="J79" s="100"/>
      <c r="K79" s="100">
        <f t="shared" si="1"/>
        <v>2</v>
      </c>
      <c r="L79" s="100">
        <f t="shared" si="1"/>
        <v>-1</v>
      </c>
      <c r="M79" s="100">
        <f t="shared" si="1"/>
        <v>1</v>
      </c>
      <c r="N79" s="100">
        <f t="shared" si="1"/>
        <v>0</v>
      </c>
      <c r="O79" s="99">
        <f t="shared" si="2"/>
        <v>-3835.3552652106373</v>
      </c>
      <c r="P79" s="99">
        <f t="shared" si="3"/>
        <v>-3979.4794595620192</v>
      </c>
    </row>
    <row r="80" spans="3:16">
      <c r="C80" s="100">
        <v>2</v>
      </c>
      <c r="D80" s="100">
        <v>0</v>
      </c>
      <c r="E80" s="100">
        <v>2</v>
      </c>
      <c r="F80" s="100">
        <v>0</v>
      </c>
      <c r="G80" s="100">
        <v>3994</v>
      </c>
      <c r="H80" s="100">
        <v>-10445</v>
      </c>
      <c r="I80" s="100">
        <f t="shared" si="0"/>
        <v>0.999234292602039</v>
      </c>
      <c r="J80" s="100"/>
      <c r="K80" s="100">
        <f t="shared" si="1"/>
        <v>2</v>
      </c>
      <c r="L80" s="100">
        <f t="shared" si="1"/>
        <v>0</v>
      </c>
      <c r="M80" s="100">
        <f t="shared" si="1"/>
        <v>2</v>
      </c>
      <c r="N80" s="100">
        <f t="shared" si="1"/>
        <v>0</v>
      </c>
      <c r="O80" s="99">
        <f t="shared" si="2"/>
        <v>876.66014803921632</v>
      </c>
      <c r="P80" s="99">
        <f t="shared" si="3"/>
        <v>-10182.088122872496</v>
      </c>
    </row>
    <row r="81" spans="3:16">
      <c r="C81" s="100">
        <v>4</v>
      </c>
      <c r="D81" s="100">
        <v>0</v>
      </c>
      <c r="E81" s="100">
        <v>0</v>
      </c>
      <c r="F81" s="100">
        <v>0</v>
      </c>
      <c r="G81" s="100">
        <v>3861</v>
      </c>
      <c r="H81" s="100">
        <v>-11650</v>
      </c>
      <c r="I81" s="100">
        <f t="shared" si="0"/>
        <v>1</v>
      </c>
      <c r="J81" s="100"/>
      <c r="K81" s="100">
        <f t="shared" si="1"/>
        <v>4</v>
      </c>
      <c r="L81" s="100">
        <f t="shared" si="1"/>
        <v>0</v>
      </c>
      <c r="M81" s="100">
        <f t="shared" si="1"/>
        <v>0</v>
      </c>
      <c r="N81" s="100">
        <f t="shared" si="1"/>
        <v>0</v>
      </c>
      <c r="O81" s="99">
        <f t="shared" si="2"/>
        <v>-1129.4559489004005</v>
      </c>
      <c r="P81" s="99">
        <f t="shared" si="3"/>
        <v>-11140.388627749411</v>
      </c>
    </row>
    <row r="82" spans="3:16">
      <c r="C82" s="100">
        <v>2</v>
      </c>
      <c r="D82" s="100">
        <v>0</v>
      </c>
      <c r="E82" s="100">
        <v>-3</v>
      </c>
      <c r="F82" s="100">
        <v>0</v>
      </c>
      <c r="G82" s="100">
        <v>3665</v>
      </c>
      <c r="H82" s="100">
        <v>14403</v>
      </c>
      <c r="I82" s="100">
        <f t="shared" si="0"/>
        <v>1</v>
      </c>
      <c r="J82" s="100"/>
      <c r="K82" s="100">
        <f t="shared" si="1"/>
        <v>2</v>
      </c>
      <c r="L82" s="100">
        <f t="shared" si="1"/>
        <v>0</v>
      </c>
      <c r="M82" s="100">
        <f t="shared" si="1"/>
        <v>-3</v>
      </c>
      <c r="N82" s="100">
        <f t="shared" si="1"/>
        <v>0</v>
      </c>
      <c r="O82" s="99">
        <f t="shared" si="2"/>
        <v>-2370.2710124821247</v>
      </c>
      <c r="P82" s="99">
        <f t="shared" si="3"/>
        <v>10985.423543724906</v>
      </c>
    </row>
    <row r="83" spans="3:16">
      <c r="C83" s="100">
        <v>0</v>
      </c>
      <c r="D83" s="100">
        <v>1</v>
      </c>
      <c r="E83" s="100">
        <v>-2</v>
      </c>
      <c r="F83" s="100">
        <v>0</v>
      </c>
      <c r="G83" s="100">
        <v>-2689</v>
      </c>
      <c r="H83" s="100">
        <v>-7003</v>
      </c>
      <c r="I83" s="100">
        <f t="shared" si="0"/>
        <v>0.999234292602039</v>
      </c>
      <c r="J83" s="100"/>
      <c r="K83" s="100">
        <f t="shared" si="1"/>
        <v>0</v>
      </c>
      <c r="L83" s="100">
        <f t="shared" si="1"/>
        <v>1</v>
      </c>
      <c r="M83" s="100">
        <f t="shared" si="1"/>
        <v>-2</v>
      </c>
      <c r="N83" s="100">
        <f t="shared" si="1"/>
        <v>0</v>
      </c>
      <c r="O83" s="99">
        <f t="shared" si="2"/>
        <v>-2140.8847726500471</v>
      </c>
      <c r="P83" s="99">
        <f t="shared" si="3"/>
        <v>-4228.5143263523805</v>
      </c>
    </row>
    <row r="84" spans="3:16">
      <c r="C84" s="100">
        <v>2</v>
      </c>
      <c r="D84" s="100">
        <v>0</v>
      </c>
      <c r="E84" s="100">
        <v>-1</v>
      </c>
      <c r="F84" s="100">
        <v>2</v>
      </c>
      <c r="G84" s="100">
        <v>-2602</v>
      </c>
      <c r="H84" s="100">
        <v>0</v>
      </c>
      <c r="I84" s="100">
        <f t="shared" si="0"/>
        <v>0.99961707298446989</v>
      </c>
      <c r="J84" s="100"/>
      <c r="K84" s="100">
        <f t="shared" si="1"/>
        <v>2</v>
      </c>
      <c r="L84" s="100">
        <f t="shared" si="1"/>
        <v>0</v>
      </c>
      <c r="M84" s="100">
        <f t="shared" si="1"/>
        <v>-1</v>
      </c>
      <c r="N84" s="100">
        <f t="shared" si="1"/>
        <v>2</v>
      </c>
      <c r="O84" s="99">
        <f t="shared" si="2"/>
        <v>2125.0939990876504</v>
      </c>
      <c r="P84" s="99">
        <f t="shared" si="3"/>
        <v>0</v>
      </c>
    </row>
    <row r="85" spans="3:16">
      <c r="C85" s="100">
        <v>2</v>
      </c>
      <c r="D85" s="100">
        <v>-1</v>
      </c>
      <c r="E85" s="100">
        <v>-2</v>
      </c>
      <c r="F85" s="100">
        <v>0</v>
      </c>
      <c r="G85" s="100">
        <v>2390</v>
      </c>
      <c r="H85" s="100">
        <v>10056</v>
      </c>
      <c r="I85" s="100">
        <f t="shared" si="0"/>
        <v>0.999234292602039</v>
      </c>
      <c r="J85" s="100"/>
      <c r="K85" s="100">
        <f t="shared" si="1"/>
        <v>2</v>
      </c>
      <c r="L85" s="100">
        <f t="shared" si="1"/>
        <v>-1</v>
      </c>
      <c r="M85" s="100">
        <f t="shared" si="1"/>
        <v>-2</v>
      </c>
      <c r="N85" s="100">
        <f t="shared" si="1"/>
        <v>0</v>
      </c>
      <c r="O85" s="99">
        <f t="shared" si="2"/>
        <v>-2320.0690732448406</v>
      </c>
      <c r="P85" s="99">
        <f t="shared" si="3"/>
        <v>-2382.5004797559654</v>
      </c>
    </row>
    <row r="86" spans="3:16">
      <c r="C86" s="100">
        <v>1</v>
      </c>
      <c r="D86" s="100">
        <v>0</v>
      </c>
      <c r="E86" s="100">
        <v>1</v>
      </c>
      <c r="F86" s="100">
        <v>0</v>
      </c>
      <c r="G86" s="100">
        <v>-2348</v>
      </c>
      <c r="H86" s="100">
        <v>6322</v>
      </c>
      <c r="I86" s="100">
        <f t="shared" si="0"/>
        <v>0.99961707298446989</v>
      </c>
      <c r="J86" s="100"/>
      <c r="K86" s="100">
        <f t="shared" si="1"/>
        <v>1</v>
      </c>
      <c r="L86" s="100">
        <f t="shared" si="1"/>
        <v>0</v>
      </c>
      <c r="M86" s="100">
        <f t="shared" si="1"/>
        <v>1</v>
      </c>
      <c r="N86" s="100">
        <f t="shared" si="1"/>
        <v>0</v>
      </c>
      <c r="O86" s="99">
        <f t="shared" si="2"/>
        <v>-259.37360032375659</v>
      </c>
      <c r="P86" s="99">
        <f t="shared" si="3"/>
        <v>6280.8731431989236</v>
      </c>
    </row>
    <row r="87" spans="3:16">
      <c r="C87" s="100">
        <v>2</v>
      </c>
      <c r="D87" s="100">
        <v>-2</v>
      </c>
      <c r="E87" s="100">
        <v>0</v>
      </c>
      <c r="F87" s="100">
        <v>0</v>
      </c>
      <c r="G87" s="100">
        <v>2236</v>
      </c>
      <c r="H87" s="100">
        <v>-9884</v>
      </c>
      <c r="I87" s="100">
        <f t="shared" si="0"/>
        <v>0.999234292602039</v>
      </c>
      <c r="J87" s="100"/>
      <c r="K87" s="100">
        <f t="shared" si="1"/>
        <v>2</v>
      </c>
      <c r="L87" s="100">
        <f t="shared" si="1"/>
        <v>-2</v>
      </c>
      <c r="M87" s="100">
        <f t="shared" si="1"/>
        <v>0</v>
      </c>
      <c r="N87" s="100">
        <f t="shared" si="1"/>
        <v>0</v>
      </c>
      <c r="O87" s="99">
        <f t="shared" si="2"/>
        <v>-889.5301027738218</v>
      </c>
      <c r="P87" s="99">
        <f t="shared" si="3"/>
        <v>9059.9506022116948</v>
      </c>
    </row>
    <row r="88" spans="3:16">
      <c r="C88" s="100">
        <v>0</v>
      </c>
      <c r="D88" s="100">
        <v>1</v>
      </c>
      <c r="E88" s="100">
        <v>2</v>
      </c>
      <c r="F88" s="100">
        <v>0</v>
      </c>
      <c r="G88" s="100">
        <v>-2120</v>
      </c>
      <c r="H88" s="100">
        <v>5751</v>
      </c>
      <c r="I88" s="100">
        <f t="shared" si="0"/>
        <v>0.999234292602039</v>
      </c>
      <c r="J88" s="100"/>
      <c r="K88" s="100">
        <f t="shared" si="1"/>
        <v>0</v>
      </c>
      <c r="L88" s="100">
        <f t="shared" si="1"/>
        <v>1</v>
      </c>
      <c r="M88" s="100">
        <f t="shared" si="1"/>
        <v>2</v>
      </c>
      <c r="N88" s="100">
        <f t="shared" si="1"/>
        <v>0</v>
      </c>
      <c r="O88" s="99">
        <f t="shared" si="2"/>
        <v>-2109.6213930480667</v>
      </c>
      <c r="P88" s="99">
        <f t="shared" si="3"/>
        <v>-521.92799762531547</v>
      </c>
    </row>
    <row r="89" spans="3:16">
      <c r="C89" s="100">
        <v>0</v>
      </c>
      <c r="D89" s="100">
        <v>2</v>
      </c>
      <c r="E89" s="100">
        <v>0</v>
      </c>
      <c r="F89" s="100">
        <v>0</v>
      </c>
      <c r="G89" s="100">
        <v>-2069</v>
      </c>
      <c r="H89" s="100">
        <v>0</v>
      </c>
      <c r="I89" s="100">
        <f t="shared" si="0"/>
        <v>0.999234292602039</v>
      </c>
      <c r="J89" s="100"/>
      <c r="K89" s="100">
        <f t="shared" si="1"/>
        <v>0</v>
      </c>
      <c r="L89" s="100">
        <f t="shared" si="1"/>
        <v>2</v>
      </c>
      <c r="M89" s="100">
        <f t="shared" si="1"/>
        <v>0</v>
      </c>
      <c r="N89" s="100">
        <f t="shared" si="1"/>
        <v>0</v>
      </c>
      <c r="O89" s="99">
        <f t="shared" si="2"/>
        <v>-1094.5184725715726</v>
      </c>
      <c r="P89" s="99">
        <f t="shared" si="3"/>
        <v>0</v>
      </c>
    </row>
    <row r="90" spans="3:16">
      <c r="C90" s="100">
        <v>2</v>
      </c>
      <c r="D90" s="100">
        <v>-2</v>
      </c>
      <c r="E90" s="100">
        <v>-1</v>
      </c>
      <c r="F90" s="100">
        <v>0</v>
      </c>
      <c r="G90" s="100">
        <v>2048</v>
      </c>
      <c r="H90" s="100">
        <v>-4950</v>
      </c>
      <c r="I90" s="100">
        <f t="shared" si="0"/>
        <v>0.999234292602039</v>
      </c>
      <c r="J90" s="100"/>
      <c r="K90" s="100">
        <f t="shared" si="1"/>
        <v>2</v>
      </c>
      <c r="L90" s="100">
        <f t="shared" si="1"/>
        <v>-2</v>
      </c>
      <c r="M90" s="100">
        <f t="shared" si="1"/>
        <v>-1</v>
      </c>
      <c r="N90" s="100">
        <f t="shared" si="1"/>
        <v>0</v>
      </c>
      <c r="O90" s="99">
        <f t="shared" si="2"/>
        <v>-455.61852541569431</v>
      </c>
      <c r="P90" s="99">
        <f t="shared" si="3"/>
        <v>4822.0629666949644</v>
      </c>
    </row>
    <row r="91" spans="3:16">
      <c r="C91" s="100">
        <v>2</v>
      </c>
      <c r="D91" s="100">
        <v>0</v>
      </c>
      <c r="E91" s="100">
        <v>1</v>
      </c>
      <c r="F91" s="100">
        <v>-2</v>
      </c>
      <c r="G91" s="100">
        <v>-1773</v>
      </c>
      <c r="H91" s="100">
        <v>4130</v>
      </c>
      <c r="I91" s="100">
        <f t="shared" si="0"/>
        <v>0.99961707298446989</v>
      </c>
      <c r="J91" s="100"/>
      <c r="K91" s="100">
        <f t="shared" si="1"/>
        <v>2</v>
      </c>
      <c r="L91" s="100">
        <f t="shared" si="1"/>
        <v>0</v>
      </c>
      <c r="M91" s="100">
        <f t="shared" si="1"/>
        <v>1</v>
      </c>
      <c r="N91" s="100">
        <f t="shared" si="1"/>
        <v>-2</v>
      </c>
      <c r="O91" s="99">
        <f t="shared" si="2"/>
        <v>-1085.7542759809696</v>
      </c>
      <c r="P91" s="99">
        <f t="shared" si="3"/>
        <v>3263.018608225716</v>
      </c>
    </row>
    <row r="92" spans="3:16">
      <c r="C92" s="100">
        <v>2</v>
      </c>
      <c r="D92" s="100">
        <v>0</v>
      </c>
      <c r="E92" s="100">
        <v>0</v>
      </c>
      <c r="F92" s="100">
        <v>2</v>
      </c>
      <c r="G92" s="100">
        <v>-1595</v>
      </c>
      <c r="H92" s="100">
        <v>0</v>
      </c>
      <c r="I92" s="100">
        <f t="shared" si="0"/>
        <v>1</v>
      </c>
      <c r="J92" s="100"/>
      <c r="K92" s="100">
        <f t="shared" si="1"/>
        <v>2</v>
      </c>
      <c r="L92" s="100">
        <f t="shared" si="1"/>
        <v>0</v>
      </c>
      <c r="M92" s="100">
        <f t="shared" si="1"/>
        <v>0</v>
      </c>
      <c r="N92" s="100">
        <f t="shared" si="1"/>
        <v>2</v>
      </c>
      <c r="O92" s="99">
        <f t="shared" si="2"/>
        <v>1111.8079312945915</v>
      </c>
      <c r="P92" s="99">
        <f t="shared" si="3"/>
        <v>0</v>
      </c>
    </row>
    <row r="93" spans="3:16">
      <c r="C93" s="100">
        <v>4</v>
      </c>
      <c r="D93" s="100">
        <v>-1</v>
      </c>
      <c r="E93" s="100">
        <v>-1</v>
      </c>
      <c r="F93" s="100">
        <v>0</v>
      </c>
      <c r="G93" s="100">
        <v>1215</v>
      </c>
      <c r="H93" s="100">
        <v>-3958</v>
      </c>
      <c r="I93" s="100">
        <f t="shared" si="0"/>
        <v>0.99961707298446989</v>
      </c>
      <c r="J93" s="100"/>
      <c r="K93" s="100">
        <f t="shared" si="1"/>
        <v>4</v>
      </c>
      <c r="L93" s="100">
        <f t="shared" si="1"/>
        <v>-1</v>
      </c>
      <c r="M93" s="100">
        <f t="shared" si="1"/>
        <v>-1</v>
      </c>
      <c r="N93" s="100">
        <f t="shared" si="1"/>
        <v>0</v>
      </c>
      <c r="O93" s="99">
        <f t="shared" si="2"/>
        <v>-1189.6279726691489</v>
      </c>
      <c r="P93" s="99">
        <f t="shared" si="3"/>
        <v>797.15019155415314</v>
      </c>
    </row>
    <row r="94" spans="3:16">
      <c r="C94" s="100">
        <v>0</v>
      </c>
      <c r="D94" s="100">
        <v>0</v>
      </c>
      <c r="E94" s="100">
        <v>2</v>
      </c>
      <c r="F94" s="100">
        <v>2</v>
      </c>
      <c r="G94" s="100">
        <v>-1110</v>
      </c>
      <c r="H94" s="100">
        <v>0</v>
      </c>
      <c r="I94" s="100">
        <f t="shared" si="0"/>
        <v>0.999234292602039</v>
      </c>
      <c r="J94" s="100"/>
      <c r="K94" s="100">
        <f t="shared" si="1"/>
        <v>0</v>
      </c>
      <c r="L94" s="100">
        <f t="shared" si="1"/>
        <v>0</v>
      </c>
      <c r="M94" s="100">
        <f t="shared" si="1"/>
        <v>2</v>
      </c>
      <c r="N94" s="100">
        <f t="shared" si="1"/>
        <v>2</v>
      </c>
      <c r="O94" s="99">
        <f t="shared" si="2"/>
        <v>277.57415516322106</v>
      </c>
      <c r="P94" s="99">
        <f t="shared" si="3"/>
        <v>0</v>
      </c>
    </row>
    <row r="95" spans="3:16">
      <c r="C95" s="100">
        <v>3</v>
      </c>
      <c r="D95" s="100">
        <v>0</v>
      </c>
      <c r="E95" s="100">
        <v>-1</v>
      </c>
      <c r="F95" s="100">
        <v>0</v>
      </c>
      <c r="G95" s="100">
        <v>-892</v>
      </c>
      <c r="H95" s="100">
        <v>3258</v>
      </c>
      <c r="I95" s="100">
        <f t="shared" si="0"/>
        <v>0.99961707298446989</v>
      </c>
      <c r="J95" s="100"/>
      <c r="K95" s="100">
        <f t="shared" si="1"/>
        <v>3</v>
      </c>
      <c r="L95" s="100">
        <f t="shared" si="1"/>
        <v>0</v>
      </c>
      <c r="M95" s="100">
        <f t="shared" si="1"/>
        <v>-1</v>
      </c>
      <c r="N95" s="100">
        <f t="shared" si="1"/>
        <v>0</v>
      </c>
      <c r="O95" s="99">
        <f t="shared" si="2"/>
        <v>353.4639011312546</v>
      </c>
      <c r="P95" s="99">
        <f t="shared" si="3"/>
        <v>2989.9358840915993</v>
      </c>
    </row>
    <row r="96" spans="3:16">
      <c r="C96" s="100">
        <v>2</v>
      </c>
      <c r="D96" s="100">
        <v>1</v>
      </c>
      <c r="E96" s="100">
        <v>1</v>
      </c>
      <c r="F96" s="100">
        <v>0</v>
      </c>
      <c r="G96" s="100">
        <v>-810</v>
      </c>
      <c r="H96" s="100">
        <v>2616</v>
      </c>
      <c r="I96" s="100">
        <f t="shared" si="0"/>
        <v>0.99961707298446989</v>
      </c>
      <c r="J96" s="100"/>
      <c r="K96" s="100">
        <f t="shared" si="1"/>
        <v>2</v>
      </c>
      <c r="L96" s="100">
        <f t="shared" si="1"/>
        <v>1</v>
      </c>
      <c r="M96" s="100">
        <f t="shared" si="1"/>
        <v>1</v>
      </c>
      <c r="N96" s="100">
        <f t="shared" si="1"/>
        <v>0</v>
      </c>
      <c r="O96" s="99">
        <f t="shared" si="2"/>
        <v>-786.01087134842294</v>
      </c>
      <c r="P96" s="99">
        <f t="shared" si="3"/>
        <v>627.78325877677412</v>
      </c>
    </row>
    <row r="97" spans="3:16">
      <c r="C97" s="100">
        <v>4</v>
      </c>
      <c r="D97" s="100">
        <v>-1</v>
      </c>
      <c r="E97" s="100">
        <v>-2</v>
      </c>
      <c r="F97" s="100">
        <v>0</v>
      </c>
      <c r="G97" s="100">
        <v>759</v>
      </c>
      <c r="H97" s="100">
        <v>-1897</v>
      </c>
      <c r="I97" s="100">
        <f t="shared" si="0"/>
        <v>0.999234292602039</v>
      </c>
      <c r="J97" s="100"/>
      <c r="K97" s="100">
        <f t="shared" si="1"/>
        <v>4</v>
      </c>
      <c r="L97" s="100">
        <f t="shared" si="1"/>
        <v>-1</v>
      </c>
      <c r="M97" s="100">
        <f t="shared" si="1"/>
        <v>-2</v>
      </c>
      <c r="N97" s="100">
        <f t="shared" si="1"/>
        <v>0</v>
      </c>
      <c r="O97" s="99">
        <f t="shared" si="2"/>
        <v>-702.09535188559926</v>
      </c>
      <c r="P97" s="99">
        <f t="shared" si="3"/>
        <v>716.84154863673916</v>
      </c>
    </row>
    <row r="98" spans="3:16">
      <c r="C98" s="100">
        <v>0</v>
      </c>
      <c r="D98" s="100">
        <v>2</v>
      </c>
      <c r="E98" s="100">
        <v>-1</v>
      </c>
      <c r="F98" s="100">
        <v>0</v>
      </c>
      <c r="G98" s="100">
        <v>-713</v>
      </c>
      <c r="H98" s="100">
        <v>-2117</v>
      </c>
      <c r="I98" s="100">
        <f t="shared" si="0"/>
        <v>0.999234292602039</v>
      </c>
      <c r="J98" s="100"/>
      <c r="K98" s="100">
        <f t="shared" si="1"/>
        <v>0</v>
      </c>
      <c r="L98" s="100">
        <f t="shared" si="1"/>
        <v>2</v>
      </c>
      <c r="M98" s="100">
        <f t="shared" si="1"/>
        <v>-1</v>
      </c>
      <c r="N98" s="100">
        <f t="shared" si="1"/>
        <v>0</v>
      </c>
      <c r="O98" s="99">
        <f t="shared" si="2"/>
        <v>-481.9026496075046</v>
      </c>
      <c r="P98" s="99">
        <f t="shared" si="3"/>
        <v>1558.0530331309101</v>
      </c>
    </row>
    <row r="99" spans="3:16">
      <c r="C99" s="100">
        <v>2</v>
      </c>
      <c r="D99" s="100">
        <v>2</v>
      </c>
      <c r="E99" s="100">
        <v>-1</v>
      </c>
      <c r="F99" s="100">
        <v>0</v>
      </c>
      <c r="G99" s="100">
        <v>-700</v>
      </c>
      <c r="H99" s="100">
        <v>2354</v>
      </c>
      <c r="I99" s="100">
        <f t="shared" si="0"/>
        <v>0.999234292602039</v>
      </c>
      <c r="J99" s="100"/>
      <c r="K99" s="100">
        <f t="shared" si="1"/>
        <v>2</v>
      </c>
      <c r="L99" s="100">
        <f t="shared" si="1"/>
        <v>2</v>
      </c>
      <c r="M99" s="100">
        <f t="shared" si="1"/>
        <v>-1</v>
      </c>
      <c r="N99" s="100">
        <f t="shared" si="1"/>
        <v>0</v>
      </c>
      <c r="O99" s="99">
        <f t="shared" si="2"/>
        <v>-544.104199012045</v>
      </c>
      <c r="P99" s="99">
        <f t="shared" si="3"/>
        <v>-1478.1297498239917</v>
      </c>
    </row>
    <row r="100" spans="3:16">
      <c r="C100" s="100">
        <v>2</v>
      </c>
      <c r="D100" s="100">
        <v>1</v>
      </c>
      <c r="E100" s="100">
        <v>-2</v>
      </c>
      <c r="F100" s="100">
        <v>0</v>
      </c>
      <c r="G100" s="100">
        <v>691</v>
      </c>
      <c r="H100" s="100">
        <v>0</v>
      </c>
      <c r="I100" s="100">
        <f t="shared" si="0"/>
        <v>0.999234292602039</v>
      </c>
      <c r="J100" s="100"/>
      <c r="K100" s="100">
        <f t="shared" si="1"/>
        <v>2</v>
      </c>
      <c r="L100" s="100">
        <f t="shared" si="1"/>
        <v>1</v>
      </c>
      <c r="M100" s="100">
        <f t="shared" si="1"/>
        <v>-2</v>
      </c>
      <c r="N100" s="100">
        <f t="shared" si="1"/>
        <v>0</v>
      </c>
      <c r="O100" s="99">
        <f t="shared" si="2"/>
        <v>482.39422458143406</v>
      </c>
      <c r="P100" s="99">
        <f t="shared" si="3"/>
        <v>0</v>
      </c>
    </row>
    <row r="101" spans="3:16">
      <c r="C101" s="100">
        <v>2</v>
      </c>
      <c r="D101" s="100">
        <v>-1</v>
      </c>
      <c r="E101" s="100">
        <v>0</v>
      </c>
      <c r="F101" s="100">
        <v>-2</v>
      </c>
      <c r="G101" s="100">
        <v>596</v>
      </c>
      <c r="H101" s="100">
        <v>0</v>
      </c>
      <c r="I101" s="100">
        <f t="shared" si="0"/>
        <v>0.99961707298446989</v>
      </c>
      <c r="J101" s="100"/>
      <c r="K101" s="100">
        <f t="shared" si="1"/>
        <v>2</v>
      </c>
      <c r="L101" s="100">
        <f t="shared" si="1"/>
        <v>-1</v>
      </c>
      <c r="M101" s="100">
        <f t="shared" si="1"/>
        <v>0</v>
      </c>
      <c r="N101" s="100">
        <f t="shared" si="1"/>
        <v>-2</v>
      </c>
      <c r="O101" s="99">
        <f t="shared" si="2"/>
        <v>-434.54838588745235</v>
      </c>
      <c r="P101" s="99">
        <f t="shared" si="3"/>
        <v>0</v>
      </c>
    </row>
    <row r="102" spans="3:16">
      <c r="C102" s="100">
        <v>4</v>
      </c>
      <c r="D102" s="100">
        <v>0</v>
      </c>
      <c r="E102" s="100">
        <v>1</v>
      </c>
      <c r="F102" s="100">
        <v>0</v>
      </c>
      <c r="G102" s="100">
        <v>549</v>
      </c>
      <c r="H102" s="100">
        <v>-1423</v>
      </c>
      <c r="I102" s="100">
        <f t="shared" si="0"/>
        <v>0.99961707298446989</v>
      </c>
      <c r="J102" s="100"/>
      <c r="K102" s="100">
        <f t="shared" si="1"/>
        <v>4</v>
      </c>
      <c r="L102" s="100">
        <f t="shared" si="1"/>
        <v>0</v>
      </c>
      <c r="M102" s="100">
        <f t="shared" si="1"/>
        <v>1</v>
      </c>
      <c r="N102" s="100">
        <f t="shared" si="1"/>
        <v>0</v>
      </c>
      <c r="O102" s="99">
        <f t="shared" si="2"/>
        <v>-61.2918073856994</v>
      </c>
      <c r="P102" s="99">
        <f t="shared" si="3"/>
        <v>-1413.5556668737663</v>
      </c>
    </row>
    <row r="103" spans="3:16">
      <c r="C103" s="100">
        <v>0</v>
      </c>
      <c r="D103" s="100">
        <v>0</v>
      </c>
      <c r="E103" s="100">
        <v>4</v>
      </c>
      <c r="F103" s="100">
        <v>0</v>
      </c>
      <c r="G103" s="100">
        <v>537</v>
      </c>
      <c r="H103" s="100">
        <v>-1117</v>
      </c>
      <c r="I103" s="100">
        <f t="shared" si="0"/>
        <v>1</v>
      </c>
      <c r="J103" s="100"/>
      <c r="K103" s="100">
        <f t="shared" si="1"/>
        <v>0</v>
      </c>
      <c r="L103" s="100">
        <f t="shared" si="1"/>
        <v>0</v>
      </c>
      <c r="M103" s="100">
        <f t="shared" si="1"/>
        <v>4</v>
      </c>
      <c r="N103" s="100">
        <f t="shared" si="1"/>
        <v>0</v>
      </c>
      <c r="O103" s="99">
        <f t="shared" si="2"/>
        <v>362.01639348391831</v>
      </c>
      <c r="P103" s="99">
        <f t="shared" si="3"/>
        <v>-825.0141069955755</v>
      </c>
    </row>
    <row r="104" spans="3:16">
      <c r="C104" s="100">
        <v>4</v>
      </c>
      <c r="D104" s="100">
        <v>-1</v>
      </c>
      <c r="E104" s="100">
        <v>0</v>
      </c>
      <c r="F104" s="100">
        <v>0</v>
      </c>
      <c r="G104" s="100">
        <v>520</v>
      </c>
      <c r="H104" s="100">
        <v>-1571</v>
      </c>
      <c r="I104" s="100">
        <f t="shared" si="0"/>
        <v>0.99961707298446989</v>
      </c>
      <c r="J104" s="100"/>
      <c r="K104" s="100">
        <f t="shared" si="1"/>
        <v>4</v>
      </c>
      <c r="L104" s="100">
        <f t="shared" si="1"/>
        <v>-1</v>
      </c>
      <c r="M104" s="100">
        <f t="shared" si="1"/>
        <v>0</v>
      </c>
      <c r="N104" s="100">
        <f t="shared" si="1"/>
        <v>0</v>
      </c>
      <c r="O104" s="99">
        <f t="shared" si="2"/>
        <v>-519.71745535172806</v>
      </c>
      <c r="P104" s="99">
        <f t="shared" si="3"/>
        <v>28.133954390982328</v>
      </c>
    </row>
    <row r="105" spans="3:16">
      <c r="C105" s="100">
        <v>1</v>
      </c>
      <c r="D105" s="100">
        <v>0</v>
      </c>
      <c r="E105" s="100">
        <v>-2</v>
      </c>
      <c r="F105" s="100">
        <v>0</v>
      </c>
      <c r="G105" s="100">
        <v>-487</v>
      </c>
      <c r="H105" s="100">
        <v>-1739</v>
      </c>
      <c r="I105" s="100">
        <f t="shared" si="0"/>
        <v>0.999234292602039</v>
      </c>
      <c r="J105" s="100"/>
      <c r="K105" s="100">
        <f t="shared" si="1"/>
        <v>1</v>
      </c>
      <c r="L105" s="100">
        <f t="shared" si="1"/>
        <v>0</v>
      </c>
      <c r="M105" s="100">
        <f t="shared" si="1"/>
        <v>-2</v>
      </c>
      <c r="N105" s="100">
        <f t="shared" si="1"/>
        <v>0</v>
      </c>
      <c r="O105" s="99">
        <f t="shared" si="2"/>
        <v>209.08657770644882</v>
      </c>
      <c r="P105" s="99">
        <f t="shared" si="3"/>
        <v>-1569.0944734950804</v>
      </c>
    </row>
    <row r="106" spans="3:16">
      <c r="C106" s="100">
        <v>2</v>
      </c>
      <c r="D106" s="100">
        <v>1</v>
      </c>
      <c r="E106" s="100">
        <v>0</v>
      </c>
      <c r="F106" s="100">
        <v>-2</v>
      </c>
      <c r="G106" s="100">
        <v>-399</v>
      </c>
      <c r="H106" s="100">
        <v>0</v>
      </c>
      <c r="I106" s="100">
        <f t="shared" si="0"/>
        <v>0.99961707298446989</v>
      </c>
      <c r="J106" s="100"/>
      <c r="K106" s="100">
        <f t="shared" si="1"/>
        <v>2</v>
      </c>
      <c r="L106" s="100">
        <f t="shared" si="1"/>
        <v>1</v>
      </c>
      <c r="M106" s="100">
        <f t="shared" si="1"/>
        <v>0</v>
      </c>
      <c r="N106" s="100">
        <f t="shared" si="1"/>
        <v>-2</v>
      </c>
      <c r="O106" s="99">
        <f t="shared" si="2"/>
        <v>-391.25246488396573</v>
      </c>
      <c r="P106" s="99">
        <f t="shared" si="3"/>
        <v>0</v>
      </c>
    </row>
    <row r="107" spans="3:16">
      <c r="C107" s="100">
        <v>0</v>
      </c>
      <c r="D107" s="100">
        <v>0</v>
      </c>
      <c r="E107" s="100">
        <v>2</v>
      </c>
      <c r="F107" s="100">
        <v>-2</v>
      </c>
      <c r="G107" s="100">
        <v>-381</v>
      </c>
      <c r="H107" s="100">
        <v>-4421</v>
      </c>
      <c r="I107" s="100">
        <f t="shared" si="0"/>
        <v>0.999234292602039</v>
      </c>
      <c r="J107" s="100"/>
      <c r="K107" s="100">
        <f t="shared" si="1"/>
        <v>0</v>
      </c>
      <c r="L107" s="100">
        <f t="shared" si="1"/>
        <v>0</v>
      </c>
      <c r="M107" s="100">
        <f t="shared" si="1"/>
        <v>2</v>
      </c>
      <c r="N107" s="100">
        <f t="shared" si="1"/>
        <v>-2</v>
      </c>
      <c r="O107" s="99">
        <f t="shared" si="2"/>
        <v>-318.85628485359626</v>
      </c>
      <c r="P107" s="99">
        <f t="shared" si="3"/>
        <v>-2413.716403067659</v>
      </c>
    </row>
    <row r="108" spans="3:16">
      <c r="C108" s="100">
        <v>1</v>
      </c>
      <c r="D108" s="100">
        <v>1</v>
      </c>
      <c r="E108" s="100">
        <v>1</v>
      </c>
      <c r="F108" s="100">
        <v>0</v>
      </c>
      <c r="G108" s="100">
        <v>351</v>
      </c>
      <c r="H108" s="100">
        <v>0</v>
      </c>
      <c r="I108" s="100">
        <f t="shared" si="0"/>
        <v>0.99961707298446989</v>
      </c>
      <c r="J108" s="100"/>
      <c r="K108" s="100">
        <f t="shared" si="1"/>
        <v>1</v>
      </c>
      <c r="L108" s="100">
        <f t="shared" si="1"/>
        <v>1</v>
      </c>
      <c r="M108" s="100">
        <f t="shared" si="1"/>
        <v>1</v>
      </c>
      <c r="N108" s="100">
        <f t="shared" si="1"/>
        <v>0</v>
      </c>
      <c r="O108" s="99">
        <f t="shared" si="2"/>
        <v>345.91286788108255</v>
      </c>
      <c r="P108" s="99">
        <f t="shared" si="3"/>
        <v>0</v>
      </c>
    </row>
    <row r="109" spans="3:16">
      <c r="C109" s="100">
        <v>3</v>
      </c>
      <c r="D109" s="100">
        <v>0</v>
      </c>
      <c r="E109" s="100">
        <v>-2</v>
      </c>
      <c r="F109" s="100">
        <v>0</v>
      </c>
      <c r="G109" s="100">
        <v>-340</v>
      </c>
      <c r="H109" s="100">
        <v>0</v>
      </c>
      <c r="I109" s="100">
        <f t="shared" si="0"/>
        <v>0.999234292602039</v>
      </c>
      <c r="J109" s="100"/>
      <c r="K109" s="100">
        <f t="shared" si="1"/>
        <v>3</v>
      </c>
      <c r="L109" s="100">
        <f t="shared" si="1"/>
        <v>0</v>
      </c>
      <c r="M109" s="100">
        <f t="shared" si="1"/>
        <v>-2</v>
      </c>
      <c r="N109" s="100">
        <f t="shared" si="1"/>
        <v>0</v>
      </c>
      <c r="O109" s="99">
        <f t="shared" si="2"/>
        <v>189.73915209638133</v>
      </c>
      <c r="P109" s="99">
        <f t="shared" si="3"/>
        <v>0</v>
      </c>
    </row>
    <row r="110" spans="3:16">
      <c r="C110" s="100">
        <v>4</v>
      </c>
      <c r="D110" s="100">
        <v>0</v>
      </c>
      <c r="E110" s="100">
        <v>-3</v>
      </c>
      <c r="F110" s="100">
        <v>0</v>
      </c>
      <c r="G110" s="100">
        <v>330</v>
      </c>
      <c r="H110" s="100">
        <v>0</v>
      </c>
      <c r="I110" s="100">
        <f t="shared" si="0"/>
        <v>1</v>
      </c>
      <c r="J110" s="100"/>
      <c r="K110" s="100">
        <f t="shared" si="1"/>
        <v>4</v>
      </c>
      <c r="L110" s="100">
        <f t="shared" si="1"/>
        <v>0</v>
      </c>
      <c r="M110" s="100">
        <f t="shared" si="1"/>
        <v>-3</v>
      </c>
      <c r="N110" s="100">
        <f t="shared" si="1"/>
        <v>0</v>
      </c>
      <c r="O110" s="99">
        <f t="shared" si="2"/>
        <v>-248.29823589936279</v>
      </c>
      <c r="P110" s="99">
        <f t="shared" si="3"/>
        <v>0</v>
      </c>
    </row>
    <row r="111" spans="3:16">
      <c r="C111" s="100">
        <v>2</v>
      </c>
      <c r="D111" s="100">
        <v>-1</v>
      </c>
      <c r="E111" s="100">
        <v>2</v>
      </c>
      <c r="F111" s="100">
        <v>0</v>
      </c>
      <c r="G111" s="100">
        <v>327</v>
      </c>
      <c r="H111" s="100">
        <v>0</v>
      </c>
      <c r="I111" s="100">
        <f t="shared" si="0"/>
        <v>0.999234292602039</v>
      </c>
      <c r="J111" s="100"/>
      <c r="K111" s="100">
        <f t="shared" si="1"/>
        <v>2</v>
      </c>
      <c r="L111" s="100">
        <f t="shared" si="1"/>
        <v>-1</v>
      </c>
      <c r="M111" s="100">
        <f t="shared" si="1"/>
        <v>2</v>
      </c>
      <c r="N111" s="100">
        <f t="shared" si="1"/>
        <v>0</v>
      </c>
      <c r="O111" s="99">
        <f t="shared" si="2"/>
        <v>-286.68343995990148</v>
      </c>
      <c r="P111" s="99">
        <f t="shared" si="3"/>
        <v>0</v>
      </c>
    </row>
    <row r="112" spans="3:16">
      <c r="C112" s="100">
        <v>0</v>
      </c>
      <c r="D112" s="100">
        <v>2</v>
      </c>
      <c r="E112" s="100">
        <v>1</v>
      </c>
      <c r="F112" s="100">
        <v>0</v>
      </c>
      <c r="G112" s="100">
        <v>-323</v>
      </c>
      <c r="H112" s="100">
        <v>1165</v>
      </c>
      <c r="I112" s="100">
        <f t="shared" si="0"/>
        <v>0.999234292602039</v>
      </c>
      <c r="J112" s="100"/>
      <c r="K112" s="100">
        <f t="shared" si="1"/>
        <v>0</v>
      </c>
      <c r="L112" s="100">
        <f t="shared" si="1"/>
        <v>2</v>
      </c>
      <c r="M112" s="100">
        <f t="shared" si="1"/>
        <v>1</v>
      </c>
      <c r="N112" s="100">
        <f t="shared" si="1"/>
        <v>0</v>
      </c>
      <c r="O112" s="99">
        <f t="shared" si="2"/>
        <v>-117.60178378070279</v>
      </c>
      <c r="P112" s="99">
        <f t="shared" si="3"/>
        <v>-1084.0799404665045</v>
      </c>
    </row>
    <row r="113" spans="3:16">
      <c r="C113" s="100">
        <v>1</v>
      </c>
      <c r="D113" s="100">
        <v>1</v>
      </c>
      <c r="E113" s="100">
        <v>-1</v>
      </c>
      <c r="F113" s="100">
        <v>0</v>
      </c>
      <c r="G113" s="100">
        <v>299</v>
      </c>
      <c r="H113" s="100">
        <v>0</v>
      </c>
      <c r="I113" s="100">
        <f t="shared" si="0"/>
        <v>0.99961707298446989</v>
      </c>
      <c r="J113" s="100"/>
      <c r="K113" s="100">
        <f t="shared" si="1"/>
        <v>1</v>
      </c>
      <c r="L113" s="100">
        <f t="shared" si="1"/>
        <v>1</v>
      </c>
      <c r="M113" s="100">
        <f t="shared" si="1"/>
        <v>-1</v>
      </c>
      <c r="N113" s="100">
        <f t="shared" si="1"/>
        <v>0</v>
      </c>
      <c r="O113" s="99">
        <f t="shared" si="2"/>
        <v>256.64445995364838</v>
      </c>
      <c r="P113" s="99">
        <f t="shared" si="3"/>
        <v>0</v>
      </c>
    </row>
    <row r="114" spans="3:16">
      <c r="C114" s="100">
        <v>2</v>
      </c>
      <c r="D114" s="100">
        <v>0</v>
      </c>
      <c r="E114" s="100">
        <v>3</v>
      </c>
      <c r="F114" s="100">
        <v>0</v>
      </c>
      <c r="G114" s="100">
        <v>294</v>
      </c>
      <c r="H114" s="100">
        <v>0</v>
      </c>
      <c r="I114" s="100">
        <f t="shared" si="0"/>
        <v>1</v>
      </c>
      <c r="J114" s="100"/>
      <c r="K114" s="100">
        <f t="shared" si="1"/>
        <v>2</v>
      </c>
      <c r="L114" s="100">
        <f t="shared" si="1"/>
        <v>0</v>
      </c>
      <c r="M114" s="100">
        <f t="shared" si="1"/>
        <v>3</v>
      </c>
      <c r="N114" s="100">
        <f t="shared" si="1"/>
        <v>0</v>
      </c>
      <c r="O114" s="99">
        <f t="shared" si="2"/>
        <v>116.22522400186391</v>
      </c>
      <c r="P114" s="99">
        <f t="shared" si="3"/>
        <v>0</v>
      </c>
    </row>
    <row r="115" spans="3:16">
      <c r="C115" s="100">
        <v>2</v>
      </c>
      <c r="D115" s="100">
        <v>0</v>
      </c>
      <c r="E115" s="100">
        <v>-1</v>
      </c>
      <c r="F115" s="100">
        <v>-2</v>
      </c>
      <c r="G115" s="100">
        <v>0</v>
      </c>
      <c r="H115" s="100">
        <v>8752</v>
      </c>
      <c r="I115" s="100">
        <f t="shared" si="0"/>
        <v>0.99961707298446989</v>
      </c>
      <c r="J115" s="100"/>
      <c r="K115" s="100">
        <f t="shared" si="1"/>
        <v>2</v>
      </c>
      <c r="L115" s="100">
        <f t="shared" si="1"/>
        <v>0</v>
      </c>
      <c r="M115" s="100">
        <f t="shared" si="1"/>
        <v>-1</v>
      </c>
      <c r="N115" s="100">
        <f t="shared" si="1"/>
        <v>-2</v>
      </c>
      <c r="O115" s="99">
        <f t="shared" si="2"/>
        <v>0</v>
      </c>
      <c r="P115" s="99">
        <f t="shared" si="3"/>
        <v>8384.6794225752656</v>
      </c>
    </row>
    <row r="116" spans="3:16">
      <c r="O116" s="99">
        <f>SUM(O56:O115)+D43</f>
        <v>407728.47607092076</v>
      </c>
      <c r="P116" s="99">
        <f>SUM(P56:P115)</f>
        <v>-27375717.57762292</v>
      </c>
    </row>
    <row r="117" spans="3:16">
      <c r="O117" s="99">
        <f>O116/1000000</f>
        <v>0.40772847607092078</v>
      </c>
      <c r="P117" s="99">
        <f>P116/1000</f>
        <v>-27375.71757762292</v>
      </c>
    </row>
    <row r="118" spans="3:16">
      <c r="C118" s="100" t="s">
        <v>159</v>
      </c>
      <c r="D118" s="100" t="s">
        <v>32</v>
      </c>
      <c r="E118" s="100" t="s">
        <v>66</v>
      </c>
      <c r="F118" s="100" t="s">
        <v>160</v>
      </c>
      <c r="G118" s="100" t="s">
        <v>171</v>
      </c>
      <c r="I118" s="100" t="s">
        <v>166</v>
      </c>
      <c r="J118" s="100"/>
      <c r="K118" s="100" t="s">
        <v>159</v>
      </c>
      <c r="L118" s="100" t="s">
        <v>166</v>
      </c>
      <c r="M118" s="100" t="s">
        <v>165</v>
      </c>
      <c r="N118" s="100" t="s">
        <v>160</v>
      </c>
      <c r="O118" s="100" t="s">
        <v>172</v>
      </c>
    </row>
    <row r="119" spans="3:16">
      <c r="C119" s="100">
        <v>0</v>
      </c>
      <c r="D119" s="100">
        <v>0</v>
      </c>
      <c r="E119" s="100">
        <v>0</v>
      </c>
      <c r="F119" s="100">
        <v>1</v>
      </c>
      <c r="G119" s="100">
        <v>5128122</v>
      </c>
      <c r="I119" s="100">
        <f>IF(ABS(D119)=2,$D$48,IF(ABS(E119)=2,$D$48,IF(ABS(D119)=1,$D$47,IF(ABS(E119)=1,$D$47,1))))</f>
        <v>1</v>
      </c>
      <c r="J119" s="100"/>
      <c r="K119" s="100">
        <f>C119</f>
        <v>0</v>
      </c>
      <c r="L119" s="100">
        <f t="shared" ref="L119:N134" si="4">D119</f>
        <v>0</v>
      </c>
      <c r="M119" s="100">
        <f t="shared" si="4"/>
        <v>0</v>
      </c>
      <c r="N119" s="100">
        <f t="shared" si="4"/>
        <v>1</v>
      </c>
      <c r="O119" s="99">
        <f t="shared" ref="O119:O178" si="5">I119*G119*SIN(((K119*$D$9+L119*$D$10+M119*$D$11+N119*$D$12))*PI()/180)</f>
        <v>1571338.2066401222</v>
      </c>
    </row>
    <row r="120" spans="3:16">
      <c r="C120" s="100">
        <v>0</v>
      </c>
      <c r="D120" s="100">
        <v>0</v>
      </c>
      <c r="E120" s="100">
        <v>1</v>
      </c>
      <c r="F120" s="100">
        <v>1</v>
      </c>
      <c r="G120" s="100">
        <v>280602</v>
      </c>
      <c r="I120" s="100">
        <f t="shared" ref="I120:I178" si="6">IF(ABS(D120)=2,$D$48,IF(ABS(E120)=2,$D$48,IF(ABS(D120)=1,$D$47,IF(ABS(E120)=1,$D$47,1))))</f>
        <v>0.99961707298446989</v>
      </c>
      <c r="J120" s="100"/>
      <c r="K120" s="100">
        <f t="shared" ref="K120:N178" si="7">C120</f>
        <v>0</v>
      </c>
      <c r="L120" s="100">
        <f t="shared" si="4"/>
        <v>0</v>
      </c>
      <c r="M120" s="100">
        <f t="shared" si="4"/>
        <v>1</v>
      </c>
      <c r="N120" s="100">
        <f t="shared" si="4"/>
        <v>1</v>
      </c>
      <c r="O120" s="99">
        <f t="shared" si="5"/>
        <v>35380.652841218747</v>
      </c>
    </row>
    <row r="121" spans="3:16">
      <c r="C121" s="100">
        <v>0</v>
      </c>
      <c r="D121" s="100">
        <v>0</v>
      </c>
      <c r="E121" s="100">
        <v>1</v>
      </c>
      <c r="F121" s="100">
        <v>-1</v>
      </c>
      <c r="G121" s="100">
        <v>277693</v>
      </c>
      <c r="I121" s="100">
        <f t="shared" si="6"/>
        <v>0.99961707298446989</v>
      </c>
      <c r="J121" s="100"/>
      <c r="K121" s="100">
        <f t="shared" si="7"/>
        <v>0</v>
      </c>
      <c r="L121" s="100">
        <f t="shared" si="4"/>
        <v>0</v>
      </c>
      <c r="M121" s="100">
        <f t="shared" si="4"/>
        <v>1</v>
      </c>
      <c r="N121" s="100">
        <f t="shared" si="4"/>
        <v>-1</v>
      </c>
      <c r="O121" s="99">
        <f t="shared" si="5"/>
        <v>-132198.80420538611</v>
      </c>
    </row>
    <row r="122" spans="3:16">
      <c r="C122" s="100">
        <v>2</v>
      </c>
      <c r="D122" s="100">
        <v>0</v>
      </c>
      <c r="E122" s="100">
        <v>0</v>
      </c>
      <c r="F122" s="100">
        <v>-1</v>
      </c>
      <c r="G122" s="100">
        <v>173237</v>
      </c>
      <c r="I122" s="100">
        <f t="shared" si="6"/>
        <v>1</v>
      </c>
      <c r="J122" s="100"/>
      <c r="K122" s="100">
        <f t="shared" si="7"/>
        <v>2</v>
      </c>
      <c r="L122" s="100">
        <f t="shared" si="4"/>
        <v>0</v>
      </c>
      <c r="M122" s="100">
        <f t="shared" si="4"/>
        <v>0</v>
      </c>
      <c r="N122" s="100">
        <f t="shared" si="4"/>
        <v>-1</v>
      </c>
      <c r="O122" s="99">
        <f t="shared" si="5"/>
        <v>-28111.06575064404</v>
      </c>
    </row>
    <row r="123" spans="3:16">
      <c r="C123" s="100">
        <v>2</v>
      </c>
      <c r="D123" s="100">
        <v>0</v>
      </c>
      <c r="E123" s="100">
        <v>-1</v>
      </c>
      <c r="F123" s="100">
        <v>1</v>
      </c>
      <c r="G123" s="100">
        <v>55413</v>
      </c>
      <c r="I123" s="100">
        <f t="shared" si="6"/>
        <v>0.99961707298446989</v>
      </c>
      <c r="J123" s="100"/>
      <c r="K123" s="100">
        <f t="shared" si="7"/>
        <v>2</v>
      </c>
      <c r="L123" s="100">
        <f t="shared" si="4"/>
        <v>0</v>
      </c>
      <c r="M123" s="100">
        <f t="shared" si="4"/>
        <v>-1</v>
      </c>
      <c r="N123" s="100">
        <f t="shared" si="4"/>
        <v>1</v>
      </c>
      <c r="O123" s="99">
        <f t="shared" si="5"/>
        <v>33293.171114539902</v>
      </c>
    </row>
    <row r="124" spans="3:16">
      <c r="C124" s="100">
        <v>2</v>
      </c>
      <c r="D124" s="100">
        <v>0</v>
      </c>
      <c r="E124" s="100">
        <v>-1</v>
      </c>
      <c r="F124" s="100">
        <v>-1</v>
      </c>
      <c r="G124" s="100">
        <v>46271</v>
      </c>
      <c r="I124" s="100">
        <f t="shared" si="6"/>
        <v>0.99961707298446989</v>
      </c>
      <c r="J124" s="100"/>
      <c r="K124" s="100">
        <f t="shared" si="7"/>
        <v>2</v>
      </c>
      <c r="L124" s="100">
        <f t="shared" si="4"/>
        <v>0</v>
      </c>
      <c r="M124" s="100">
        <f t="shared" si="4"/>
        <v>-1</v>
      </c>
      <c r="N124" s="100">
        <f t="shared" si="4"/>
        <v>-1</v>
      </c>
      <c r="O124" s="99">
        <f t="shared" si="5"/>
        <v>1015.7257278199181</v>
      </c>
    </row>
    <row r="125" spans="3:16">
      <c r="C125" s="100">
        <v>2</v>
      </c>
      <c r="D125" s="100">
        <v>0</v>
      </c>
      <c r="E125" s="100">
        <v>0</v>
      </c>
      <c r="F125" s="100">
        <v>1</v>
      </c>
      <c r="G125" s="100">
        <v>32573</v>
      </c>
      <c r="I125" s="100">
        <f t="shared" si="6"/>
        <v>1</v>
      </c>
      <c r="J125" s="100"/>
      <c r="K125" s="100">
        <f t="shared" si="7"/>
        <v>2</v>
      </c>
      <c r="L125" s="100">
        <f t="shared" si="4"/>
        <v>0</v>
      </c>
      <c r="M125" s="100">
        <f t="shared" si="4"/>
        <v>0</v>
      </c>
      <c r="N125" s="100">
        <f t="shared" si="4"/>
        <v>1</v>
      </c>
      <c r="O125" s="99">
        <f t="shared" si="5"/>
        <v>14456.663717567311</v>
      </c>
    </row>
    <row r="126" spans="3:16">
      <c r="C126" s="100">
        <v>0</v>
      </c>
      <c r="D126" s="100">
        <v>0</v>
      </c>
      <c r="E126" s="100">
        <v>2</v>
      </c>
      <c r="F126" s="100">
        <v>1</v>
      </c>
      <c r="G126" s="100">
        <v>17198</v>
      </c>
      <c r="I126" s="100">
        <f t="shared" si="6"/>
        <v>0.999234292602039</v>
      </c>
      <c r="J126" s="100"/>
      <c r="K126" s="100">
        <f t="shared" si="7"/>
        <v>0</v>
      </c>
      <c r="L126" s="100">
        <f t="shared" si="4"/>
        <v>0</v>
      </c>
      <c r="M126" s="100">
        <f t="shared" si="4"/>
        <v>2</v>
      </c>
      <c r="N126" s="100">
        <f t="shared" si="4"/>
        <v>1</v>
      </c>
      <c r="O126" s="99">
        <f t="shared" si="5"/>
        <v>-1004.3682698831692</v>
      </c>
    </row>
    <row r="127" spans="3:16">
      <c r="C127" s="100">
        <v>2</v>
      </c>
      <c r="D127" s="100">
        <v>0</v>
      </c>
      <c r="E127" s="100">
        <v>1</v>
      </c>
      <c r="F127" s="100">
        <v>-1</v>
      </c>
      <c r="G127" s="100">
        <v>9266</v>
      </c>
      <c r="I127" s="100">
        <f t="shared" si="6"/>
        <v>0.99961707298446989</v>
      </c>
      <c r="J127" s="100"/>
      <c r="K127" s="100">
        <f t="shared" si="7"/>
        <v>2</v>
      </c>
      <c r="L127" s="100">
        <f t="shared" si="4"/>
        <v>0</v>
      </c>
      <c r="M127" s="100">
        <f t="shared" si="4"/>
        <v>1</v>
      </c>
      <c r="N127" s="100">
        <f t="shared" si="4"/>
        <v>-1</v>
      </c>
      <c r="O127" s="99">
        <f t="shared" si="5"/>
        <v>-3158.1618511198812</v>
      </c>
    </row>
    <row r="128" spans="3:16">
      <c r="C128" s="100">
        <v>0</v>
      </c>
      <c r="D128" s="100">
        <v>0</v>
      </c>
      <c r="E128" s="100">
        <v>2</v>
      </c>
      <c r="F128" s="100">
        <v>-1</v>
      </c>
      <c r="G128" s="100">
        <v>8822</v>
      </c>
      <c r="I128" s="100">
        <f t="shared" si="6"/>
        <v>0.999234292602039</v>
      </c>
      <c r="J128" s="100"/>
      <c r="K128" s="100">
        <f t="shared" si="7"/>
        <v>0</v>
      </c>
      <c r="L128" s="100">
        <f t="shared" si="4"/>
        <v>0</v>
      </c>
      <c r="M128" s="100">
        <f t="shared" si="4"/>
        <v>2</v>
      </c>
      <c r="N128" s="100">
        <f t="shared" si="4"/>
        <v>-1</v>
      </c>
      <c r="O128" s="99">
        <f t="shared" si="5"/>
        <v>-5552.0723524210034</v>
      </c>
    </row>
    <row r="129" spans="3:15">
      <c r="C129" s="100">
        <v>2</v>
      </c>
      <c r="D129" s="100">
        <v>-1</v>
      </c>
      <c r="E129" s="100">
        <v>0</v>
      </c>
      <c r="F129" s="100">
        <v>-1</v>
      </c>
      <c r="G129" s="100">
        <v>8216</v>
      </c>
      <c r="I129" s="100">
        <f t="shared" si="6"/>
        <v>0.99961707298446989</v>
      </c>
      <c r="J129" s="100"/>
      <c r="K129" s="100">
        <f t="shared" si="7"/>
        <v>2</v>
      </c>
      <c r="L129" s="100">
        <f t="shared" si="4"/>
        <v>-1</v>
      </c>
      <c r="M129" s="100">
        <f t="shared" si="4"/>
        <v>0</v>
      </c>
      <c r="N129" s="100">
        <f t="shared" si="4"/>
        <v>-1</v>
      </c>
      <c r="O129" s="99">
        <f t="shared" si="5"/>
        <v>7423.7757414607877</v>
      </c>
    </row>
    <row r="130" spans="3:15">
      <c r="C130" s="100">
        <v>2</v>
      </c>
      <c r="D130" s="100">
        <v>0</v>
      </c>
      <c r="E130" s="100">
        <v>-2</v>
      </c>
      <c r="F130" s="100">
        <v>-1</v>
      </c>
      <c r="G130" s="100">
        <v>4324</v>
      </c>
      <c r="I130" s="100">
        <f t="shared" si="6"/>
        <v>0.999234292602039</v>
      </c>
      <c r="J130" s="100"/>
      <c r="K130" s="100">
        <f t="shared" si="7"/>
        <v>2</v>
      </c>
      <c r="L130" s="100">
        <f t="shared" si="4"/>
        <v>0</v>
      </c>
      <c r="M130" s="100">
        <f t="shared" si="4"/>
        <v>-2</v>
      </c>
      <c r="N130" s="100">
        <f t="shared" si="4"/>
        <v>-1</v>
      </c>
      <c r="O130" s="99">
        <f t="shared" si="5"/>
        <v>887.64458476682489</v>
      </c>
    </row>
    <row r="131" spans="3:15">
      <c r="C131" s="100">
        <v>2</v>
      </c>
      <c r="D131" s="100">
        <v>0</v>
      </c>
      <c r="E131" s="100">
        <v>1</v>
      </c>
      <c r="F131" s="100">
        <v>1</v>
      </c>
      <c r="G131" s="100">
        <v>4200</v>
      </c>
      <c r="I131" s="100">
        <f t="shared" si="6"/>
        <v>0.99961707298446989</v>
      </c>
      <c r="J131" s="100"/>
      <c r="K131" s="100">
        <f t="shared" si="7"/>
        <v>2</v>
      </c>
      <c r="L131" s="100">
        <f t="shared" si="4"/>
        <v>0</v>
      </c>
      <c r="M131" s="100">
        <f t="shared" si="4"/>
        <v>1</v>
      </c>
      <c r="N131" s="100">
        <f t="shared" si="4"/>
        <v>1</v>
      </c>
      <c r="O131" s="99">
        <f t="shared" si="5"/>
        <v>1139.6927681143302</v>
      </c>
    </row>
    <row r="132" spans="3:15">
      <c r="C132" s="100">
        <v>2</v>
      </c>
      <c r="D132" s="100">
        <v>1</v>
      </c>
      <c r="E132" s="100">
        <v>0</v>
      </c>
      <c r="F132" s="100">
        <v>-1</v>
      </c>
      <c r="G132" s="100">
        <v>-3359</v>
      </c>
      <c r="I132" s="100">
        <f t="shared" si="6"/>
        <v>0.99961707298446989</v>
      </c>
      <c r="J132" s="100"/>
      <c r="K132" s="100">
        <f t="shared" si="7"/>
        <v>2</v>
      </c>
      <c r="L132" s="100">
        <f t="shared" si="4"/>
        <v>1</v>
      </c>
      <c r="M132" s="100">
        <f t="shared" si="4"/>
        <v>0</v>
      </c>
      <c r="N132" s="100">
        <f t="shared" si="4"/>
        <v>-1</v>
      </c>
      <c r="O132" s="99">
        <f t="shared" si="5"/>
        <v>3335.1621176645772</v>
      </c>
    </row>
    <row r="133" spans="3:15">
      <c r="C133" s="100">
        <v>2</v>
      </c>
      <c r="D133" s="100">
        <v>-1</v>
      </c>
      <c r="E133" s="100">
        <v>-1</v>
      </c>
      <c r="F133" s="100">
        <v>1</v>
      </c>
      <c r="G133" s="100">
        <v>2463</v>
      </c>
      <c r="I133" s="100">
        <f t="shared" si="6"/>
        <v>0.99961707298446989</v>
      </c>
      <c r="J133" s="100"/>
      <c r="K133" s="100">
        <f t="shared" si="7"/>
        <v>2</v>
      </c>
      <c r="L133" s="100">
        <f t="shared" si="4"/>
        <v>-1</v>
      </c>
      <c r="M133" s="100">
        <f t="shared" si="4"/>
        <v>-1</v>
      </c>
      <c r="N133" s="100">
        <f t="shared" si="4"/>
        <v>1</v>
      </c>
      <c r="O133" s="99">
        <f t="shared" si="5"/>
        <v>2299.1107506574822</v>
      </c>
    </row>
    <row r="134" spans="3:15">
      <c r="C134" s="100">
        <v>2</v>
      </c>
      <c r="D134" s="100">
        <v>-1</v>
      </c>
      <c r="E134" s="100">
        <v>0</v>
      </c>
      <c r="F134" s="100">
        <v>1</v>
      </c>
      <c r="G134" s="100">
        <v>2211</v>
      </c>
      <c r="I134" s="100">
        <f t="shared" si="6"/>
        <v>0.99961707298446989</v>
      </c>
      <c r="J134" s="100"/>
      <c r="K134" s="100">
        <f t="shared" si="7"/>
        <v>2</v>
      </c>
      <c r="L134" s="100">
        <f t="shared" si="4"/>
        <v>-1</v>
      </c>
      <c r="M134" s="100">
        <f t="shared" si="4"/>
        <v>0</v>
      </c>
      <c r="N134" s="100">
        <f t="shared" si="4"/>
        <v>1</v>
      </c>
      <c r="O134" s="99">
        <f t="shared" si="5"/>
        <v>2174.0859554627536</v>
      </c>
    </row>
    <row r="135" spans="3:15">
      <c r="C135" s="100">
        <v>2</v>
      </c>
      <c r="D135" s="100">
        <v>-1</v>
      </c>
      <c r="E135" s="100">
        <v>-1</v>
      </c>
      <c r="F135" s="100">
        <v>-1</v>
      </c>
      <c r="G135" s="100">
        <v>2065</v>
      </c>
      <c r="I135" s="100">
        <f t="shared" si="6"/>
        <v>0.99961707298446989</v>
      </c>
      <c r="J135" s="100"/>
      <c r="K135" s="100">
        <f t="shared" si="7"/>
        <v>2</v>
      </c>
      <c r="L135" s="100">
        <f t="shared" si="7"/>
        <v>-1</v>
      </c>
      <c r="M135" s="100">
        <f t="shared" si="7"/>
        <v>-1</v>
      </c>
      <c r="N135" s="100">
        <f t="shared" si="7"/>
        <v>-1</v>
      </c>
      <c r="O135" s="99">
        <f t="shared" si="5"/>
        <v>1996.4178943949239</v>
      </c>
    </row>
    <row r="136" spans="3:15">
      <c r="C136" s="100">
        <v>0</v>
      </c>
      <c r="D136" s="100">
        <v>1</v>
      </c>
      <c r="E136" s="100">
        <v>-1</v>
      </c>
      <c r="F136" s="100">
        <v>-1</v>
      </c>
      <c r="G136" s="100">
        <v>-1870</v>
      </c>
      <c r="I136" s="100">
        <f t="shared" si="6"/>
        <v>0.99961707298446989</v>
      </c>
      <c r="J136" s="100"/>
      <c r="K136" s="100">
        <f t="shared" si="7"/>
        <v>0</v>
      </c>
      <c r="L136" s="100">
        <f t="shared" si="7"/>
        <v>1</v>
      </c>
      <c r="M136" s="100">
        <f t="shared" si="7"/>
        <v>-1</v>
      </c>
      <c r="N136" s="100">
        <f t="shared" si="7"/>
        <v>-1</v>
      </c>
      <c r="O136" s="99">
        <f t="shared" si="5"/>
        <v>1847.5951053865499</v>
      </c>
    </row>
    <row r="137" spans="3:15">
      <c r="C137" s="100">
        <v>4</v>
      </c>
      <c r="D137" s="100">
        <v>0</v>
      </c>
      <c r="E137" s="100">
        <v>-1</v>
      </c>
      <c r="F137" s="100">
        <v>-1</v>
      </c>
      <c r="G137" s="100">
        <v>1828</v>
      </c>
      <c r="I137" s="100">
        <f t="shared" si="6"/>
        <v>0.99961707298446989</v>
      </c>
      <c r="J137" s="100"/>
      <c r="K137" s="100">
        <f t="shared" si="7"/>
        <v>4</v>
      </c>
      <c r="L137" s="100">
        <f t="shared" si="7"/>
        <v>0</v>
      </c>
      <c r="M137" s="100">
        <f t="shared" si="7"/>
        <v>-1</v>
      </c>
      <c r="N137" s="100">
        <f t="shared" si="7"/>
        <v>-1</v>
      </c>
      <c r="O137" s="99">
        <f t="shared" si="5"/>
        <v>309.86235912656292</v>
      </c>
    </row>
    <row r="138" spans="3:15">
      <c r="C138" s="100">
        <v>0</v>
      </c>
      <c r="D138" s="100">
        <v>1</v>
      </c>
      <c r="E138" s="100">
        <v>0</v>
      </c>
      <c r="F138" s="100">
        <v>1</v>
      </c>
      <c r="G138" s="100">
        <v>-1794</v>
      </c>
      <c r="I138" s="100">
        <f t="shared" si="6"/>
        <v>0.99961707298446989</v>
      </c>
      <c r="J138" s="100"/>
      <c r="K138" s="100">
        <f t="shared" si="7"/>
        <v>0</v>
      </c>
      <c r="L138" s="100">
        <f t="shared" si="7"/>
        <v>1</v>
      </c>
      <c r="M138" s="100">
        <f t="shared" si="7"/>
        <v>0</v>
      </c>
      <c r="N138" s="100">
        <f t="shared" si="7"/>
        <v>1</v>
      </c>
      <c r="O138" s="99">
        <f t="shared" si="5"/>
        <v>1489.7572281152563</v>
      </c>
    </row>
    <row r="139" spans="3:15">
      <c r="C139" s="100">
        <v>0</v>
      </c>
      <c r="D139" s="100">
        <v>0</v>
      </c>
      <c r="E139" s="100">
        <v>0</v>
      </c>
      <c r="F139" s="100">
        <v>3</v>
      </c>
      <c r="G139" s="100">
        <v>-1749</v>
      </c>
      <c r="I139" s="100">
        <f t="shared" si="6"/>
        <v>1</v>
      </c>
      <c r="J139" s="100"/>
      <c r="K139" s="100">
        <f t="shared" si="7"/>
        <v>0</v>
      </c>
      <c r="L139" s="100">
        <f t="shared" si="7"/>
        <v>0</v>
      </c>
      <c r="M139" s="100">
        <f t="shared" si="7"/>
        <v>0</v>
      </c>
      <c r="N139" s="100">
        <f t="shared" si="7"/>
        <v>3</v>
      </c>
      <c r="O139" s="99">
        <f t="shared" si="5"/>
        <v>-1406.4921309024942</v>
      </c>
    </row>
    <row r="140" spans="3:15">
      <c r="C140" s="100">
        <v>0</v>
      </c>
      <c r="D140" s="100">
        <v>1</v>
      </c>
      <c r="E140" s="100">
        <v>-1</v>
      </c>
      <c r="F140" s="100">
        <v>1</v>
      </c>
      <c r="G140" s="100">
        <v>-1565</v>
      </c>
      <c r="I140" s="100">
        <f t="shared" si="6"/>
        <v>0.99961707298446989</v>
      </c>
      <c r="J140" s="100"/>
      <c r="K140" s="100">
        <f t="shared" si="7"/>
        <v>0</v>
      </c>
      <c r="L140" s="100">
        <f t="shared" si="7"/>
        <v>1</v>
      </c>
      <c r="M140" s="100">
        <f t="shared" si="7"/>
        <v>-1</v>
      </c>
      <c r="N140" s="100">
        <f t="shared" si="7"/>
        <v>1</v>
      </c>
      <c r="O140" s="99">
        <f t="shared" si="5"/>
        <v>1117.2770468242113</v>
      </c>
    </row>
    <row r="141" spans="3:15">
      <c r="C141" s="100">
        <v>1</v>
      </c>
      <c r="D141" s="100">
        <v>0</v>
      </c>
      <c r="E141" s="100">
        <v>0</v>
      </c>
      <c r="F141" s="100">
        <v>1</v>
      </c>
      <c r="G141" s="100">
        <v>-1491</v>
      </c>
      <c r="I141" s="100">
        <f t="shared" si="6"/>
        <v>1</v>
      </c>
      <c r="J141" s="100"/>
      <c r="K141" s="100">
        <f t="shared" si="7"/>
        <v>1</v>
      </c>
      <c r="L141" s="100">
        <f t="shared" si="7"/>
        <v>0</v>
      </c>
      <c r="M141" s="100">
        <f t="shared" si="7"/>
        <v>0</v>
      </c>
      <c r="N141" s="100">
        <f t="shared" si="7"/>
        <v>1</v>
      </c>
      <c r="O141" s="99">
        <f t="shared" si="5"/>
        <v>-560.84744556012163</v>
      </c>
    </row>
    <row r="142" spans="3:15">
      <c r="C142" s="100">
        <v>0</v>
      </c>
      <c r="D142" s="100">
        <v>1</v>
      </c>
      <c r="E142" s="100">
        <v>1</v>
      </c>
      <c r="F142" s="100">
        <v>1</v>
      </c>
      <c r="G142" s="100">
        <v>-1475</v>
      </c>
      <c r="I142" s="100">
        <f t="shared" si="6"/>
        <v>0.99961707298446989</v>
      </c>
      <c r="J142" s="100"/>
      <c r="K142" s="100">
        <f t="shared" si="7"/>
        <v>0</v>
      </c>
      <c r="L142" s="100">
        <f t="shared" si="7"/>
        <v>1</v>
      </c>
      <c r="M142" s="100">
        <f t="shared" si="7"/>
        <v>1</v>
      </c>
      <c r="N142" s="100">
        <f t="shared" si="7"/>
        <v>1</v>
      </c>
      <c r="O142" s="99">
        <f t="shared" si="5"/>
        <v>1354.9079533719414</v>
      </c>
    </row>
    <row r="143" spans="3:15">
      <c r="C143" s="100">
        <v>0</v>
      </c>
      <c r="D143" s="100">
        <v>1</v>
      </c>
      <c r="E143" s="100">
        <v>1</v>
      </c>
      <c r="F143" s="100">
        <v>-1</v>
      </c>
      <c r="G143" s="100">
        <v>-1410</v>
      </c>
      <c r="I143" s="100">
        <f t="shared" si="6"/>
        <v>0.99961707298446989</v>
      </c>
      <c r="J143" s="100"/>
      <c r="K143" s="100">
        <f t="shared" si="7"/>
        <v>0</v>
      </c>
      <c r="L143" s="100">
        <f t="shared" si="7"/>
        <v>1</v>
      </c>
      <c r="M143" s="100">
        <f t="shared" si="7"/>
        <v>1</v>
      </c>
      <c r="N143" s="100">
        <f t="shared" si="7"/>
        <v>-1</v>
      </c>
      <c r="O143" s="99">
        <f t="shared" si="5"/>
        <v>1376.2766420142468</v>
      </c>
    </row>
    <row r="144" spans="3:15">
      <c r="C144" s="100">
        <v>0</v>
      </c>
      <c r="D144" s="100">
        <v>1</v>
      </c>
      <c r="E144" s="100">
        <v>0</v>
      </c>
      <c r="F144" s="100">
        <v>-1</v>
      </c>
      <c r="G144" s="100">
        <v>-1344</v>
      </c>
      <c r="I144" s="100">
        <f t="shared" si="6"/>
        <v>0.99961707298446989</v>
      </c>
      <c r="J144" s="100"/>
      <c r="K144" s="100">
        <f t="shared" si="7"/>
        <v>0</v>
      </c>
      <c r="L144" s="100">
        <f t="shared" si="7"/>
        <v>1</v>
      </c>
      <c r="M144" s="100">
        <f t="shared" si="7"/>
        <v>0</v>
      </c>
      <c r="N144" s="100">
        <f t="shared" si="7"/>
        <v>-1</v>
      </c>
      <c r="O144" s="99">
        <f t="shared" si="5"/>
        <v>1342.7771540846115</v>
      </c>
    </row>
    <row r="145" spans="3:15">
      <c r="C145" s="100">
        <v>1</v>
      </c>
      <c r="D145" s="100">
        <v>0</v>
      </c>
      <c r="E145" s="100">
        <v>0</v>
      </c>
      <c r="F145" s="100">
        <v>-1</v>
      </c>
      <c r="G145" s="100">
        <v>-1335</v>
      </c>
      <c r="I145" s="100">
        <f t="shared" si="6"/>
        <v>1</v>
      </c>
      <c r="J145" s="100"/>
      <c r="K145" s="100">
        <f t="shared" si="7"/>
        <v>1</v>
      </c>
      <c r="L145" s="100">
        <f t="shared" si="7"/>
        <v>0</v>
      </c>
      <c r="M145" s="100">
        <f t="shared" si="7"/>
        <v>0</v>
      </c>
      <c r="N145" s="100">
        <f t="shared" si="7"/>
        <v>-1</v>
      </c>
      <c r="O145" s="99">
        <f t="shared" si="5"/>
        <v>313.71106182708826</v>
      </c>
    </row>
    <row r="146" spans="3:15">
      <c r="C146" s="100">
        <v>0</v>
      </c>
      <c r="D146" s="100">
        <v>0</v>
      </c>
      <c r="E146" s="100">
        <v>3</v>
      </c>
      <c r="F146" s="100">
        <v>1</v>
      </c>
      <c r="G146" s="100">
        <v>1107</v>
      </c>
      <c r="I146" s="100">
        <f t="shared" si="6"/>
        <v>1</v>
      </c>
      <c r="J146" s="100"/>
      <c r="K146" s="100">
        <f t="shared" si="7"/>
        <v>0</v>
      </c>
      <c r="L146" s="100">
        <f t="shared" si="7"/>
        <v>0</v>
      </c>
      <c r="M146" s="100">
        <f t="shared" si="7"/>
        <v>3</v>
      </c>
      <c r="N146" s="100">
        <f t="shared" si="7"/>
        <v>1</v>
      </c>
      <c r="O146" s="99">
        <f t="shared" si="5"/>
        <v>-266.82378381229825</v>
      </c>
    </row>
    <row r="147" spans="3:15">
      <c r="C147" s="100">
        <v>4</v>
      </c>
      <c r="D147" s="100">
        <v>0</v>
      </c>
      <c r="E147" s="100">
        <v>0</v>
      </c>
      <c r="F147" s="100">
        <v>-1</v>
      </c>
      <c r="G147" s="100">
        <v>1021</v>
      </c>
      <c r="I147" s="100">
        <f t="shared" si="6"/>
        <v>1</v>
      </c>
      <c r="J147" s="100"/>
      <c r="K147" s="100">
        <f t="shared" si="7"/>
        <v>4</v>
      </c>
      <c r="L147" s="100">
        <f t="shared" si="7"/>
        <v>0</v>
      </c>
      <c r="M147" s="100">
        <f t="shared" si="7"/>
        <v>0</v>
      </c>
      <c r="N147" s="100">
        <f t="shared" si="7"/>
        <v>-1</v>
      </c>
      <c r="O147" s="99">
        <f t="shared" si="5"/>
        <v>-14.859805240123414</v>
      </c>
    </row>
    <row r="148" spans="3:15">
      <c r="C148" s="100">
        <v>4</v>
      </c>
      <c r="D148" s="100">
        <v>0</v>
      </c>
      <c r="E148" s="100">
        <v>-1</v>
      </c>
      <c r="F148" s="100">
        <v>1</v>
      </c>
      <c r="G148" s="100">
        <v>833</v>
      </c>
      <c r="I148" s="100">
        <f t="shared" si="6"/>
        <v>0.99961707298446989</v>
      </c>
      <c r="J148" s="100"/>
      <c r="K148" s="100">
        <f t="shared" si="7"/>
        <v>4</v>
      </c>
      <c r="L148" s="100">
        <f t="shared" si="7"/>
        <v>0</v>
      </c>
      <c r="M148" s="100">
        <f t="shared" si="7"/>
        <v>-1</v>
      </c>
      <c r="N148" s="100">
        <f t="shared" si="7"/>
        <v>1</v>
      </c>
      <c r="O148" s="99">
        <f t="shared" si="5"/>
        <v>593.3983580487884</v>
      </c>
    </row>
    <row r="149" spans="3:15">
      <c r="C149" s="100">
        <v>0</v>
      </c>
      <c r="D149" s="100">
        <v>0</v>
      </c>
      <c r="E149" s="100">
        <v>1</v>
      </c>
      <c r="F149" s="100">
        <v>-3</v>
      </c>
      <c r="G149" s="100">
        <v>777</v>
      </c>
      <c r="I149" s="100">
        <f t="shared" si="6"/>
        <v>0.99961707298446989</v>
      </c>
      <c r="J149" s="100"/>
      <c r="K149" s="100">
        <f t="shared" si="7"/>
        <v>0</v>
      </c>
      <c r="L149" s="100">
        <f t="shared" si="7"/>
        <v>0</v>
      </c>
      <c r="M149" s="100">
        <f t="shared" si="7"/>
        <v>1</v>
      </c>
      <c r="N149" s="100">
        <f t="shared" si="7"/>
        <v>-3</v>
      </c>
      <c r="O149" s="99">
        <f t="shared" si="5"/>
        <v>-698.84898021901063</v>
      </c>
    </row>
    <row r="150" spans="3:15">
      <c r="C150" s="100">
        <v>4</v>
      </c>
      <c r="D150" s="100">
        <v>0</v>
      </c>
      <c r="E150" s="100">
        <v>-2</v>
      </c>
      <c r="F150" s="100">
        <v>1</v>
      </c>
      <c r="G150" s="100">
        <v>671</v>
      </c>
      <c r="I150" s="100">
        <f t="shared" si="6"/>
        <v>0.999234292602039</v>
      </c>
      <c r="J150" s="100"/>
      <c r="K150" s="100">
        <f t="shared" si="7"/>
        <v>4</v>
      </c>
      <c r="L150" s="100">
        <f t="shared" si="7"/>
        <v>0</v>
      </c>
      <c r="M150" s="100">
        <f t="shared" si="7"/>
        <v>-2</v>
      </c>
      <c r="N150" s="100">
        <f t="shared" si="7"/>
        <v>1</v>
      </c>
      <c r="O150" s="99">
        <f t="shared" si="5"/>
        <v>556.16399402931143</v>
      </c>
    </row>
    <row r="151" spans="3:15">
      <c r="C151" s="100">
        <v>2</v>
      </c>
      <c r="D151" s="100">
        <v>0</v>
      </c>
      <c r="E151" s="100">
        <v>0</v>
      </c>
      <c r="F151" s="100">
        <v>-3</v>
      </c>
      <c r="G151" s="100">
        <v>607</v>
      </c>
      <c r="I151" s="100">
        <f t="shared" si="6"/>
        <v>1</v>
      </c>
      <c r="J151" s="100"/>
      <c r="K151" s="100">
        <f t="shared" si="7"/>
        <v>2</v>
      </c>
      <c r="L151" s="100">
        <f t="shared" si="7"/>
        <v>0</v>
      </c>
      <c r="M151" s="100">
        <f t="shared" si="7"/>
        <v>0</v>
      </c>
      <c r="N151" s="100">
        <f t="shared" si="7"/>
        <v>-3</v>
      </c>
      <c r="O151" s="99">
        <f t="shared" si="5"/>
        <v>-429.40392942532077</v>
      </c>
    </row>
    <row r="152" spans="3:15">
      <c r="C152" s="100">
        <v>2</v>
      </c>
      <c r="D152" s="100">
        <v>0</v>
      </c>
      <c r="E152" s="100">
        <v>2</v>
      </c>
      <c r="F152" s="100">
        <v>-1</v>
      </c>
      <c r="G152" s="100">
        <v>596</v>
      </c>
      <c r="I152" s="100">
        <f t="shared" si="6"/>
        <v>0.999234292602039</v>
      </c>
      <c r="J152" s="100"/>
      <c r="K152" s="100">
        <f t="shared" si="7"/>
        <v>2</v>
      </c>
      <c r="L152" s="100">
        <f t="shared" si="7"/>
        <v>0</v>
      </c>
      <c r="M152" s="100">
        <f t="shared" si="7"/>
        <v>2</v>
      </c>
      <c r="N152" s="100">
        <f t="shared" si="7"/>
        <v>-1</v>
      </c>
      <c r="O152" s="99">
        <f t="shared" si="5"/>
        <v>-302.55296580079704</v>
      </c>
    </row>
    <row r="153" spans="3:15">
      <c r="C153" s="100">
        <v>2</v>
      </c>
      <c r="D153" s="100">
        <v>-1</v>
      </c>
      <c r="E153" s="100">
        <v>1</v>
      </c>
      <c r="F153" s="100">
        <v>-1</v>
      </c>
      <c r="G153" s="100">
        <v>491</v>
      </c>
      <c r="I153" s="100">
        <f t="shared" si="6"/>
        <v>0.99961707298446989</v>
      </c>
      <c r="J153" s="100"/>
      <c r="K153" s="100">
        <f t="shared" si="7"/>
        <v>2</v>
      </c>
      <c r="L153" s="100">
        <f t="shared" si="7"/>
        <v>-1</v>
      </c>
      <c r="M153" s="100">
        <f t="shared" si="7"/>
        <v>1</v>
      </c>
      <c r="N153" s="100">
        <f t="shared" si="7"/>
        <v>-1</v>
      </c>
      <c r="O153" s="99">
        <f t="shared" si="5"/>
        <v>397.48499174518287</v>
      </c>
    </row>
    <row r="154" spans="3:15">
      <c r="C154" s="100">
        <v>2</v>
      </c>
      <c r="D154" s="100">
        <v>0</v>
      </c>
      <c r="E154" s="100">
        <v>-2</v>
      </c>
      <c r="F154" s="100">
        <v>1</v>
      </c>
      <c r="G154" s="100">
        <v>-451</v>
      </c>
      <c r="I154" s="100">
        <f t="shared" si="6"/>
        <v>0.999234292602039</v>
      </c>
      <c r="J154" s="100"/>
      <c r="K154" s="100">
        <f t="shared" si="7"/>
        <v>2</v>
      </c>
      <c r="L154" s="100">
        <f t="shared" si="7"/>
        <v>0</v>
      </c>
      <c r="M154" s="100">
        <f t="shared" si="7"/>
        <v>-2</v>
      </c>
      <c r="N154" s="100">
        <f t="shared" si="7"/>
        <v>1</v>
      </c>
      <c r="O154" s="99">
        <f t="shared" si="5"/>
        <v>-332.48069928252335</v>
      </c>
    </row>
    <row r="155" spans="3:15">
      <c r="C155" s="100">
        <v>0</v>
      </c>
      <c r="D155" s="100">
        <v>0</v>
      </c>
      <c r="E155" s="100">
        <v>3</v>
      </c>
      <c r="F155" s="100">
        <v>-1</v>
      </c>
      <c r="G155" s="100">
        <v>439</v>
      </c>
      <c r="I155" s="100">
        <f t="shared" si="6"/>
        <v>1</v>
      </c>
      <c r="J155" s="100"/>
      <c r="K155" s="100">
        <f t="shared" si="7"/>
        <v>0</v>
      </c>
      <c r="L155" s="100">
        <f t="shared" si="7"/>
        <v>0</v>
      </c>
      <c r="M155" s="100">
        <f t="shared" si="7"/>
        <v>3</v>
      </c>
      <c r="N155" s="100">
        <f t="shared" si="7"/>
        <v>-1</v>
      </c>
      <c r="O155" s="99">
        <f t="shared" si="5"/>
        <v>-334.48543186718007</v>
      </c>
    </row>
    <row r="156" spans="3:15">
      <c r="C156" s="100">
        <v>2</v>
      </c>
      <c r="D156" s="100">
        <v>0</v>
      </c>
      <c r="E156" s="100">
        <v>2</v>
      </c>
      <c r="F156" s="100">
        <v>1</v>
      </c>
      <c r="G156" s="100">
        <v>422</v>
      </c>
      <c r="I156" s="100">
        <f t="shared" si="6"/>
        <v>0.999234292602039</v>
      </c>
      <c r="J156" s="100"/>
      <c r="K156" s="100">
        <f t="shared" si="7"/>
        <v>2</v>
      </c>
      <c r="L156" s="100">
        <f t="shared" si="7"/>
        <v>0</v>
      </c>
      <c r="M156" s="100">
        <f t="shared" si="7"/>
        <v>2</v>
      </c>
      <c r="N156" s="100">
        <f t="shared" si="7"/>
        <v>1</v>
      </c>
      <c r="O156" s="99">
        <f t="shared" si="5"/>
        <v>37.881671565979595</v>
      </c>
    </row>
    <row r="157" spans="3:15">
      <c r="C157" s="100">
        <v>2</v>
      </c>
      <c r="D157" s="100">
        <v>0</v>
      </c>
      <c r="E157" s="100">
        <v>-3</v>
      </c>
      <c r="F157" s="100">
        <v>-1</v>
      </c>
      <c r="G157" s="100">
        <v>421</v>
      </c>
      <c r="I157" s="100">
        <f t="shared" si="6"/>
        <v>1</v>
      </c>
      <c r="J157" s="100"/>
      <c r="K157" s="100">
        <f t="shared" si="7"/>
        <v>2</v>
      </c>
      <c r="L157" s="100">
        <f t="shared" si="7"/>
        <v>0</v>
      </c>
      <c r="M157" s="100">
        <f t="shared" si="7"/>
        <v>-3</v>
      </c>
      <c r="N157" s="100">
        <f t="shared" si="7"/>
        <v>-1</v>
      </c>
      <c r="O157" s="99">
        <f t="shared" si="5"/>
        <v>160.78554483742161</v>
      </c>
    </row>
    <row r="158" spans="3:15">
      <c r="C158" s="100">
        <v>2</v>
      </c>
      <c r="D158" s="100">
        <v>1</v>
      </c>
      <c r="E158" s="100">
        <v>-1</v>
      </c>
      <c r="F158" s="100">
        <v>1</v>
      </c>
      <c r="G158" s="100">
        <v>-366</v>
      </c>
      <c r="I158" s="100">
        <f t="shared" si="6"/>
        <v>0.99961707298446989</v>
      </c>
      <c r="J158" s="100"/>
      <c r="K158" s="100">
        <f t="shared" si="7"/>
        <v>2</v>
      </c>
      <c r="L158" s="100">
        <f t="shared" si="7"/>
        <v>1</v>
      </c>
      <c r="M158" s="100">
        <f t="shared" si="7"/>
        <v>-1</v>
      </c>
      <c r="N158" s="100">
        <f t="shared" si="7"/>
        <v>1</v>
      </c>
      <c r="O158" s="99">
        <f t="shared" si="5"/>
        <v>220.54701474580651</v>
      </c>
    </row>
    <row r="159" spans="3:15">
      <c r="C159" s="100">
        <v>2</v>
      </c>
      <c r="D159" s="100">
        <v>1</v>
      </c>
      <c r="E159" s="100">
        <v>0</v>
      </c>
      <c r="F159" s="100">
        <v>1</v>
      </c>
      <c r="G159" s="100">
        <v>-351</v>
      </c>
      <c r="I159" s="100">
        <f t="shared" si="6"/>
        <v>0.99961707298446989</v>
      </c>
      <c r="J159" s="100"/>
      <c r="K159" s="100">
        <f t="shared" si="7"/>
        <v>2</v>
      </c>
      <c r="L159" s="100">
        <f t="shared" si="7"/>
        <v>1</v>
      </c>
      <c r="M159" s="100">
        <f t="shared" si="7"/>
        <v>0</v>
      </c>
      <c r="N159" s="100">
        <f t="shared" si="7"/>
        <v>1</v>
      </c>
      <c r="O159" s="99">
        <f t="shared" si="5"/>
        <v>259.38321276617512</v>
      </c>
    </row>
    <row r="160" spans="3:15">
      <c r="C160" s="100">
        <v>4</v>
      </c>
      <c r="D160" s="100">
        <v>0</v>
      </c>
      <c r="E160" s="100">
        <v>0</v>
      </c>
      <c r="F160" s="100">
        <v>1</v>
      </c>
      <c r="G160" s="100">
        <v>331</v>
      </c>
      <c r="I160" s="100">
        <f t="shared" si="6"/>
        <v>1</v>
      </c>
      <c r="J160" s="100"/>
      <c r="K160" s="100">
        <f t="shared" si="7"/>
        <v>4</v>
      </c>
      <c r="L160" s="100">
        <f t="shared" si="7"/>
        <v>0</v>
      </c>
      <c r="M160" s="100">
        <f t="shared" si="7"/>
        <v>0</v>
      </c>
      <c r="N160" s="100">
        <f t="shared" si="7"/>
        <v>1</v>
      </c>
      <c r="O160" s="99">
        <f t="shared" si="5"/>
        <v>189.15666225140723</v>
      </c>
    </row>
    <row r="161" spans="3:15">
      <c r="C161" s="100">
        <v>2</v>
      </c>
      <c r="D161" s="100">
        <v>-1</v>
      </c>
      <c r="E161" s="100">
        <v>1</v>
      </c>
      <c r="F161" s="100">
        <v>1</v>
      </c>
      <c r="G161" s="100">
        <v>315</v>
      </c>
      <c r="I161" s="100">
        <f t="shared" si="6"/>
        <v>0.99961707298446989</v>
      </c>
      <c r="J161" s="100"/>
      <c r="K161" s="100">
        <f t="shared" si="7"/>
        <v>2</v>
      </c>
      <c r="L161" s="100">
        <f t="shared" si="7"/>
        <v>-1</v>
      </c>
      <c r="M161" s="100">
        <f t="shared" si="7"/>
        <v>1</v>
      </c>
      <c r="N161" s="100">
        <f t="shared" si="7"/>
        <v>1</v>
      </c>
      <c r="O161" s="99">
        <f t="shared" si="5"/>
        <v>314.87680104899829</v>
      </c>
    </row>
    <row r="162" spans="3:15">
      <c r="C162" s="100">
        <v>2</v>
      </c>
      <c r="D162" s="100">
        <v>-2</v>
      </c>
      <c r="E162" s="100">
        <v>0</v>
      </c>
      <c r="F162" s="100">
        <v>-1</v>
      </c>
      <c r="G162" s="100">
        <v>302</v>
      </c>
      <c r="I162" s="100">
        <f t="shared" si="6"/>
        <v>0.999234292602039</v>
      </c>
      <c r="J162" s="100"/>
      <c r="K162" s="100">
        <f t="shared" si="7"/>
        <v>2</v>
      </c>
      <c r="L162" s="100">
        <f t="shared" si="7"/>
        <v>-2</v>
      </c>
      <c r="M162" s="100">
        <f t="shared" si="7"/>
        <v>0</v>
      </c>
      <c r="N162" s="100">
        <f t="shared" si="7"/>
        <v>-1</v>
      </c>
      <c r="O162" s="99">
        <f t="shared" si="5"/>
        <v>199.18569991231266</v>
      </c>
    </row>
    <row r="163" spans="3:15">
      <c r="C163" s="100">
        <v>0</v>
      </c>
      <c r="D163" s="100">
        <v>0</v>
      </c>
      <c r="E163" s="100">
        <v>1</v>
      </c>
      <c r="F163" s="100">
        <v>3</v>
      </c>
      <c r="G163" s="100">
        <v>-283</v>
      </c>
      <c r="I163" s="100">
        <f t="shared" si="6"/>
        <v>0.99961707298446989</v>
      </c>
      <c r="J163" s="100"/>
      <c r="K163" s="100">
        <f t="shared" si="7"/>
        <v>0</v>
      </c>
      <c r="L163" s="100">
        <f t="shared" si="7"/>
        <v>0</v>
      </c>
      <c r="M163" s="100">
        <f t="shared" si="7"/>
        <v>1</v>
      </c>
      <c r="N163" s="100">
        <f t="shared" si="7"/>
        <v>3</v>
      </c>
      <c r="O163" s="99">
        <f t="shared" si="5"/>
        <v>-192.69007120161191</v>
      </c>
    </row>
    <row r="164" spans="3:15">
      <c r="C164" s="100">
        <v>2</v>
      </c>
      <c r="D164" s="100">
        <v>1</v>
      </c>
      <c r="E164" s="100">
        <v>1</v>
      </c>
      <c r="F164" s="100">
        <v>-1</v>
      </c>
      <c r="G164" s="100">
        <v>-229</v>
      </c>
      <c r="I164" s="100">
        <f t="shared" si="6"/>
        <v>0.99961707298446989</v>
      </c>
      <c r="J164" s="100"/>
      <c r="K164" s="100">
        <f t="shared" si="7"/>
        <v>2</v>
      </c>
      <c r="L164" s="100">
        <f t="shared" si="7"/>
        <v>1</v>
      </c>
      <c r="M164" s="100">
        <f t="shared" si="7"/>
        <v>1</v>
      </c>
      <c r="N164" s="100">
        <f t="shared" si="7"/>
        <v>-1</v>
      </c>
      <c r="O164" s="99">
        <f t="shared" si="5"/>
        <v>228.36779997428721</v>
      </c>
    </row>
    <row r="165" spans="3:15">
      <c r="C165" s="100">
        <v>1</v>
      </c>
      <c r="D165" s="100">
        <v>1</v>
      </c>
      <c r="E165" s="100">
        <v>0</v>
      </c>
      <c r="F165" s="100">
        <v>-1</v>
      </c>
      <c r="G165" s="100">
        <v>223</v>
      </c>
      <c r="I165" s="100">
        <f t="shared" si="6"/>
        <v>0.99961707298446989</v>
      </c>
      <c r="J165" s="100"/>
      <c r="K165" s="100">
        <f t="shared" si="7"/>
        <v>1</v>
      </c>
      <c r="L165" s="100">
        <f t="shared" si="7"/>
        <v>1</v>
      </c>
      <c r="M165" s="100">
        <f t="shared" si="7"/>
        <v>0</v>
      </c>
      <c r="N165" s="100">
        <f t="shared" si="7"/>
        <v>-1</v>
      </c>
      <c r="O165" s="99">
        <f t="shared" si="5"/>
        <v>-222.72038724032819</v>
      </c>
    </row>
    <row r="166" spans="3:15">
      <c r="C166" s="100">
        <v>1</v>
      </c>
      <c r="D166" s="100">
        <v>1</v>
      </c>
      <c r="E166" s="100">
        <v>0</v>
      </c>
      <c r="F166" s="100">
        <v>1</v>
      </c>
      <c r="G166" s="100">
        <v>223</v>
      </c>
      <c r="I166" s="100">
        <f t="shared" si="6"/>
        <v>0.99961707298446989</v>
      </c>
      <c r="J166" s="100"/>
      <c r="K166" s="100">
        <f t="shared" si="7"/>
        <v>1</v>
      </c>
      <c r="L166" s="100">
        <f t="shared" si="7"/>
        <v>1</v>
      </c>
      <c r="M166" s="100">
        <f t="shared" si="7"/>
        <v>0</v>
      </c>
      <c r="N166" s="100">
        <f t="shared" si="7"/>
        <v>1</v>
      </c>
      <c r="O166" s="99">
        <f t="shared" si="5"/>
        <v>-175.47052919155126</v>
      </c>
    </row>
    <row r="167" spans="3:15">
      <c r="C167" s="100">
        <v>0</v>
      </c>
      <c r="D167" s="100">
        <v>1</v>
      </c>
      <c r="E167" s="100">
        <v>-2</v>
      </c>
      <c r="F167" s="100">
        <v>-1</v>
      </c>
      <c r="G167" s="100">
        <v>-220</v>
      </c>
      <c r="I167" s="100">
        <f t="shared" si="6"/>
        <v>0.999234292602039</v>
      </c>
      <c r="J167" s="100"/>
      <c r="K167" s="100">
        <f t="shared" si="7"/>
        <v>0</v>
      </c>
      <c r="L167" s="100">
        <f t="shared" si="7"/>
        <v>1</v>
      </c>
      <c r="M167" s="100">
        <f t="shared" si="7"/>
        <v>-2</v>
      </c>
      <c r="N167" s="100">
        <f t="shared" si="7"/>
        <v>-1</v>
      </c>
      <c r="O167" s="99">
        <f t="shared" si="5"/>
        <v>207.43471286843936</v>
      </c>
    </row>
    <row r="168" spans="3:15">
      <c r="C168" s="100">
        <v>2</v>
      </c>
      <c r="D168" s="100">
        <v>1</v>
      </c>
      <c r="E168" s="100">
        <v>-1</v>
      </c>
      <c r="F168" s="100">
        <v>-1</v>
      </c>
      <c r="G168" s="100">
        <v>-220</v>
      </c>
      <c r="I168" s="100">
        <f t="shared" si="6"/>
        <v>0.99961707298446989</v>
      </c>
      <c r="J168" s="100"/>
      <c r="K168" s="100">
        <f t="shared" si="7"/>
        <v>2</v>
      </c>
      <c r="L168" s="100">
        <f t="shared" si="7"/>
        <v>1</v>
      </c>
      <c r="M168" s="100">
        <f t="shared" si="7"/>
        <v>-1</v>
      </c>
      <c r="N168" s="100">
        <f t="shared" si="7"/>
        <v>-1</v>
      </c>
      <c r="O168" s="99">
        <f t="shared" si="5"/>
        <v>210.0338901553433</v>
      </c>
    </row>
    <row r="169" spans="3:15">
      <c r="C169" s="100">
        <v>1</v>
      </c>
      <c r="D169" s="100">
        <v>0</v>
      </c>
      <c r="E169" s="100">
        <v>1</v>
      </c>
      <c r="F169" s="100">
        <v>1</v>
      </c>
      <c r="G169" s="100">
        <v>-185</v>
      </c>
      <c r="I169" s="100">
        <f t="shared" si="6"/>
        <v>0.99961707298446989</v>
      </c>
      <c r="J169" s="100"/>
      <c r="K169" s="100">
        <f t="shared" si="7"/>
        <v>1</v>
      </c>
      <c r="L169" s="100">
        <f t="shared" si="7"/>
        <v>0</v>
      </c>
      <c r="M169" s="100">
        <f t="shared" si="7"/>
        <v>1</v>
      </c>
      <c r="N169" s="100">
        <f t="shared" si="7"/>
        <v>1</v>
      </c>
      <c r="O169" s="99">
        <f t="shared" si="5"/>
        <v>-36.865036675158272</v>
      </c>
    </row>
    <row r="170" spans="3:15">
      <c r="C170" s="100">
        <v>2</v>
      </c>
      <c r="D170" s="100">
        <v>-1</v>
      </c>
      <c r="E170" s="100">
        <v>-2</v>
      </c>
      <c r="F170" s="100">
        <v>-1</v>
      </c>
      <c r="G170" s="100">
        <v>181</v>
      </c>
      <c r="I170" s="100">
        <f t="shared" si="6"/>
        <v>0.999234292602039</v>
      </c>
      <c r="J170" s="100"/>
      <c r="K170" s="100">
        <f t="shared" si="7"/>
        <v>2</v>
      </c>
      <c r="L170" s="100">
        <f t="shared" si="7"/>
        <v>-1</v>
      </c>
      <c r="M170" s="100">
        <f t="shared" si="7"/>
        <v>-2</v>
      </c>
      <c r="N170" s="100">
        <f t="shared" si="7"/>
        <v>-1</v>
      </c>
      <c r="O170" s="99">
        <f t="shared" si="5"/>
        <v>180.39228398282521</v>
      </c>
    </row>
    <row r="171" spans="3:15">
      <c r="C171" s="100">
        <v>0</v>
      </c>
      <c r="D171" s="100">
        <v>1</v>
      </c>
      <c r="E171" s="100">
        <v>2</v>
      </c>
      <c r="F171" s="100">
        <v>1</v>
      </c>
      <c r="G171" s="100">
        <v>-177</v>
      </c>
      <c r="I171" s="100">
        <f t="shared" si="6"/>
        <v>0.999234292602039</v>
      </c>
      <c r="J171" s="100"/>
      <c r="K171" s="100">
        <f t="shared" si="7"/>
        <v>0</v>
      </c>
      <c r="L171" s="100">
        <f t="shared" si="7"/>
        <v>1</v>
      </c>
      <c r="M171" s="100">
        <f t="shared" si="7"/>
        <v>2</v>
      </c>
      <c r="N171" s="100">
        <f t="shared" si="7"/>
        <v>1</v>
      </c>
      <c r="O171" s="99">
        <f t="shared" si="5"/>
        <v>172.58317922330983</v>
      </c>
    </row>
    <row r="172" spans="3:15">
      <c r="C172" s="100">
        <v>4</v>
      </c>
      <c r="D172" s="100">
        <v>0</v>
      </c>
      <c r="E172" s="100">
        <v>-2</v>
      </c>
      <c r="F172" s="100">
        <v>-1</v>
      </c>
      <c r="G172" s="100">
        <v>176</v>
      </c>
      <c r="I172" s="100">
        <f t="shared" si="6"/>
        <v>0.999234292602039</v>
      </c>
      <c r="J172" s="100"/>
      <c r="K172" s="100">
        <f t="shared" si="7"/>
        <v>4</v>
      </c>
      <c r="L172" s="100">
        <f t="shared" si="7"/>
        <v>0</v>
      </c>
      <c r="M172" s="100">
        <f t="shared" si="7"/>
        <v>-2</v>
      </c>
      <c r="N172" s="100">
        <f t="shared" si="7"/>
        <v>-1</v>
      </c>
      <c r="O172" s="99">
        <f t="shared" si="5"/>
        <v>61.186645703064343</v>
      </c>
    </row>
    <row r="173" spans="3:15">
      <c r="C173" s="100">
        <v>4</v>
      </c>
      <c r="D173" s="100">
        <v>-1</v>
      </c>
      <c r="E173" s="100">
        <v>-1</v>
      </c>
      <c r="F173" s="100">
        <v>-1</v>
      </c>
      <c r="G173" s="100">
        <v>166</v>
      </c>
      <c r="I173" s="100">
        <f t="shared" si="6"/>
        <v>0.99961707298446989</v>
      </c>
      <c r="J173" s="100"/>
      <c r="K173" s="100">
        <f t="shared" si="7"/>
        <v>4</v>
      </c>
      <c r="L173" s="100">
        <f t="shared" si="7"/>
        <v>-1</v>
      </c>
      <c r="M173" s="100">
        <f t="shared" si="7"/>
        <v>-1</v>
      </c>
      <c r="N173" s="100">
        <f t="shared" si="7"/>
        <v>-1</v>
      </c>
      <c r="O173" s="99">
        <f t="shared" si="5"/>
        <v>164.9596366224105</v>
      </c>
    </row>
    <row r="174" spans="3:15">
      <c r="C174" s="100">
        <v>1</v>
      </c>
      <c r="D174" s="100">
        <v>0</v>
      </c>
      <c r="E174" s="100">
        <v>1</v>
      </c>
      <c r="F174" s="100">
        <v>-1</v>
      </c>
      <c r="G174" s="100">
        <v>-164</v>
      </c>
      <c r="I174" s="100">
        <f t="shared" si="6"/>
        <v>0.99961707298446989</v>
      </c>
      <c r="J174" s="100"/>
      <c r="K174" s="100">
        <f t="shared" si="7"/>
        <v>1</v>
      </c>
      <c r="L174" s="100">
        <f t="shared" si="7"/>
        <v>0</v>
      </c>
      <c r="M174" s="100">
        <f t="shared" si="7"/>
        <v>1</v>
      </c>
      <c r="N174" s="100">
        <f t="shared" si="7"/>
        <v>-1</v>
      </c>
      <c r="O174" s="99">
        <f t="shared" si="5"/>
        <v>67.170247060555212</v>
      </c>
    </row>
    <row r="175" spans="3:15">
      <c r="C175" s="100">
        <v>4</v>
      </c>
      <c r="D175" s="100">
        <v>0</v>
      </c>
      <c r="E175" s="100">
        <v>1</v>
      </c>
      <c r="F175" s="100">
        <v>-1</v>
      </c>
      <c r="G175" s="100">
        <v>132</v>
      </c>
      <c r="I175" s="100">
        <f t="shared" si="6"/>
        <v>0.99961707298446989</v>
      </c>
      <c r="J175" s="100"/>
      <c r="K175" s="100">
        <f t="shared" si="7"/>
        <v>4</v>
      </c>
      <c r="L175" s="100">
        <f t="shared" si="7"/>
        <v>0</v>
      </c>
      <c r="M175" s="100">
        <f t="shared" si="7"/>
        <v>1</v>
      </c>
      <c r="N175" s="100">
        <f t="shared" si="7"/>
        <v>-1</v>
      </c>
      <c r="O175" s="99">
        <f t="shared" si="5"/>
        <v>-26.150505246753937</v>
      </c>
    </row>
    <row r="176" spans="3:15">
      <c r="C176" s="100">
        <v>1</v>
      </c>
      <c r="D176" s="100">
        <v>0</v>
      </c>
      <c r="E176" s="100">
        <v>-1</v>
      </c>
      <c r="F176" s="100">
        <v>-1</v>
      </c>
      <c r="G176" s="100">
        <v>-119</v>
      </c>
      <c r="I176" s="100">
        <f t="shared" si="6"/>
        <v>0.99961707298446989</v>
      </c>
      <c r="J176" s="100"/>
      <c r="K176" s="100">
        <f t="shared" si="7"/>
        <v>1</v>
      </c>
      <c r="L176" s="100">
        <f t="shared" si="7"/>
        <v>0</v>
      </c>
      <c r="M176" s="100">
        <f t="shared" si="7"/>
        <v>-1</v>
      </c>
      <c r="N176" s="100">
        <f t="shared" si="7"/>
        <v>-1</v>
      </c>
      <c r="O176" s="99">
        <f t="shared" si="5"/>
        <v>6.213238742921134</v>
      </c>
    </row>
    <row r="177" spans="3:15">
      <c r="C177" s="100">
        <v>4</v>
      </c>
      <c r="D177" s="100">
        <v>-1</v>
      </c>
      <c r="E177" s="100">
        <v>0</v>
      </c>
      <c r="F177" s="100">
        <v>-1</v>
      </c>
      <c r="G177" s="100">
        <v>115</v>
      </c>
      <c r="I177" s="100">
        <f t="shared" si="6"/>
        <v>0.99961707298446989</v>
      </c>
      <c r="J177" s="100"/>
      <c r="K177" s="100">
        <f t="shared" si="7"/>
        <v>4</v>
      </c>
      <c r="L177" s="100">
        <f t="shared" si="7"/>
        <v>-1</v>
      </c>
      <c r="M177" s="100">
        <f t="shared" si="7"/>
        <v>0</v>
      </c>
      <c r="N177" s="100">
        <f t="shared" si="7"/>
        <v>-1</v>
      </c>
      <c r="O177" s="99">
        <f t="shared" si="5"/>
        <v>110.03980863695827</v>
      </c>
    </row>
    <row r="178" spans="3:15">
      <c r="C178" s="100">
        <v>2</v>
      </c>
      <c r="D178" s="100">
        <v>-2</v>
      </c>
      <c r="E178" s="100">
        <v>0</v>
      </c>
      <c r="F178" s="100">
        <v>1</v>
      </c>
      <c r="G178" s="100">
        <v>107</v>
      </c>
      <c r="I178" s="100">
        <f t="shared" si="6"/>
        <v>0.999234292602039</v>
      </c>
      <c r="J178" s="100"/>
      <c r="K178" s="100">
        <f t="shared" si="7"/>
        <v>2</v>
      </c>
      <c r="L178" s="100">
        <f t="shared" si="7"/>
        <v>-2</v>
      </c>
      <c r="M178" s="100">
        <f t="shared" si="7"/>
        <v>0</v>
      </c>
      <c r="N178" s="100">
        <f t="shared" si="7"/>
        <v>1</v>
      </c>
      <c r="O178" s="99">
        <f t="shared" si="5"/>
        <v>10.466366883632839</v>
      </c>
    </row>
    <row r="179" spans="3:15">
      <c r="G179" s="99"/>
      <c r="O179" s="99">
        <f>SUM(O119:O178)+D45</f>
        <v>1513609.9332880776</v>
      </c>
    </row>
    <row r="180" spans="3:15">
      <c r="O180" s="99">
        <f>O179/1000000</f>
        <v>1.5136099332880777</v>
      </c>
    </row>
    <row r="186" spans="3:15">
      <c r="O186" s="99">
        <f>ACOS(0)*180/PI()</f>
        <v>90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B2:Q79"/>
  <sheetViews>
    <sheetView topLeftCell="A47" zoomScale="86" zoomScaleNormal="86" workbookViewId="0">
      <selection activeCell="Q3" sqref="Q3"/>
    </sheetView>
  </sheetViews>
  <sheetFormatPr defaultRowHeight="15"/>
  <cols>
    <col min="2" max="2" width="16.140625" customWidth="1"/>
    <col min="3" max="3" width="13.7109375" customWidth="1"/>
    <col min="4" max="4" width="14" customWidth="1"/>
    <col min="5" max="6" width="13.28515625" customWidth="1"/>
    <col min="7" max="7" width="12.140625" customWidth="1"/>
    <col min="8" max="8" width="13.140625" customWidth="1"/>
    <col min="9" max="9" width="12.5703125" customWidth="1"/>
    <col min="16" max="16" width="13.28515625" customWidth="1"/>
    <col min="17" max="17" width="18.85546875" customWidth="1"/>
  </cols>
  <sheetData>
    <row r="2" spans="3:17">
      <c r="I2" s="102" t="s">
        <v>252</v>
      </c>
      <c r="J2" s="102" t="s">
        <v>253</v>
      </c>
      <c r="K2" s="102" t="s">
        <v>159</v>
      </c>
      <c r="L2" s="102"/>
      <c r="M2" s="102" t="s">
        <v>257</v>
      </c>
      <c r="N2" s="102" t="s">
        <v>32</v>
      </c>
      <c r="O2" s="102" t="s">
        <v>258</v>
      </c>
      <c r="P2" s="100" t="str">
        <f>D!N3</f>
        <v>Long.</v>
      </c>
      <c r="Q2" s="100" t="str">
        <f>D!O3</f>
        <v>Lat.</v>
      </c>
    </row>
    <row r="3" spans="3:17" ht="15.75">
      <c r="I3" s="102">
        <f>D!G4</f>
        <v>2015</v>
      </c>
      <c r="J3" s="102">
        <f>D!H4</f>
        <v>3</v>
      </c>
      <c r="K3" s="102">
        <f>D!I4</f>
        <v>19</v>
      </c>
      <c r="L3" s="102">
        <f>D!J4</f>
        <v>19.82210648148148</v>
      </c>
      <c r="M3" s="102">
        <f>D!K4</f>
        <v>19</v>
      </c>
      <c r="N3" s="102">
        <f>D!L4</f>
        <v>43</v>
      </c>
      <c r="O3" s="102">
        <f>D!M4</f>
        <v>50</v>
      </c>
      <c r="P3" s="148">
        <f>D!N4</f>
        <v>35</v>
      </c>
      <c r="Q3" s="148">
        <f>D!O4</f>
        <v>32</v>
      </c>
    </row>
    <row r="4" spans="3:17">
      <c r="I4" s="102">
        <f>IF(J3&lt;3,I3-1,I3)</f>
        <v>2015</v>
      </c>
      <c r="J4" s="102">
        <f>IF(J3&lt;3,J3+12,J3)</f>
        <v>3</v>
      </c>
      <c r="K4" s="102">
        <f>IF(L3&lt;3,K3,L3)</f>
        <v>19.82210648148148</v>
      </c>
      <c r="L4" s="102"/>
      <c r="M4" s="102">
        <f>M3/24</f>
        <v>0.79166666666666663</v>
      </c>
      <c r="N4" s="102">
        <f>N3/(24*60)</f>
        <v>2.9861111111111113E-2</v>
      </c>
      <c r="O4" s="102">
        <f>(O3)/(24*3600)</f>
        <v>5.7870370370370367E-4</v>
      </c>
      <c r="P4" s="100"/>
      <c r="Q4" s="100"/>
    </row>
    <row r="5" spans="3:17">
      <c r="C5" t="s">
        <v>152</v>
      </c>
      <c r="D5">
        <f>sidereal!H5</f>
        <v>0.1521238085278995</v>
      </c>
      <c r="P5" s="99"/>
      <c r="Q5" s="99"/>
    </row>
    <row r="8" spans="3:17">
      <c r="C8" t="s">
        <v>263</v>
      </c>
      <c r="D8" s="110">
        <f>(sidereal!D9)*15</f>
        <v>176.22464413295711</v>
      </c>
    </row>
    <row r="9" spans="3:17" ht="15.75">
      <c r="C9" s="109" t="s">
        <v>269</v>
      </c>
      <c r="D9" s="109">
        <f>'D-1'!D27</f>
        <v>324.17491784771511</v>
      </c>
      <c r="E9">
        <f>IF((D11-D9)&gt;250,(360-D9)+360,D9)</f>
        <v>324.17491784771511</v>
      </c>
      <c r="H9" t="s">
        <v>319</v>
      </c>
      <c r="I9" s="126">
        <f>(0.7275*D!E5/3600-(0.34/60))*60</f>
        <v>0.40352543848097983</v>
      </c>
    </row>
    <row r="10" spans="3:17">
      <c r="C10" s="29" t="s">
        <v>268</v>
      </c>
      <c r="D10" s="29">
        <f>'D-1'!D28</f>
        <v>-10.158602806776411</v>
      </c>
    </row>
    <row r="11" spans="3:17">
      <c r="C11" s="109" t="s">
        <v>267</v>
      </c>
      <c r="D11" s="109">
        <f>D!D27</f>
        <v>350.73843925043639</v>
      </c>
      <c r="E11">
        <f>IF(D11&lt;D9,D11+360,D11)</f>
        <v>350.73843925043639</v>
      </c>
    </row>
    <row r="12" spans="3:17">
      <c r="C12" s="29" t="s">
        <v>266</v>
      </c>
      <c r="D12" s="29">
        <f>D!D28</f>
        <v>-2.0866371904307366</v>
      </c>
    </row>
    <row r="13" spans="3:17">
      <c r="C13" s="109" t="s">
        <v>265</v>
      </c>
      <c r="D13" s="109">
        <f>'D+1'!D27</f>
        <v>353.30673840994876</v>
      </c>
      <c r="E13">
        <f>IF(D13&lt;D9,D13+360,IF(D13&lt;D11,D13+360,D13))</f>
        <v>353.30673840994876</v>
      </c>
    </row>
    <row r="14" spans="3:17">
      <c r="C14" s="29" t="s">
        <v>264</v>
      </c>
      <c r="D14" s="29">
        <f>'D+1'!D28</f>
        <v>-1.2446676710148883</v>
      </c>
    </row>
    <row r="16" spans="3:17">
      <c r="C16" t="s">
        <v>270</v>
      </c>
      <c r="D16">
        <f>ACOS((SIN(I9*PI()/180)-SIN(Q3*PI()/180)*SIN(D12*PI()/180))/(COS(Q3*PI()/180)*COS(D12*PI()/180)))*180/PI()</f>
        <v>88.21912060300015</v>
      </c>
    </row>
    <row r="17" spans="2:8">
      <c r="F17" t="s">
        <v>281</v>
      </c>
      <c r="G17" t="s">
        <v>284</v>
      </c>
      <c r="H17" t="s">
        <v>283</v>
      </c>
    </row>
    <row r="18" spans="2:8">
      <c r="B18" t="s">
        <v>284</v>
      </c>
      <c r="C18" t="s">
        <v>271</v>
      </c>
      <c r="D18">
        <f>(D11+P3-D8)/360</f>
        <v>0.58198276421522022</v>
      </c>
      <c r="E18">
        <f>IF(D18&lt;0,D18+1,IF(D18&gt;1,D18-1,D18))</f>
        <v>0.58198276421522022</v>
      </c>
      <c r="F18">
        <f>(E19*24)+D!P4</f>
        <v>10.086311634298609</v>
      </c>
      <c r="G18">
        <f>(E18*24)+D!P4</f>
        <v>15.967586341165285</v>
      </c>
      <c r="H18">
        <f>(E20*24)+D!P4</f>
        <v>21.848861048031964</v>
      </c>
    </row>
    <row r="19" spans="2:8">
      <c r="B19" t="s">
        <v>281</v>
      </c>
      <c r="C19" t="s">
        <v>272</v>
      </c>
      <c r="D19">
        <f>E18-(D16/360)</f>
        <v>0.33692965142910869</v>
      </c>
      <c r="E19">
        <f t="shared" ref="E19:E20" si="0">IF(D19&lt;0,D19+1,IF(D19&gt;1,D19-1,D19))</f>
        <v>0.33692965142910869</v>
      </c>
      <c r="F19">
        <f t="shared" ref="F19" si="1">TRUNC(F18)</f>
        <v>10</v>
      </c>
      <c r="G19">
        <f t="shared" ref="G19:H19" si="2">TRUNC(G18)</f>
        <v>15</v>
      </c>
      <c r="H19">
        <f t="shared" si="2"/>
        <v>21</v>
      </c>
    </row>
    <row r="20" spans="2:8">
      <c r="B20" t="s">
        <v>283</v>
      </c>
      <c r="C20" t="s">
        <v>273</v>
      </c>
      <c r="D20">
        <f>E18+(D16/360)</f>
        <v>0.82703587700133174</v>
      </c>
      <c r="E20">
        <f t="shared" si="0"/>
        <v>0.82703587700133174</v>
      </c>
      <c r="F20">
        <f t="shared" ref="F20" si="3">(F18-F19)*60</f>
        <v>5.1786980579165132</v>
      </c>
      <c r="G20">
        <f t="shared" ref="G20:H20" si="4">(G18-G19)*60</f>
        <v>58.055180469917111</v>
      </c>
      <c r="H20">
        <f t="shared" si="4"/>
        <v>50.931662881917816</v>
      </c>
    </row>
    <row r="21" spans="2:8">
      <c r="F21">
        <f t="shared" ref="F21" si="5">TRUNC(F20)</f>
        <v>5</v>
      </c>
      <c r="G21">
        <f t="shared" ref="G21:H21" si="6">TRUNC(G20)</f>
        <v>58</v>
      </c>
      <c r="H21">
        <f t="shared" si="6"/>
        <v>50</v>
      </c>
    </row>
    <row r="22" spans="2:8">
      <c r="C22" t="s">
        <v>271</v>
      </c>
      <c r="D22">
        <f>E18</f>
        <v>0.58198276421522022</v>
      </c>
      <c r="F22">
        <f t="shared" ref="F22" si="7">(F20-F21)*60</f>
        <v>10.72188347499079</v>
      </c>
      <c r="G22">
        <f t="shared" ref="G22:H22" si="8">(G20-G21)*60</f>
        <v>3.3108281950266871</v>
      </c>
      <c r="H22">
        <f t="shared" si="8"/>
        <v>55.899772915068979</v>
      </c>
    </row>
    <row r="23" spans="2:8" ht="18.75">
      <c r="C23" t="s">
        <v>272</v>
      </c>
      <c r="D23">
        <f>E19</f>
        <v>0.33692965142910869</v>
      </c>
      <c r="F23" s="106">
        <f t="shared" ref="F23" si="9">TIME(F19,F21,F22)</f>
        <v>0.42025462962962962</v>
      </c>
      <c r="G23" s="106">
        <f t="shared" ref="G23:H23" si="10">TIME(G19,G21,G22)</f>
        <v>0.66531249999999997</v>
      </c>
      <c r="H23" s="106">
        <f t="shared" si="10"/>
        <v>0.91035879629629635</v>
      </c>
    </row>
    <row r="24" spans="2:8">
      <c r="C24" t="s">
        <v>273</v>
      </c>
      <c r="D24">
        <f>E20</f>
        <v>0.82703587700133174</v>
      </c>
    </row>
    <row r="32" spans="2:8">
      <c r="B32" t="s">
        <v>284</v>
      </c>
      <c r="C32" t="s">
        <v>274</v>
      </c>
      <c r="D32">
        <f>MOD(D$8+360.985647*D22,360)</f>
        <v>26.312068816036799</v>
      </c>
    </row>
    <row r="33" spans="2:5">
      <c r="B33" t="s">
        <v>281</v>
      </c>
      <c r="C33" t="s">
        <v>274</v>
      </c>
      <c r="D33">
        <f t="shared" ref="D33:D34" si="11">MOD(D$8+360.985647*D23,360)</f>
        <v>297.85141234757839</v>
      </c>
    </row>
    <row r="34" spans="2:5">
      <c r="B34" t="s">
        <v>283</v>
      </c>
      <c r="C34" t="s">
        <v>274</v>
      </c>
      <c r="D34">
        <f t="shared" si="11"/>
        <v>114.77272528449527</v>
      </c>
    </row>
    <row r="36" spans="2:5">
      <c r="C36" t="s">
        <v>277</v>
      </c>
      <c r="D36" t="s">
        <v>278</v>
      </c>
    </row>
    <row r="37" spans="2:5">
      <c r="B37" t="s">
        <v>183</v>
      </c>
      <c r="C37">
        <f>E11-E9</f>
        <v>26.563521402721278</v>
      </c>
      <c r="D37">
        <f>D12-D10</f>
        <v>8.0719656163456754</v>
      </c>
    </row>
    <row r="38" spans="2:5">
      <c r="B38" t="s">
        <v>286</v>
      </c>
      <c r="C38">
        <f>E13-E11</f>
        <v>2.5682991595123781</v>
      </c>
      <c r="D38">
        <f>D14-D12</f>
        <v>0.8419695194158483</v>
      </c>
    </row>
    <row r="39" spans="2:5">
      <c r="B39" t="s">
        <v>285</v>
      </c>
      <c r="C39">
        <f>C38-C37</f>
        <v>-23.9952222432089</v>
      </c>
      <c r="D39">
        <f>D38-D37</f>
        <v>-7.2299960969298276</v>
      </c>
    </row>
    <row r="41" spans="2:5">
      <c r="C41" t="s">
        <v>281</v>
      </c>
      <c r="D41" t="s">
        <v>282</v>
      </c>
      <c r="E41" t="s">
        <v>283</v>
      </c>
    </row>
    <row r="42" spans="2:5">
      <c r="B42" t="s">
        <v>253</v>
      </c>
      <c r="C42">
        <f>D23</f>
        <v>0.33692965142910869</v>
      </c>
      <c r="D42">
        <f>D22</f>
        <v>0.58198276421522022</v>
      </c>
      <c r="E42">
        <f>D24</f>
        <v>0.82703587700133174</v>
      </c>
    </row>
    <row r="43" spans="2:5">
      <c r="B43" t="s">
        <v>275</v>
      </c>
      <c r="C43">
        <f>D33</f>
        <v>297.85141234757839</v>
      </c>
      <c r="D43">
        <f>D32</f>
        <v>26.312068816036799</v>
      </c>
      <c r="E43">
        <f>D34</f>
        <v>114.77272528449527</v>
      </c>
    </row>
    <row r="44" spans="2:5">
      <c r="B44" t="s">
        <v>276</v>
      </c>
      <c r="C44">
        <f>C42+(80/86400)</f>
        <v>0.33785557735503463</v>
      </c>
      <c r="D44">
        <f>D42+(80/86400)</f>
        <v>0.5829086901411461</v>
      </c>
      <c r="E44">
        <f>E42+(80/86400)</f>
        <v>0.82796180292725763</v>
      </c>
    </row>
    <row r="45" spans="2:5">
      <c r="B45" t="s">
        <v>277</v>
      </c>
      <c r="C45">
        <f>$E11+C44/2*($C37+$C38+C44*$C39)</f>
        <v>354.29012926621363</v>
      </c>
      <c r="D45">
        <f>$E11+D44/2*($C37+$C38+D44*$C39)</f>
        <v>355.15245613978232</v>
      </c>
      <c r="E45">
        <f>$E11+E44/2*($C37+$C38+E44*$C39)</f>
        <v>354.57384524849033</v>
      </c>
    </row>
    <row r="46" spans="2:5">
      <c r="B46" t="s">
        <v>278</v>
      </c>
      <c r="C46">
        <f>$D12+C44/2*($D37+$D38+C44*$D39)</f>
        <v>-0.99346482077793219</v>
      </c>
      <c r="E46">
        <f t="shared" ref="E46" si="12">$D12+E44/2*($D37+$D38+E44*$D39)</f>
        <v>-0.8745944503122729</v>
      </c>
    </row>
    <row r="47" spans="2:5">
      <c r="B47" t="s">
        <v>257</v>
      </c>
      <c r="C47">
        <f>C43-$P3-C45</f>
        <v>-91.438716918635237</v>
      </c>
      <c r="D47">
        <f>(D43-$P3-D45)</f>
        <v>-363.84038732374552</v>
      </c>
      <c r="E47">
        <f t="shared" ref="E47" si="13">E43-$P3-E45</f>
        <v>-274.80111996399506</v>
      </c>
    </row>
    <row r="48" spans="2:5">
      <c r="C48">
        <f>IF(C47&lt;-180,MOD(C47,-180),IF(C47&gt;180,MOD(C47,180),C47))</f>
        <v>-91.438716918635237</v>
      </c>
      <c r="D48">
        <f>IF(D47&lt;-180,MOD(D47,-180),IF(D47&gt;180,MOD(D47,180),D47))</f>
        <v>-3.8403873237455173</v>
      </c>
      <c r="E48">
        <f>IF(E47&lt;-180,MOD(E47,-180),IF(E47&gt;180,MOD(E47,180),E47))</f>
        <v>-94.801119963995063</v>
      </c>
    </row>
    <row r="49" spans="2:5">
      <c r="B49" t="s">
        <v>279</v>
      </c>
      <c r="C49">
        <f>ASIN(SIN($Q3*PI()/180)*SIN(C46*PI()/180)+COS(Q3*PI()/180)*COS(C46*PI()/180)*COS(C47*PI()/180))*180/PI()</f>
        <v>-1.7464897563483563</v>
      </c>
      <c r="E49">
        <f>ASIN(SIN($Q3*PI()/180)*SIN(E46*PI()/180)+COS(Q3*PI()/180)*COS(E46*PI()/180)*COS(E47*PI()/180))*180/PI()</f>
        <v>3.605275866727859</v>
      </c>
    </row>
    <row r="50" spans="2:5">
      <c r="B50" t="s">
        <v>280</v>
      </c>
      <c r="C50">
        <f>(C49-0.125)/(360*COS(C46*PI()/180)*COS($Q3*PI()/180)*SIN(C47*PI()/180))</f>
        <v>6.132911398993141E-3</v>
      </c>
      <c r="D50">
        <f>-D48/360</f>
        <v>1.066774256595977E-2</v>
      </c>
      <c r="E50">
        <f t="shared" ref="E50" si="14">(E49-0.125)/(360*COS(E46*PI()/180)*COS($Q3*PI()/180)*SIN(E47*PI()/180))</f>
        <v>1.1441100655385828E-2</v>
      </c>
    </row>
    <row r="51" spans="2:5">
      <c r="B51" t="s">
        <v>287</v>
      </c>
      <c r="C51">
        <f>C42+C50</f>
        <v>0.34306256282810182</v>
      </c>
      <c r="D51">
        <f t="shared" ref="D51:E51" si="15">D42+D50</f>
        <v>0.59265050678118003</v>
      </c>
      <c r="E51">
        <f t="shared" si="15"/>
        <v>0.83847697765671758</v>
      </c>
    </row>
    <row r="52" spans="2:5">
      <c r="C52">
        <f>IF(C51&lt;0,C51+1,IF(C51&gt;1,C51-1,C51))</f>
        <v>0.34306256282810182</v>
      </c>
      <c r="D52">
        <f t="shared" ref="D52:E52" si="16">IF(D51&lt;0,D51+1,IF(D51&gt;1,D51-1,D51))</f>
        <v>0.59265050678118003</v>
      </c>
      <c r="E52">
        <f t="shared" si="16"/>
        <v>0.83847697765671758</v>
      </c>
    </row>
    <row r="56" spans="2:5">
      <c r="C56">
        <f>MOD(C52*24+D!P4,24)</f>
        <v>10.233501507874443</v>
      </c>
      <c r="D56">
        <f>MOD(D52*24+D!P4,24)</f>
        <v>16.223612162748321</v>
      </c>
      <c r="E56">
        <f>MOD(E52*24+D!P4,24)</f>
        <v>22.123447463761224</v>
      </c>
    </row>
    <row r="57" spans="2:5">
      <c r="C57">
        <f>TRUNC(C56)</f>
        <v>10</v>
      </c>
      <c r="D57">
        <f t="shared" ref="D57:E57" si="17">TRUNC(D56)</f>
        <v>16</v>
      </c>
      <c r="E57">
        <f t="shared" si="17"/>
        <v>22</v>
      </c>
    </row>
    <row r="58" spans="2:5">
      <c r="C58">
        <f>(C56-C57)*60</f>
        <v>14.010090472466601</v>
      </c>
      <c r="D58">
        <f t="shared" ref="D58:E58" si="18">(D56-D57)*60</f>
        <v>13.416729764899245</v>
      </c>
      <c r="E58">
        <f t="shared" si="18"/>
        <v>7.4068478256734238</v>
      </c>
    </row>
    <row r="59" spans="2:5">
      <c r="C59">
        <f>TRUNC(C58)</f>
        <v>14</v>
      </c>
      <c r="D59">
        <f t="shared" ref="D59:E59" si="19">TRUNC(D58)</f>
        <v>13</v>
      </c>
      <c r="E59">
        <f t="shared" si="19"/>
        <v>7</v>
      </c>
    </row>
    <row r="60" spans="2:5">
      <c r="C60">
        <f>(C58-C59)*60</f>
        <v>0.60542834799605316</v>
      </c>
      <c r="D60">
        <f t="shared" ref="D60:E60" si="20">(D58-D59)*60</f>
        <v>25.003785893954671</v>
      </c>
      <c r="E60">
        <f t="shared" si="20"/>
        <v>24.410869540405429</v>
      </c>
    </row>
    <row r="61" spans="2:5" ht="18.75">
      <c r="C61" s="106">
        <f>TIME(C57,C59,C60)</f>
        <v>0.42638888888888887</v>
      </c>
      <c r="D61" s="106">
        <f t="shared" ref="D61:E61" si="21">TIME(D57,D59,D60)</f>
        <v>0.67598379629629635</v>
      </c>
      <c r="E61" s="106">
        <f t="shared" si="21"/>
        <v>0.92180555555555566</v>
      </c>
    </row>
    <row r="62" spans="2:5">
      <c r="C62" s="108"/>
    </row>
    <row r="79" spans="10:10">
      <c r="J79">
        <f>177.74+360.95*0.51817</f>
        <v>364.7734615</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B2:Q62"/>
  <sheetViews>
    <sheetView topLeftCell="J1" workbookViewId="0">
      <selection activeCell="Q3" sqref="Q3"/>
    </sheetView>
  </sheetViews>
  <sheetFormatPr defaultRowHeight="15"/>
  <cols>
    <col min="2" max="2" width="16.140625" customWidth="1"/>
    <col min="3" max="3" width="13.7109375" customWidth="1"/>
    <col min="4" max="4" width="14" customWidth="1"/>
    <col min="5" max="5" width="13.28515625" customWidth="1"/>
    <col min="16" max="16" width="13.28515625" customWidth="1"/>
    <col min="17" max="17" width="18.85546875" customWidth="1"/>
  </cols>
  <sheetData>
    <row r="2" spans="3:17">
      <c r="I2" s="102" t="s">
        <v>252</v>
      </c>
      <c r="J2" s="102" t="s">
        <v>253</v>
      </c>
      <c r="K2" s="102" t="s">
        <v>159</v>
      </c>
      <c r="M2" s="102" t="s">
        <v>257</v>
      </c>
      <c r="N2" s="102" t="s">
        <v>32</v>
      </c>
      <c r="O2" s="102" t="s">
        <v>258</v>
      </c>
      <c r="P2" s="99" t="str">
        <f>D!N3</f>
        <v>Long.</v>
      </c>
      <c r="Q2" s="99" t="str">
        <f>D!O3</f>
        <v>Lat.</v>
      </c>
    </row>
    <row r="3" spans="3:17">
      <c r="I3" s="102">
        <f>D!G4</f>
        <v>2015</v>
      </c>
      <c r="J3" s="102">
        <f>D!H4</f>
        <v>3</v>
      </c>
      <c r="K3" s="102">
        <f>D!I4</f>
        <v>19</v>
      </c>
      <c r="L3" s="102">
        <f>D!J4</f>
        <v>19.82210648148148</v>
      </c>
      <c r="M3" s="102">
        <f>D!K4</f>
        <v>19</v>
      </c>
      <c r="N3" s="102">
        <f>D!L4</f>
        <v>43</v>
      </c>
      <c r="O3" s="102">
        <f>D!M4</f>
        <v>50</v>
      </c>
      <c r="P3" s="102">
        <f>D!N4</f>
        <v>35</v>
      </c>
      <c r="Q3" s="102">
        <f>D!O4</f>
        <v>32</v>
      </c>
    </row>
    <row r="4" spans="3:17">
      <c r="I4" s="102">
        <f>IF(J3&lt;3,I3-1,I3)</f>
        <v>2015</v>
      </c>
      <c r="J4" s="102">
        <f>IF(J3&lt;3,J3+12,J3)</f>
        <v>3</v>
      </c>
      <c r="K4" s="102">
        <f>IF(L3&lt;3,K3,L3)</f>
        <v>19.82210648148148</v>
      </c>
      <c r="M4" s="102">
        <f>M3/24</f>
        <v>0.79166666666666663</v>
      </c>
      <c r="N4" s="102">
        <f>N3/(24*60)</f>
        <v>2.9861111111111113E-2</v>
      </c>
      <c r="O4" s="102">
        <f>(O3)/(24*3600)</f>
        <v>5.7870370370370367E-4</v>
      </c>
      <c r="P4" s="99"/>
      <c r="Q4" s="99"/>
    </row>
    <row r="5" spans="3:17">
      <c r="C5" t="s">
        <v>152</v>
      </c>
      <c r="D5">
        <f>sidereal!H5</f>
        <v>0.1521238085278995</v>
      </c>
      <c r="P5" s="99"/>
      <c r="Q5" s="99"/>
    </row>
    <row r="8" spans="3:17">
      <c r="C8" t="s">
        <v>263</v>
      </c>
      <c r="D8" s="110">
        <f>(sidereal!D9)*15</f>
        <v>176.22464413295711</v>
      </c>
    </row>
    <row r="9" spans="3:17">
      <c r="C9" s="109" t="s">
        <v>269</v>
      </c>
      <c r="D9" s="109">
        <f>'D-1'!D27</f>
        <v>324.17491784771511</v>
      </c>
      <c r="E9">
        <f>IF((D11-D9)&gt;250,(360-D9)+360,D9)</f>
        <v>324.17491784771511</v>
      </c>
    </row>
    <row r="10" spans="3:17">
      <c r="C10" s="29" t="s">
        <v>268</v>
      </c>
      <c r="D10" s="29">
        <f>'D-1'!D28</f>
        <v>-10.158602806776411</v>
      </c>
    </row>
    <row r="11" spans="3:17">
      <c r="C11" s="109" t="s">
        <v>267</v>
      </c>
      <c r="D11" s="109">
        <f>D!D27</f>
        <v>350.73843925043639</v>
      </c>
      <c r="E11">
        <f>IF(D11&lt;D9,D11+360,D11)</f>
        <v>350.73843925043639</v>
      </c>
    </row>
    <row r="12" spans="3:17">
      <c r="C12" s="29" t="s">
        <v>266</v>
      </c>
      <c r="D12" s="29">
        <f>D!D28</f>
        <v>-2.0866371904307366</v>
      </c>
    </row>
    <row r="13" spans="3:17">
      <c r="C13" s="109" t="s">
        <v>265</v>
      </c>
      <c r="D13" s="109">
        <f>'D+1'!D27</f>
        <v>353.30673840994876</v>
      </c>
      <c r="E13">
        <f>IF(D13&lt;D9,D13+360,IF(D13&lt;D11,D13+360,D13))</f>
        <v>353.30673840994876</v>
      </c>
    </row>
    <row r="14" spans="3:17">
      <c r="C14" s="29" t="s">
        <v>264</v>
      </c>
      <c r="D14" s="29">
        <f>'D+1'!D28</f>
        <v>-1.2446676710148883</v>
      </c>
    </row>
    <row r="16" spans="3:17">
      <c r="C16" t="s">
        <v>270</v>
      </c>
      <c r="D16">
        <f>ACOS((SIN(0.125*PI()/180)-SIN(Q3*PI()/180)*SIN(D12*PI()/180))/(COS(Q3*PI()/180)*COS(D12*PI()/180)))*180/PI()</f>
        <v>88.547897180370455</v>
      </c>
    </row>
    <row r="18" spans="2:4">
      <c r="B18" t="s">
        <v>284</v>
      </c>
      <c r="C18" t="s">
        <v>271</v>
      </c>
      <c r="D18">
        <f>'moon form'!D52</f>
        <v>0.59265050678118003</v>
      </c>
    </row>
    <row r="19" spans="2:4">
      <c r="B19" t="s">
        <v>281</v>
      </c>
      <c r="C19" t="s">
        <v>272</v>
      </c>
      <c r="D19">
        <f>'moon form'!C52</f>
        <v>0.34306256282810182</v>
      </c>
    </row>
    <row r="20" spans="2:4">
      <c r="B20" t="s">
        <v>283</v>
      </c>
      <c r="C20" t="s">
        <v>273</v>
      </c>
      <c r="D20">
        <f>'moon form'!E52</f>
        <v>0.83847697765671758</v>
      </c>
    </row>
    <row r="22" spans="2:4">
      <c r="C22" t="s">
        <v>271</v>
      </c>
      <c r="D22">
        <f>IF(D18&lt;0,D18+1,IF(D18&gt;1,D18-1,D18))</f>
        <v>0.59265050678118003</v>
      </c>
    </row>
    <row r="23" spans="2:4">
      <c r="C23" t="s">
        <v>272</v>
      </c>
      <c r="D23">
        <f t="shared" ref="D23:D24" si="0">IF(D19&lt;0,D19+1,IF(D19&gt;1,D19-1,D19))</f>
        <v>0.34306256282810182</v>
      </c>
    </row>
    <row r="24" spans="2:4">
      <c r="C24" t="s">
        <v>273</v>
      </c>
      <c r="D24">
        <f t="shared" si="0"/>
        <v>0.83847697765671758</v>
      </c>
    </row>
    <row r="32" spans="2:4">
      <c r="B32" t="s">
        <v>284</v>
      </c>
      <c r="C32" t="s">
        <v>274</v>
      </c>
      <c r="D32">
        <f>MOD(D$8+360.985647*D22,360)</f>
        <v>30.162970768239234</v>
      </c>
    </row>
    <row r="33" spans="2:5">
      <c r="B33" t="s">
        <v>281</v>
      </c>
      <c r="C33" t="s">
        <v>274</v>
      </c>
      <c r="D33">
        <f t="shared" ref="D33:D34" si="1">MOD(D$8+360.985647*D23,360)</f>
        <v>300.06530533693757</v>
      </c>
    </row>
    <row r="34" spans="2:5">
      <c r="B34" t="s">
        <v>283</v>
      </c>
      <c r="C34" t="s">
        <v>274</v>
      </c>
      <c r="D34">
        <f t="shared" si="1"/>
        <v>118.90279840697184</v>
      </c>
    </row>
    <row r="36" spans="2:5">
      <c r="C36" t="s">
        <v>277</v>
      </c>
      <c r="D36" t="s">
        <v>278</v>
      </c>
    </row>
    <row r="37" spans="2:5">
      <c r="B37" t="s">
        <v>183</v>
      </c>
      <c r="C37">
        <f>E11-E9</f>
        <v>26.563521402721278</v>
      </c>
      <c r="D37">
        <f>D12-D10</f>
        <v>8.0719656163456754</v>
      </c>
    </row>
    <row r="38" spans="2:5">
      <c r="B38" t="s">
        <v>286</v>
      </c>
      <c r="C38">
        <f>E13-E11</f>
        <v>2.5682991595123781</v>
      </c>
      <c r="D38">
        <f>D14-D12</f>
        <v>0.8419695194158483</v>
      </c>
    </row>
    <row r="39" spans="2:5">
      <c r="B39" t="s">
        <v>285</v>
      </c>
      <c r="C39">
        <f>C38-C37</f>
        <v>-23.9952222432089</v>
      </c>
      <c r="D39">
        <f>D38-D37</f>
        <v>-7.2299960969298276</v>
      </c>
    </row>
    <row r="41" spans="2:5">
      <c r="C41" t="s">
        <v>281</v>
      </c>
      <c r="D41" t="s">
        <v>282</v>
      </c>
      <c r="E41" t="s">
        <v>283</v>
      </c>
    </row>
    <row r="42" spans="2:5">
      <c r="B42" t="s">
        <v>253</v>
      </c>
      <c r="C42">
        <f>D23</f>
        <v>0.34306256282810182</v>
      </c>
      <c r="D42">
        <f>D22</f>
        <v>0.59265050678118003</v>
      </c>
      <c r="E42">
        <f>D24</f>
        <v>0.83847697765671758</v>
      </c>
    </row>
    <row r="43" spans="2:5">
      <c r="B43" t="s">
        <v>275</v>
      </c>
      <c r="C43">
        <f>D33</f>
        <v>300.06530533693757</v>
      </c>
      <c r="D43">
        <f>D32</f>
        <v>30.162970768239234</v>
      </c>
      <c r="E43">
        <f>D34</f>
        <v>118.90279840697184</v>
      </c>
    </row>
    <row r="44" spans="2:5">
      <c r="B44" t="s">
        <v>276</v>
      </c>
      <c r="C44">
        <f>C42+65/86400</f>
        <v>0.34381487764291663</v>
      </c>
      <c r="D44">
        <f t="shared" ref="D44:E44" si="2">D42+65/86400</f>
        <v>0.59340282159599489</v>
      </c>
      <c r="E44">
        <f t="shared" si="2"/>
        <v>0.83922929247153244</v>
      </c>
    </row>
    <row r="45" spans="2:5">
      <c r="B45" t="s">
        <v>277</v>
      </c>
      <c r="C45">
        <f>$E11+C44/2*($C37+$C38+C44*$C39)</f>
        <v>354.32819425657107</v>
      </c>
      <c r="D45">
        <f>$E11+D44/2*($C37+$C38+D44*$C39)</f>
        <v>355.1572097945928</v>
      </c>
      <c r="E45">
        <f>$E11+E44/2*($C37+$C38+E44*$C39)</f>
        <v>354.51259066667689</v>
      </c>
    </row>
    <row r="46" spans="2:5">
      <c r="B46" t="s">
        <v>278</v>
      </c>
      <c r="C46">
        <f>$D12+C44/2*($D37+$D38+C44*$D39)</f>
        <v>-0.98158954310333635</v>
      </c>
      <c r="D46">
        <f t="shared" ref="D46:E46" si="3">$D12+D44/2*($D37+$D38+D44*$D39)</f>
        <v>-0.71479814757172533</v>
      </c>
      <c r="E46">
        <f t="shared" si="3"/>
        <v>-0.89228356370440998</v>
      </c>
    </row>
    <row r="47" spans="2:5">
      <c r="B47" t="s">
        <v>257</v>
      </c>
      <c r="C47">
        <f>C43-$P3-C45</f>
        <v>-89.262888919633497</v>
      </c>
      <c r="D47">
        <f>(D43-$P3-D45)</f>
        <v>-359.99423902635357</v>
      </c>
      <c r="E47">
        <f t="shared" ref="E47" si="4">E43-$P3-E45</f>
        <v>-270.60979225970505</v>
      </c>
    </row>
    <row r="48" spans="2:5">
      <c r="C48">
        <f>IF(C47&lt;-180,MOD(C47,-180),IF(C47&gt;180,MOD(C47,180),C47))</f>
        <v>-89.262888919633497</v>
      </c>
      <c r="D48">
        <f>IF(D47&lt;-180,MOD(D47,-180),IF(D47&gt;180,MOD(D47,180),D47))</f>
        <v>-179.99423902635357</v>
      </c>
      <c r="E48">
        <f>IF(E47&lt;-180,MOD(E47,-180),IF(E47&gt;180,MOD(E47,180),E47))</f>
        <v>-90.609792259705046</v>
      </c>
    </row>
    <row r="49" spans="2:5">
      <c r="B49" t="s">
        <v>279</v>
      </c>
      <c r="C49">
        <f>ASIN(SIN($Q3*PI()/180)*SIN(C46*PI()/180)+COS(Q3*PI()/180)*COS(C46*PI()/180)*COS(C47*PI()/180))*180/PI()</f>
        <v>0.10485896899181589</v>
      </c>
      <c r="E49">
        <f>ASIN(SIN($Q3*PI()/180)*SIN(E46*PI()/180)+COS(Q3*PI()/180)*COS(E46*PI()/180)*COS(E47*PI()/180))*180/PI()</f>
        <v>4.4241562558295852E-2</v>
      </c>
    </row>
    <row r="50" spans="2:5">
      <c r="B50" t="s">
        <v>280</v>
      </c>
      <c r="C50">
        <f>(C49-0.125)/(360*COS(C46*PI()/180)*COS($Q3*PI()/180)*SIN(C48*PI()/180))</f>
        <v>6.5987001071717182E-5</v>
      </c>
      <c r="D50">
        <f>-D48/360</f>
        <v>0.49998399729542659</v>
      </c>
      <c r="E50">
        <f>(E49-0.125)/(360*COS(E46*PI()/180)*COS($Q3*PI()/180)*SIN(E48*PI()/180))</f>
        <v>2.6457096799710418E-4</v>
      </c>
    </row>
    <row r="51" spans="2:5">
      <c r="B51" t="s">
        <v>287</v>
      </c>
      <c r="C51">
        <f>C42+C50</f>
        <v>0.34312854982917357</v>
      </c>
      <c r="D51">
        <f t="shared" ref="D51:E51" si="5">D42+D50</f>
        <v>1.0926345040766066</v>
      </c>
      <c r="E51">
        <f t="shared" si="5"/>
        <v>0.83874154862471473</v>
      </c>
    </row>
    <row r="52" spans="2:5">
      <c r="C52">
        <f>IF(C51&lt;0,C51+1,IF(C51&gt;1,C51-1,C51))</f>
        <v>0.34312854982917357</v>
      </c>
      <c r="D52">
        <f t="shared" ref="D52:E52" si="6">IF(D51&lt;0,D51+1,IF(D51&gt;1,D51-1,D51))</f>
        <v>9.2634504076606561E-2</v>
      </c>
      <c r="E52">
        <f t="shared" si="6"/>
        <v>0.83874154862471473</v>
      </c>
    </row>
    <row r="56" spans="2:5">
      <c r="C56">
        <f>MOD(C52*24+D!P4,24)</f>
        <v>10.235085195900165</v>
      </c>
      <c r="D56">
        <f>MOD(D52*24+D!P4,24)</f>
        <v>4.2232280978385575</v>
      </c>
      <c r="E56">
        <f>MOD(E52*24+D!P4,24)</f>
        <v>22.129797166993153</v>
      </c>
    </row>
    <row r="57" spans="2:5">
      <c r="C57">
        <f>TRUNC(C56)</f>
        <v>10</v>
      </c>
      <c r="D57">
        <f t="shared" ref="D57:E57" si="7">TRUNC(D56)</f>
        <v>4</v>
      </c>
      <c r="E57">
        <f t="shared" si="7"/>
        <v>22</v>
      </c>
    </row>
    <row r="58" spans="2:5">
      <c r="C58">
        <f>(C56-C57)*60</f>
        <v>14.105111754009911</v>
      </c>
      <c r="D58">
        <f t="shared" ref="D58:E58" si="8">(D56-D57)*60</f>
        <v>13.393685870313448</v>
      </c>
      <c r="E58">
        <f t="shared" si="8"/>
        <v>7.7878300195892081</v>
      </c>
    </row>
    <row r="59" spans="2:5">
      <c r="C59">
        <f>TRUNC(C58)</f>
        <v>14</v>
      </c>
      <c r="D59">
        <f t="shared" ref="D59:E59" si="9">TRUNC(D58)</f>
        <v>13</v>
      </c>
      <c r="E59">
        <f t="shared" si="9"/>
        <v>7</v>
      </c>
    </row>
    <row r="60" spans="2:5">
      <c r="C60">
        <f>(C58-C59)*60</f>
        <v>6.3067052405946811</v>
      </c>
      <c r="D60">
        <f t="shared" ref="D60:E60" si="10">(D58-D59)*60</f>
        <v>23.621152218806856</v>
      </c>
      <c r="E60">
        <f t="shared" si="10"/>
        <v>47.269801175352484</v>
      </c>
    </row>
    <row r="61" spans="2:5" ht="18.75">
      <c r="C61" s="106">
        <f>TIME(C57,C59,C60)</f>
        <v>0.42645833333333333</v>
      </c>
      <c r="D61" s="106">
        <f t="shared" ref="D61:E61" si="11">TIME(D57,D59,D60)</f>
        <v>0.17596064814814816</v>
      </c>
      <c r="E61" s="106">
        <f t="shared" si="11"/>
        <v>0.92207175925925933</v>
      </c>
    </row>
    <row r="62" spans="2:5">
      <c r="C62" s="108"/>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B2:Q62"/>
  <sheetViews>
    <sheetView topLeftCell="A41" workbookViewId="0">
      <selection activeCell="D48" sqref="D48"/>
    </sheetView>
  </sheetViews>
  <sheetFormatPr defaultRowHeight="15"/>
  <cols>
    <col min="2" max="2" width="16.140625" customWidth="1"/>
    <col min="3" max="3" width="13.7109375" customWidth="1"/>
    <col min="4" max="4" width="14" customWidth="1"/>
    <col min="5" max="5" width="13.28515625" customWidth="1"/>
    <col min="16" max="16" width="13.28515625" customWidth="1"/>
    <col min="17" max="17" width="18.85546875" customWidth="1"/>
  </cols>
  <sheetData>
    <row r="2" spans="3:17">
      <c r="I2" s="102" t="s">
        <v>252</v>
      </c>
      <c r="J2" s="102" t="s">
        <v>253</v>
      </c>
      <c r="K2" s="102" t="s">
        <v>159</v>
      </c>
      <c r="M2" s="102" t="s">
        <v>257</v>
      </c>
      <c r="N2" s="102" t="s">
        <v>32</v>
      </c>
      <c r="O2" s="102" t="s">
        <v>258</v>
      </c>
      <c r="P2" s="99" t="str">
        <f>D!N3</f>
        <v>Long.</v>
      </c>
      <c r="Q2" s="99" t="str">
        <f>D!O3</f>
        <v>Lat.</v>
      </c>
    </row>
    <row r="3" spans="3:17">
      <c r="I3" s="102">
        <f>D!G4</f>
        <v>2015</v>
      </c>
      <c r="J3" s="102">
        <f>D!H4</f>
        <v>3</v>
      </c>
      <c r="K3" s="102">
        <f>D!I4</f>
        <v>19</v>
      </c>
      <c r="L3" s="102">
        <f>D!J4</f>
        <v>19.82210648148148</v>
      </c>
      <c r="M3" s="102">
        <f>D!K4</f>
        <v>19</v>
      </c>
      <c r="N3" s="102">
        <f>D!L4</f>
        <v>43</v>
      </c>
      <c r="O3" s="102">
        <f>D!M4</f>
        <v>50</v>
      </c>
      <c r="P3" s="102">
        <f>D!N4</f>
        <v>35</v>
      </c>
      <c r="Q3" s="102">
        <f>D!O4</f>
        <v>32</v>
      </c>
    </row>
    <row r="4" spans="3:17">
      <c r="I4" s="102">
        <f>IF(J3&lt;3,I3-1,I3)</f>
        <v>2015</v>
      </c>
      <c r="J4" s="102">
        <f>IF(J3&lt;3,J3+12,J3)</f>
        <v>3</v>
      </c>
      <c r="K4" s="102">
        <f>IF(L3&lt;3,K3,L3)</f>
        <v>19.82210648148148</v>
      </c>
      <c r="M4" s="102">
        <f>M3/24</f>
        <v>0.79166666666666663</v>
      </c>
      <c r="N4" s="102">
        <f>N3/(24*60)</f>
        <v>2.9861111111111113E-2</v>
      </c>
      <c r="O4" s="102">
        <f>(O3)/(24*3600)</f>
        <v>5.7870370370370367E-4</v>
      </c>
      <c r="P4" s="99"/>
      <c r="Q4" s="99"/>
    </row>
    <row r="5" spans="3:17">
      <c r="C5" t="s">
        <v>152</v>
      </c>
      <c r="D5">
        <f>sidereal!H5</f>
        <v>0.1521238085278995</v>
      </c>
      <c r="P5" s="99"/>
      <c r="Q5" s="99"/>
    </row>
    <row r="8" spans="3:17">
      <c r="C8" t="s">
        <v>263</v>
      </c>
      <c r="D8" s="110">
        <f>(sidereal!D9)*15</f>
        <v>176.22464413295711</v>
      </c>
    </row>
    <row r="9" spans="3:17">
      <c r="C9" s="109" t="s">
        <v>269</v>
      </c>
      <c r="D9" s="109">
        <f>'D-1'!D27</f>
        <v>324.17491784771511</v>
      </c>
      <c r="E9">
        <f>IF((D11-D9)&gt;250,(360-D9)+360,D9)</f>
        <v>324.17491784771511</v>
      </c>
    </row>
    <row r="10" spans="3:17">
      <c r="C10" s="29" t="s">
        <v>268</v>
      </c>
      <c r="D10" s="29">
        <f>'D-1'!D28</f>
        <v>-10.158602806776411</v>
      </c>
    </row>
    <row r="11" spans="3:17">
      <c r="C11" s="109" t="s">
        <v>267</v>
      </c>
      <c r="D11" s="109">
        <f>D!D27</f>
        <v>350.73843925043639</v>
      </c>
      <c r="E11">
        <f>IF(D11&lt;D9,D11+360,D11)</f>
        <v>350.73843925043639</v>
      </c>
    </row>
    <row r="12" spans="3:17">
      <c r="C12" s="29" t="s">
        <v>266</v>
      </c>
      <c r="D12" s="29">
        <f>D!D28</f>
        <v>-2.0866371904307366</v>
      </c>
    </row>
    <row r="13" spans="3:17">
      <c r="C13" s="109" t="s">
        <v>265</v>
      </c>
      <c r="D13" s="109">
        <f>'D+1'!D27</f>
        <v>353.30673840994876</v>
      </c>
      <c r="E13">
        <f>IF(D13&lt;D9,D13+360,IF(D13&lt;D11,D13+360,D13))</f>
        <v>353.30673840994876</v>
      </c>
    </row>
    <row r="14" spans="3:17">
      <c r="C14" s="29" t="s">
        <v>264</v>
      </c>
      <c r="D14" s="29">
        <f>'D+1'!D28</f>
        <v>-1.2446676710148883</v>
      </c>
    </row>
    <row r="16" spans="3:17">
      <c r="C16" t="s">
        <v>270</v>
      </c>
      <c r="D16">
        <f>ACOS((SIN(0.125*PI()/180)-SIN(Q3*PI()/180)*SIN(D12*PI()/180))/(COS(Q3*PI()/180)*COS(D12*PI()/180)))*180/PI()</f>
        <v>88.547897180370455</v>
      </c>
    </row>
    <row r="18" spans="2:4">
      <c r="B18" t="s">
        <v>284</v>
      </c>
      <c r="C18" t="s">
        <v>271</v>
      </c>
      <c r="D18">
        <f>'moon form 2'!D52</f>
        <v>9.2634504076606561E-2</v>
      </c>
    </row>
    <row r="19" spans="2:4">
      <c r="B19" t="s">
        <v>281</v>
      </c>
      <c r="C19" t="s">
        <v>272</v>
      </c>
      <c r="D19">
        <f>'moon form 2'!C52</f>
        <v>0.34312854982917357</v>
      </c>
    </row>
    <row r="20" spans="2:4">
      <c r="B20" t="s">
        <v>283</v>
      </c>
      <c r="C20" t="s">
        <v>273</v>
      </c>
      <c r="D20">
        <f>'moon form 2'!E52</f>
        <v>0.83874154862471473</v>
      </c>
    </row>
    <row r="22" spans="2:4">
      <c r="C22" t="s">
        <v>271</v>
      </c>
      <c r="D22">
        <f>IF(D18&lt;0,D18+1,IF(D18&gt;1,D18-1,D18))</f>
        <v>9.2634504076606561E-2</v>
      </c>
    </row>
    <row r="23" spans="2:4">
      <c r="C23" t="s">
        <v>272</v>
      </c>
      <c r="D23">
        <f t="shared" ref="D23:D24" si="0">IF(D19&lt;0,D19+1,IF(D19&gt;1,D19-1,D19))</f>
        <v>0.34312854982917357</v>
      </c>
    </row>
    <row r="24" spans="2:4">
      <c r="C24" t="s">
        <v>273</v>
      </c>
      <c r="D24">
        <f t="shared" si="0"/>
        <v>0.83874154862471473</v>
      </c>
    </row>
    <row r="32" spans="2:4">
      <c r="B32" t="s">
        <v>284</v>
      </c>
      <c r="C32" t="s">
        <v>274</v>
      </c>
      <c r="D32">
        <f>MOD(D$8+360.985647*D22,360)</f>
        <v>209.66437052157505</v>
      </c>
    </row>
    <row r="33" spans="2:5">
      <c r="B33" t="s">
        <v>281</v>
      </c>
      <c r="C33" t="s">
        <v>274</v>
      </c>
      <c r="D33">
        <f t="shared" ref="D33:D34" si="1">MOD(D$8+360.985647*D23,360)</f>
        <v>300.08912569721303</v>
      </c>
    </row>
    <row r="34" spans="2:5">
      <c r="B34" t="s">
        <v>283</v>
      </c>
      <c r="C34" t="s">
        <v>274</v>
      </c>
      <c r="D34">
        <f t="shared" si="1"/>
        <v>118.9983047290317</v>
      </c>
    </row>
    <row r="36" spans="2:5">
      <c r="C36" t="s">
        <v>277</v>
      </c>
      <c r="D36" t="s">
        <v>278</v>
      </c>
    </row>
    <row r="37" spans="2:5">
      <c r="B37" t="s">
        <v>183</v>
      </c>
      <c r="C37">
        <f>E11-E9</f>
        <v>26.563521402721278</v>
      </c>
      <c r="D37">
        <f>D12-D10</f>
        <v>8.0719656163456754</v>
      </c>
    </row>
    <row r="38" spans="2:5">
      <c r="B38" t="s">
        <v>286</v>
      </c>
      <c r="C38">
        <f>E13-E11</f>
        <v>2.5682991595123781</v>
      </c>
      <c r="D38">
        <f>D14-D12</f>
        <v>0.8419695194158483</v>
      </c>
    </row>
    <row r="39" spans="2:5">
      <c r="B39" t="s">
        <v>285</v>
      </c>
      <c r="C39">
        <f>C38-C37</f>
        <v>-23.9952222432089</v>
      </c>
      <c r="D39">
        <f>D38-D37</f>
        <v>-7.2299960969298276</v>
      </c>
    </row>
    <row r="41" spans="2:5">
      <c r="C41" t="s">
        <v>281</v>
      </c>
      <c r="D41" t="s">
        <v>282</v>
      </c>
      <c r="E41" t="s">
        <v>283</v>
      </c>
    </row>
    <row r="42" spans="2:5">
      <c r="B42" t="s">
        <v>253</v>
      </c>
      <c r="C42">
        <f>D23</f>
        <v>0.34312854982917357</v>
      </c>
      <c r="D42">
        <f>D22</f>
        <v>9.2634504076606561E-2</v>
      </c>
      <c r="E42">
        <f>D24</f>
        <v>0.83874154862471473</v>
      </c>
    </row>
    <row r="43" spans="2:5">
      <c r="B43" t="s">
        <v>275</v>
      </c>
      <c r="C43">
        <f>D33</f>
        <v>300.08912569721303</v>
      </c>
      <c r="D43">
        <f>D32</f>
        <v>209.66437052157505</v>
      </c>
      <c r="E43">
        <f>D34</f>
        <v>118.9983047290317</v>
      </c>
    </row>
    <row r="44" spans="2:5">
      <c r="B44" t="s">
        <v>276</v>
      </c>
      <c r="C44">
        <f>C42+65/86400</f>
        <v>0.34388086464398837</v>
      </c>
      <c r="D44">
        <f t="shared" ref="D44:E44" si="2">D42+65/86400</f>
        <v>9.3386818891421378E-2</v>
      </c>
      <c r="E44">
        <f t="shared" si="2"/>
        <v>0.83949386343952959</v>
      </c>
    </row>
    <row r="45" spans="2:5">
      <c r="B45" t="s">
        <v>277</v>
      </c>
      <c r="C45">
        <f>$E11+C44/2*($C37+$C38+C44*$C39)</f>
        <v>354.32861097795706</v>
      </c>
      <c r="D45">
        <f>$E11+D44/2*($C37+$C38+D44*$C39)</f>
        <v>351.9940709341783</v>
      </c>
      <c r="E45">
        <f>$E11+E44/2*($C37+$C38+E44*$C39)</f>
        <v>354.51111574773523</v>
      </c>
    </row>
    <row r="46" spans="2:5">
      <c r="B46" t="s">
        <v>278</v>
      </c>
      <c r="C46">
        <f>$D12+C44/2*($D37+$D38+C44*$D39)</f>
        <v>-0.98145948610265443</v>
      </c>
      <c r="D46">
        <f t="shared" ref="D46:E46" si="3">$D12+D44/2*($D37+$D38+D44*$D39)</f>
        <v>-1.7019419194073013</v>
      </c>
      <c r="E46">
        <f t="shared" si="3"/>
        <v>-0.89270994981233254</v>
      </c>
    </row>
    <row r="47" spans="2:5">
      <c r="B47" t="s">
        <v>257</v>
      </c>
      <c r="C47">
        <f>C43-$P3-C45</f>
        <v>-89.23948528074402</v>
      </c>
      <c r="D47">
        <f>(D43-$P3-D45)</f>
        <v>-177.32970041260324</v>
      </c>
      <c r="E47">
        <f t="shared" ref="E47" si="4">E43-$P3-E45</f>
        <v>-270.51281101870353</v>
      </c>
    </row>
    <row r="48" spans="2:5">
      <c r="C48">
        <f>IF(C47&lt;-180,MOD(C47,-180),IF(C47&gt;180,MOD(C47,180),C47))</f>
        <v>-89.23948528074402</v>
      </c>
      <c r="D48">
        <f>IF(D47&lt;-180,MOD(D47,-180),IF(D47&gt;180,MOD(D47,180),D47))</f>
        <v>-177.32970041260324</v>
      </c>
      <c r="E48">
        <f>IF(E47&lt;-180,MOD(E47,-180),IF(E47&gt;180,MOD(E47,180),E47))</f>
        <v>-90.51281101870353</v>
      </c>
    </row>
    <row r="49" spans="2:5">
      <c r="B49" t="s">
        <v>279</v>
      </c>
      <c r="C49">
        <f>ASIN(SIN($Q3*PI()/180)*SIN(C46*PI()/180)+COS(Q3*PI()/180)*COS(C46*PI()/180)*COS(C47*PI()/180))*180/PI()</f>
        <v>0.12477074768278365</v>
      </c>
      <c r="E49">
        <f>ASIN(SIN($Q3*PI()/180)*SIN(E46*PI()/180)+COS(Q3*PI()/180)*COS(E46*PI()/180)*COS(E47*PI()/180))*180/PI()</f>
        <v>-3.8215245652495351E-2</v>
      </c>
    </row>
    <row r="50" spans="2:5">
      <c r="B50" t="s">
        <v>280</v>
      </c>
      <c r="C50">
        <f>(C49-0.125)/(360*COS(C46*PI()/180)*COS($Q3*PI()/180)*SIN(C47*PI()/180))</f>
        <v>7.5109129566588095E-7</v>
      </c>
      <c r="D50">
        <f>-D47/360</f>
        <v>0.49258250114612012</v>
      </c>
      <c r="E50">
        <f t="shared" ref="E50" si="5">(E49-0.125)/(360*COS(E46*PI()/180)*COS($Q3*PI()/180)*SIN(E47*PI()/180))</f>
        <v>-5.3469712693460421E-4</v>
      </c>
    </row>
    <row r="51" spans="2:5">
      <c r="B51" t="s">
        <v>287</v>
      </c>
      <c r="C51">
        <f>C42+C50</f>
        <v>0.34312930092046923</v>
      </c>
      <c r="D51">
        <f t="shared" ref="D51:E51" si="6">D42+D50</f>
        <v>0.58521700522272668</v>
      </c>
      <c r="E51">
        <f t="shared" si="6"/>
        <v>0.83820685149778007</v>
      </c>
    </row>
    <row r="52" spans="2:5">
      <c r="C52">
        <f>IF(C51&lt;0,C51+1,IF(C51&gt;1,C51-1,C51))</f>
        <v>0.34312930092046923</v>
      </c>
      <c r="D52">
        <f t="shared" ref="D52:E52" si="7">IF(D51&lt;0,D51+1,IF(D51&gt;1,D51-1,D51))</f>
        <v>0.58521700522272668</v>
      </c>
      <c r="E52">
        <f t="shared" si="7"/>
        <v>0.83820685149778007</v>
      </c>
    </row>
    <row r="56" spans="2:5">
      <c r="C56">
        <f>MOD(C52*24+D!P4,24)</f>
        <v>10.235103222091261</v>
      </c>
      <c r="D56">
        <f>MOD(D52*24+D!P4,24)</f>
        <v>16.045208125345439</v>
      </c>
      <c r="E56">
        <f>MOD(E52*24+D!P4,24)</f>
        <v>22.11696443594672</v>
      </c>
    </row>
    <row r="57" spans="2:5">
      <c r="C57">
        <f>TRUNC(C56)</f>
        <v>10</v>
      </c>
      <c r="D57">
        <f t="shared" ref="D57:E57" si="8">TRUNC(D56)</f>
        <v>16</v>
      </c>
      <c r="E57">
        <f t="shared" si="8"/>
        <v>22</v>
      </c>
    </row>
    <row r="58" spans="2:5">
      <c r="C58">
        <f>(C56-C57)*60</f>
        <v>14.106193325475687</v>
      </c>
      <c r="D58">
        <f t="shared" ref="D58:E58" si="9">(D56-D57)*60</f>
        <v>2.7124875207263699</v>
      </c>
      <c r="E58">
        <f t="shared" si="9"/>
        <v>7.0178661568031941</v>
      </c>
    </row>
    <row r="59" spans="2:5">
      <c r="C59">
        <f>TRUNC(C58)</f>
        <v>14</v>
      </c>
      <c r="D59">
        <f t="shared" ref="D59:E59" si="10">TRUNC(D58)</f>
        <v>2</v>
      </c>
      <c r="E59">
        <f t="shared" si="10"/>
        <v>7</v>
      </c>
    </row>
    <row r="60" spans="2:5">
      <c r="C60">
        <f>(C58-C59)*60</f>
        <v>6.3715995285411964</v>
      </c>
      <c r="D60">
        <f t="shared" ref="D60:E60" si="11">(D58-D59)*60</f>
        <v>42.749251243582194</v>
      </c>
      <c r="E60">
        <f t="shared" si="11"/>
        <v>1.0719694081916487</v>
      </c>
    </row>
    <row r="61" spans="2:5" ht="18.75">
      <c r="C61" s="106">
        <f>TIME(C57,C59,C60)</f>
        <v>0.42645833333333333</v>
      </c>
      <c r="D61" s="106">
        <f t="shared" ref="D61:E61" si="12">TIME(D57,D59,D60)</f>
        <v>0.6685416666666667</v>
      </c>
      <c r="E61" s="106">
        <f t="shared" si="12"/>
        <v>0.92153935185185187</v>
      </c>
    </row>
    <row r="62" spans="2:5">
      <c r="C62" s="108"/>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B2:Q62"/>
  <sheetViews>
    <sheetView topLeftCell="A10" workbookViewId="0">
      <selection activeCell="E11" sqref="E11"/>
    </sheetView>
  </sheetViews>
  <sheetFormatPr defaultRowHeight="15"/>
  <cols>
    <col min="2" max="2" width="16.140625" customWidth="1"/>
    <col min="3" max="3" width="13.7109375" customWidth="1"/>
    <col min="4" max="4" width="14" customWidth="1"/>
    <col min="5" max="5" width="13.28515625" customWidth="1"/>
    <col min="16" max="16" width="13.28515625" customWidth="1"/>
    <col min="17" max="17" width="18.85546875" customWidth="1"/>
  </cols>
  <sheetData>
    <row r="2" spans="3:17">
      <c r="I2" s="102" t="s">
        <v>252</v>
      </c>
      <c r="J2" s="102" t="s">
        <v>253</v>
      </c>
      <c r="K2" s="102" t="s">
        <v>159</v>
      </c>
      <c r="M2" s="102" t="s">
        <v>257</v>
      </c>
      <c r="N2" s="102" t="s">
        <v>32</v>
      </c>
      <c r="O2" s="102" t="s">
        <v>258</v>
      </c>
      <c r="P2" s="99" t="str">
        <f>D!N3</f>
        <v>Long.</v>
      </c>
      <c r="Q2" s="99" t="str">
        <f>D!O3</f>
        <v>Lat.</v>
      </c>
    </row>
    <row r="3" spans="3:17">
      <c r="I3" s="102">
        <f>D!G4</f>
        <v>2015</v>
      </c>
      <c r="J3" s="102">
        <f>D!H4</f>
        <v>3</v>
      </c>
      <c r="K3" s="102">
        <f>D!I4</f>
        <v>19</v>
      </c>
      <c r="L3" s="102">
        <f>D!J4</f>
        <v>19.82210648148148</v>
      </c>
      <c r="M3" s="102">
        <f>D!K4</f>
        <v>19</v>
      </c>
      <c r="N3" s="102">
        <f>D!L4</f>
        <v>43</v>
      </c>
      <c r="O3" s="102">
        <f>D!M4</f>
        <v>50</v>
      </c>
      <c r="P3" s="102">
        <f>D!N4</f>
        <v>35</v>
      </c>
      <c r="Q3" s="102">
        <f>D!O4</f>
        <v>32</v>
      </c>
    </row>
    <row r="4" spans="3:17">
      <c r="I4" s="102">
        <f>IF(J3&lt;3,I3-1,I3)</f>
        <v>2015</v>
      </c>
      <c r="J4" s="102">
        <f>IF(J3&lt;3,J3+12,J3)</f>
        <v>3</v>
      </c>
      <c r="K4" s="102">
        <f>IF(L3&lt;3,K3,L3)</f>
        <v>19.82210648148148</v>
      </c>
      <c r="M4" s="102">
        <f>M3/24</f>
        <v>0.79166666666666663</v>
      </c>
      <c r="N4" s="102">
        <f>N3/(24*60)</f>
        <v>2.9861111111111113E-2</v>
      </c>
      <c r="O4" s="102">
        <f>(O3)/(24*3600)</f>
        <v>5.7870370370370367E-4</v>
      </c>
      <c r="P4" s="99"/>
      <c r="Q4" s="99"/>
    </row>
    <row r="5" spans="3:17">
      <c r="C5" t="s">
        <v>152</v>
      </c>
      <c r="D5">
        <f>sidereal!H5</f>
        <v>0.1521238085278995</v>
      </c>
      <c r="P5" s="99"/>
      <c r="Q5" s="99"/>
    </row>
    <row r="8" spans="3:17">
      <c r="C8" t="s">
        <v>263</v>
      </c>
      <c r="D8" s="110">
        <f>(sidereal!D9)*15</f>
        <v>176.22464413295711</v>
      </c>
    </row>
    <row r="9" spans="3:17">
      <c r="C9" s="109" t="s">
        <v>269</v>
      </c>
      <c r="D9" s="109">
        <f>'D-1'!D27</f>
        <v>324.17491784771511</v>
      </c>
      <c r="E9">
        <f>IF((D11-D9)&gt;250,(360-D9)+360,D9)</f>
        <v>324.17491784771511</v>
      </c>
    </row>
    <row r="10" spans="3:17">
      <c r="C10" s="29" t="s">
        <v>268</v>
      </c>
      <c r="D10" s="29">
        <f>'D-1'!D28</f>
        <v>-10.158602806776411</v>
      </c>
    </row>
    <row r="11" spans="3:17">
      <c r="C11" s="109" t="s">
        <v>267</v>
      </c>
      <c r="D11" s="109">
        <f>D!D27</f>
        <v>350.73843925043639</v>
      </c>
      <c r="E11">
        <f>IF(D11&lt;D9,D11+360,D11)</f>
        <v>350.73843925043639</v>
      </c>
    </row>
    <row r="12" spans="3:17">
      <c r="C12" s="29" t="s">
        <v>266</v>
      </c>
      <c r="D12" s="29">
        <f>D!D28</f>
        <v>-2.0866371904307366</v>
      </c>
    </row>
    <row r="13" spans="3:17">
      <c r="C13" s="109" t="s">
        <v>265</v>
      </c>
      <c r="D13" s="109">
        <f>'D+1'!D27</f>
        <v>353.30673840994876</v>
      </c>
      <c r="E13">
        <f>IF(D13&lt;D9,D13+360,IF(D13&lt;D11,D13+360,D13))</f>
        <v>353.30673840994876</v>
      </c>
    </row>
    <row r="14" spans="3:17">
      <c r="C14" s="29" t="s">
        <v>264</v>
      </c>
      <c r="D14" s="29">
        <f>'D+1'!D28</f>
        <v>-1.2446676710148883</v>
      </c>
    </row>
    <row r="16" spans="3:17">
      <c r="C16" t="s">
        <v>270</v>
      </c>
      <c r="D16">
        <f>ACOS((SIN(0.125*PI()/180)-SIN(Q3*PI()/180)*SIN(D12*PI()/180))/(COS(Q3*PI()/180)*COS(D12*PI()/180)))*180/PI()</f>
        <v>88.547897180370455</v>
      </c>
    </row>
    <row r="18" spans="2:4">
      <c r="B18" t="s">
        <v>284</v>
      </c>
      <c r="C18" t="s">
        <v>271</v>
      </c>
      <c r="D18">
        <f>'moon Form 3'!D51</f>
        <v>0.58521700522272668</v>
      </c>
    </row>
    <row r="19" spans="2:4">
      <c r="B19" t="s">
        <v>281</v>
      </c>
      <c r="C19" t="s">
        <v>272</v>
      </c>
      <c r="D19">
        <f>'moon Form 3'!C51</f>
        <v>0.34312930092046923</v>
      </c>
    </row>
    <row r="20" spans="2:4">
      <c r="B20" t="s">
        <v>283</v>
      </c>
      <c r="C20" t="s">
        <v>273</v>
      </c>
      <c r="D20">
        <f>'moon Form 3'!E51</f>
        <v>0.83820685149778007</v>
      </c>
    </row>
    <row r="22" spans="2:4">
      <c r="C22" t="s">
        <v>271</v>
      </c>
      <c r="D22">
        <f>IF(D18&lt;0,D18+1,IF(D18&gt;1,D18-1,D18))</f>
        <v>0.58521700522272668</v>
      </c>
    </row>
    <row r="23" spans="2:4">
      <c r="C23" t="s">
        <v>272</v>
      </c>
      <c r="D23">
        <f t="shared" ref="D23:D24" si="0">IF(D19&lt;0,D19+1,IF(D19&gt;1,D19-1,D19))</f>
        <v>0.34312930092046923</v>
      </c>
    </row>
    <row r="24" spans="2:4">
      <c r="C24" t="s">
        <v>273</v>
      </c>
      <c r="D24">
        <f t="shared" si="0"/>
        <v>0.83820685149778007</v>
      </c>
    </row>
    <row r="32" spans="2:4">
      <c r="B32" t="s">
        <v>284</v>
      </c>
      <c r="C32" t="s">
        <v>274</v>
      </c>
      <c r="D32">
        <f>MOD(D$8+360.985647*D22,360)</f>
        <v>27.479583398685463</v>
      </c>
    </row>
    <row r="33" spans="2:5">
      <c r="B33" t="s">
        <v>281</v>
      </c>
      <c r="C33" t="s">
        <v>274</v>
      </c>
      <c r="D33">
        <f t="shared" ref="D33:D34" si="1">MOD(D$8+360.985647*D23,360)</f>
        <v>300.0893968303904</v>
      </c>
    </row>
    <row r="34" spans="2:5">
      <c r="B34" t="s">
        <v>283</v>
      </c>
      <c r="C34" t="s">
        <v>274</v>
      </c>
      <c r="D34">
        <f t="shared" si="1"/>
        <v>118.80528674071616</v>
      </c>
    </row>
    <row r="36" spans="2:5">
      <c r="C36" t="s">
        <v>277</v>
      </c>
      <c r="D36" t="s">
        <v>278</v>
      </c>
    </row>
    <row r="37" spans="2:5">
      <c r="B37" t="s">
        <v>183</v>
      </c>
      <c r="C37">
        <f>E11-E9</f>
        <v>26.563521402721278</v>
      </c>
      <c r="D37">
        <f>D12-D10</f>
        <v>8.0719656163456754</v>
      </c>
    </row>
    <row r="38" spans="2:5">
      <c r="B38" t="s">
        <v>286</v>
      </c>
      <c r="C38">
        <f>E13-E11</f>
        <v>2.5682991595123781</v>
      </c>
      <c r="D38">
        <f>D14-D12</f>
        <v>0.8419695194158483</v>
      </c>
    </row>
    <row r="39" spans="2:5">
      <c r="B39" t="s">
        <v>285</v>
      </c>
      <c r="C39">
        <f>C38-C37</f>
        <v>-23.9952222432089</v>
      </c>
      <c r="D39">
        <f>D38-D37</f>
        <v>-7.2299960969298276</v>
      </c>
    </row>
    <row r="41" spans="2:5">
      <c r="C41" t="s">
        <v>281</v>
      </c>
      <c r="D41" t="s">
        <v>282</v>
      </c>
      <c r="E41" t="s">
        <v>283</v>
      </c>
    </row>
    <row r="42" spans="2:5">
      <c r="B42" t="s">
        <v>253</v>
      </c>
      <c r="C42">
        <f>D23</f>
        <v>0.34312930092046923</v>
      </c>
      <c r="D42">
        <f>D22</f>
        <v>0.58521700522272668</v>
      </c>
      <c r="E42">
        <f>D24</f>
        <v>0.83820685149778007</v>
      </c>
    </row>
    <row r="43" spans="2:5">
      <c r="B43" t="s">
        <v>275</v>
      </c>
      <c r="C43">
        <f>D33</f>
        <v>300.0893968303904</v>
      </c>
      <c r="D43">
        <f>D32</f>
        <v>27.479583398685463</v>
      </c>
      <c r="E43">
        <f>D34</f>
        <v>118.80528674071616</v>
      </c>
    </row>
    <row r="44" spans="2:5">
      <c r="B44" t="s">
        <v>276</v>
      </c>
      <c r="C44">
        <f>C42+65/86400</f>
        <v>0.34388161573528403</v>
      </c>
      <c r="D44">
        <f t="shared" ref="D44:E44" si="2">D42+65/86400</f>
        <v>0.58596932003754154</v>
      </c>
      <c r="E44">
        <f t="shared" si="2"/>
        <v>0.83895916631259493</v>
      </c>
    </row>
    <row r="45" spans="2:5">
      <c r="B45" t="s">
        <v>277</v>
      </c>
      <c r="C45">
        <f>$E11+C44/2*($C37+$C38+C44*$C39)</f>
        <v>354.32861572065053</v>
      </c>
      <c r="D45">
        <f>$E11+D44/2*($C37+$C38+D44*$C39)</f>
        <v>355.1541155106782</v>
      </c>
      <c r="E45">
        <f>$E11+E44/2*($C37+$C38+E44*$C39)</f>
        <v>354.5140948215768</v>
      </c>
    </row>
    <row r="46" spans="2:5">
      <c r="B46" t="s">
        <v>278</v>
      </c>
      <c r="C46">
        <f>$D12+C44/2*($D37+$D38+C44*$D39)</f>
        <v>-0.98145800592137222</v>
      </c>
      <c r="D46">
        <f t="shared" ref="D46:E46" si="3">$D12+D44/2*($D37+$D38+D44*$D39)</f>
        <v>-0.71623682432240887</v>
      </c>
      <c r="E46">
        <f t="shared" si="3"/>
        <v>-0.89184874691122995</v>
      </c>
    </row>
    <row r="47" spans="2:5">
      <c r="B47" t="s">
        <v>257</v>
      </c>
      <c r="C47">
        <f>C43-$P3-C45</f>
        <v>-89.239218890260133</v>
      </c>
      <c r="D47">
        <f>(D43-$P3-D45)</f>
        <v>-362.67453211199273</v>
      </c>
      <c r="E47">
        <f t="shared" ref="E47" si="4">E43-$P3-E45</f>
        <v>-270.70880808086065</v>
      </c>
    </row>
    <row r="48" spans="2:5">
      <c r="C48">
        <f>IF(C47&lt;-180,MOD(C47,-180),IF(C47&gt;180,MOD(C47,180),C47))</f>
        <v>-89.239218890260133</v>
      </c>
      <c r="D48">
        <f>IF(D47&lt;-180,MOD(D47,-180),IF(D47&gt;180,MOD(D47,180),D47))</f>
        <v>-2.6745321119927326</v>
      </c>
      <c r="E48">
        <f>IF(E47&lt;-180,MOD(E47,-180),IF(E47&gt;180,MOD(E47,180),E47))</f>
        <v>-90.708808080860649</v>
      </c>
    </row>
    <row r="49" spans="2:5">
      <c r="B49" t="s">
        <v>279</v>
      </c>
      <c r="C49">
        <f>ASIN(SIN($Q3*PI()/180)*SIN(C46*PI()/180)+COS(Q3*PI()/180)*COS(C46*PI()/180)*COS(C47*PI()/180))*180/PI()</f>
        <v>0.12499739166240369</v>
      </c>
      <c r="E49">
        <f>ASIN(SIN($Q3*PI()/180)*SIN(E46*PI()/180)+COS(Q3*PI()/180)*COS(E46*PI()/180)*COS(E47*PI()/180))*180/PI()</f>
        <v>0.12842655392595251</v>
      </c>
    </row>
    <row r="50" spans="2:5">
      <c r="B50" t="s">
        <v>280</v>
      </c>
      <c r="C50">
        <f>(C49-0.125)/(360*COS(C46*PI()/180)*COS($Q3*PI()/180)*SIN(C47*PI()/180))</f>
        <v>8.5456051594211057E-9</v>
      </c>
      <c r="D50">
        <f>-D47/360</f>
        <v>1.0074292558666464</v>
      </c>
      <c r="E50">
        <f t="shared" ref="E50" si="5">(E49-0.125)/(360*COS(E46*PI()/180)*COS($Q3*PI()/180)*SIN(E47*PI()/180))</f>
        <v>1.1225881027859141E-5</v>
      </c>
    </row>
    <row r="51" spans="2:5">
      <c r="B51" t="s">
        <v>287</v>
      </c>
      <c r="C51">
        <f>C42+C50</f>
        <v>0.34312930946607439</v>
      </c>
      <c r="D51">
        <f t="shared" ref="D51:E51" si="6">D42+D50</f>
        <v>1.592646261089373</v>
      </c>
      <c r="E51">
        <f t="shared" si="6"/>
        <v>0.83821807737880794</v>
      </c>
    </row>
    <row r="52" spans="2:5">
      <c r="C52">
        <f>IF(C51&lt;0,C51+1,IF(C51&gt;1,C51-1,C51))</f>
        <v>0.34312930946607439</v>
      </c>
      <c r="D52">
        <f t="shared" ref="D52:E52" si="7">IF(D51&lt;0,D51+1,IF(D51&gt;1,D51-1,D51))</f>
        <v>0.59264626108937302</v>
      </c>
      <c r="E52">
        <f t="shared" si="7"/>
        <v>0.83821807737880794</v>
      </c>
    </row>
    <row r="56" spans="2:5">
      <c r="C56">
        <f>MOD(C52*24+D!P4,24)</f>
        <v>10.235103427185786</v>
      </c>
      <c r="D56">
        <f>MOD(D52*24+D!P4,24)</f>
        <v>16.223510266144952</v>
      </c>
      <c r="E56">
        <f>MOD(E52*24+D!P4,24)</f>
        <v>22.117233857091392</v>
      </c>
    </row>
    <row r="57" spans="2:5">
      <c r="C57">
        <f>TRUNC(C56)</f>
        <v>10</v>
      </c>
      <c r="D57">
        <f t="shared" ref="D57:E57" si="8">TRUNC(D56)</f>
        <v>16</v>
      </c>
      <c r="E57">
        <f t="shared" si="8"/>
        <v>22</v>
      </c>
    </row>
    <row r="58" spans="2:5">
      <c r="C58">
        <f>(C56-C57)*60</f>
        <v>14.106205631147155</v>
      </c>
      <c r="D58">
        <f t="shared" ref="D58:E58" si="9">(D56-D57)*60</f>
        <v>13.410615968697144</v>
      </c>
      <c r="E58">
        <f t="shared" si="9"/>
        <v>7.0340314254835334</v>
      </c>
    </row>
    <row r="59" spans="2:5">
      <c r="C59">
        <f>TRUNC(C58)</f>
        <v>14</v>
      </c>
      <c r="D59">
        <f t="shared" ref="D59:E59" si="10">TRUNC(D58)</f>
        <v>13</v>
      </c>
      <c r="E59">
        <f t="shared" si="10"/>
        <v>7</v>
      </c>
    </row>
    <row r="60" spans="2:5">
      <c r="C60">
        <f>(C58-C59)*60</f>
        <v>6.3723378688293053</v>
      </c>
      <c r="D60">
        <f t="shared" ref="D60:E60" si="11">(D58-D59)*60</f>
        <v>24.636958121828627</v>
      </c>
      <c r="E60">
        <f t="shared" si="11"/>
        <v>2.0418855290120064</v>
      </c>
    </row>
    <row r="61" spans="2:5" ht="18.75">
      <c r="C61" s="106">
        <f>TIME(C57,C59,C60)</f>
        <v>0.42645833333333333</v>
      </c>
      <c r="D61" s="106">
        <f t="shared" ref="D61:E61" si="12">TIME(D57,D59,D60)</f>
        <v>0.6759722222222222</v>
      </c>
      <c r="E61" s="106">
        <f t="shared" si="12"/>
        <v>0.92155092592592591</v>
      </c>
    </row>
    <row r="62" spans="2:5">
      <c r="C62" s="108"/>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B2:Q62"/>
  <sheetViews>
    <sheetView topLeftCell="A8" workbookViewId="0">
      <selection activeCell="D48" sqref="D48"/>
    </sheetView>
  </sheetViews>
  <sheetFormatPr defaultRowHeight="15"/>
  <cols>
    <col min="2" max="2" width="16.140625" customWidth="1"/>
    <col min="3" max="3" width="13.7109375" customWidth="1"/>
    <col min="4" max="4" width="14" customWidth="1"/>
    <col min="5" max="5" width="13.28515625" customWidth="1"/>
    <col min="16" max="16" width="13.28515625" customWidth="1"/>
    <col min="17" max="17" width="18.85546875" customWidth="1"/>
  </cols>
  <sheetData>
    <row r="2" spans="3:17">
      <c r="I2" s="102" t="s">
        <v>252</v>
      </c>
      <c r="J2" s="102" t="s">
        <v>253</v>
      </c>
      <c r="K2" s="102" t="s">
        <v>159</v>
      </c>
      <c r="M2" s="102" t="s">
        <v>257</v>
      </c>
      <c r="N2" s="102" t="s">
        <v>32</v>
      </c>
      <c r="O2" s="102" t="s">
        <v>258</v>
      </c>
      <c r="P2" s="99" t="str">
        <f>D!N3</f>
        <v>Long.</v>
      </c>
      <c r="Q2" s="99" t="str">
        <f>D!O3</f>
        <v>Lat.</v>
      </c>
    </row>
    <row r="3" spans="3:17">
      <c r="I3" s="102">
        <f>D!G4</f>
        <v>2015</v>
      </c>
      <c r="J3" s="102">
        <f>D!H4</f>
        <v>3</v>
      </c>
      <c r="K3" s="102">
        <f>D!I4</f>
        <v>19</v>
      </c>
      <c r="L3" s="102">
        <f>D!J4</f>
        <v>19.82210648148148</v>
      </c>
      <c r="M3" s="102">
        <f>D!K4</f>
        <v>19</v>
      </c>
      <c r="N3" s="102">
        <f>D!L4</f>
        <v>43</v>
      </c>
      <c r="O3" s="102">
        <f>D!M4</f>
        <v>50</v>
      </c>
      <c r="P3" s="102">
        <f>D!N4</f>
        <v>35</v>
      </c>
      <c r="Q3" s="102">
        <f>D!O4</f>
        <v>32</v>
      </c>
    </row>
    <row r="4" spans="3:17">
      <c r="I4" s="102">
        <f>IF(J3&lt;3,I3-1,I3)</f>
        <v>2015</v>
      </c>
      <c r="J4" s="102">
        <f>IF(J3&lt;3,J3+12,J3)</f>
        <v>3</v>
      </c>
      <c r="K4" s="102">
        <f>IF(L3&lt;3,K3,L3)</f>
        <v>19.82210648148148</v>
      </c>
      <c r="M4" s="102">
        <f>M3/24</f>
        <v>0.79166666666666663</v>
      </c>
      <c r="N4" s="102">
        <f>N3/(24*60)</f>
        <v>2.9861111111111113E-2</v>
      </c>
      <c r="O4" s="102">
        <f>(O3)/(24*3600)</f>
        <v>5.7870370370370367E-4</v>
      </c>
      <c r="P4" s="99"/>
      <c r="Q4" s="99"/>
    </row>
    <row r="5" spans="3:17">
      <c r="C5" t="s">
        <v>152</v>
      </c>
      <c r="D5">
        <f>sidereal!H5</f>
        <v>0.1521238085278995</v>
      </c>
      <c r="P5" s="99"/>
      <c r="Q5" s="99"/>
    </row>
    <row r="8" spans="3:17">
      <c r="C8" t="s">
        <v>263</v>
      </c>
      <c r="D8" s="110">
        <f>(sidereal!D9)*15</f>
        <v>176.22464413295711</v>
      </c>
    </row>
    <row r="9" spans="3:17">
      <c r="C9" s="109" t="s">
        <v>269</v>
      </c>
      <c r="D9" s="109">
        <f>'D-1'!D27</f>
        <v>324.17491784771511</v>
      </c>
      <c r="E9">
        <f>IF((D11-D9)&gt;250,(360-D9)+360,D9)</f>
        <v>324.17491784771511</v>
      </c>
    </row>
    <row r="10" spans="3:17">
      <c r="C10" s="29" t="s">
        <v>268</v>
      </c>
      <c r="D10" s="29">
        <f>'D-1'!D28</f>
        <v>-10.158602806776411</v>
      </c>
    </row>
    <row r="11" spans="3:17">
      <c r="C11" s="109" t="s">
        <v>267</v>
      </c>
      <c r="D11" s="109">
        <f>D!D27</f>
        <v>350.73843925043639</v>
      </c>
      <c r="E11">
        <f>IF(D11&lt;D9,D11+360,D11)</f>
        <v>350.73843925043639</v>
      </c>
    </row>
    <row r="12" spans="3:17">
      <c r="C12" s="29" t="s">
        <v>266</v>
      </c>
      <c r="D12" s="29">
        <f>D!D28</f>
        <v>-2.0866371904307366</v>
      </c>
    </row>
    <row r="13" spans="3:17">
      <c r="C13" s="109" t="s">
        <v>265</v>
      </c>
      <c r="D13" s="109">
        <f>'D+1'!D27</f>
        <v>353.30673840994876</v>
      </c>
      <c r="E13">
        <f>IF(D13&lt;D9,D13+360,IF(D13&lt;D11,D13+360,D13))</f>
        <v>353.30673840994876</v>
      </c>
    </row>
    <row r="14" spans="3:17">
      <c r="C14" s="29" t="s">
        <v>264</v>
      </c>
      <c r="D14" s="29">
        <f>'D+1'!D28</f>
        <v>-1.2446676710148883</v>
      </c>
    </row>
    <row r="16" spans="3:17">
      <c r="C16" t="s">
        <v>270</v>
      </c>
      <c r="D16">
        <f>ACOS((SIN(0.125*PI()/180)-SIN(Q3*PI()/180)*SIN(D12*PI()/180))/(COS(Q3*PI()/180)*COS(D12*PI()/180)))*180/PI()</f>
        <v>88.547897180370455</v>
      </c>
    </row>
    <row r="18" spans="2:4">
      <c r="B18" t="s">
        <v>284</v>
      </c>
      <c r="C18" t="s">
        <v>271</v>
      </c>
      <c r="D18">
        <f>'M4'!D52</f>
        <v>0.59264626108937302</v>
      </c>
    </row>
    <row r="19" spans="2:4">
      <c r="B19" t="s">
        <v>281</v>
      </c>
      <c r="C19" t="s">
        <v>272</v>
      </c>
      <c r="D19">
        <f>'M4'!C52</f>
        <v>0.34312930946607439</v>
      </c>
    </row>
    <row r="20" spans="2:4">
      <c r="B20" t="s">
        <v>283</v>
      </c>
      <c r="C20" t="s">
        <v>273</v>
      </c>
      <c r="D20">
        <f>'M4'!E52</f>
        <v>0.83821807737880794</v>
      </c>
    </row>
    <row r="22" spans="2:4">
      <c r="C22" t="s">
        <v>271</v>
      </c>
      <c r="D22">
        <f>IF(D18&lt;0,D18+1,IF(D18&gt;1,D18-1,D18))</f>
        <v>0.59264626108937302</v>
      </c>
    </row>
    <row r="23" spans="2:4">
      <c r="C23" t="s">
        <v>272</v>
      </c>
      <c r="D23">
        <f t="shared" ref="D23:D24" si="0">IF(D19&lt;0,D19+1,IF(D19&gt;1,D19-1,D19))</f>
        <v>0.34312930946607439</v>
      </c>
    </row>
    <row r="24" spans="2:4">
      <c r="C24" t="s">
        <v>273</v>
      </c>
      <c r="D24">
        <f t="shared" si="0"/>
        <v>0.83821807737880794</v>
      </c>
    </row>
    <row r="32" spans="2:4">
      <c r="B32" t="s">
        <v>284</v>
      </c>
      <c r="C32" t="s">
        <v>274</v>
      </c>
      <c r="D32">
        <f>MOD(D$8+360.985647*D22,360)</f>
        <v>30.161438134435343</v>
      </c>
    </row>
    <row r="33" spans="2:5">
      <c r="B33" t="s">
        <v>281</v>
      </c>
      <c r="C33" t="s">
        <v>274</v>
      </c>
      <c r="D33">
        <f t="shared" ref="D33:D34" si="1">MOD(D$8+360.985647*D23,360)</f>
        <v>300.08939991523118</v>
      </c>
    </row>
    <row r="34" spans="2:5">
      <c r="B34" t="s">
        <v>283</v>
      </c>
      <c r="C34" t="s">
        <v>274</v>
      </c>
      <c r="D34">
        <f t="shared" si="1"/>
        <v>118.80933912264214</v>
      </c>
    </row>
    <row r="36" spans="2:5">
      <c r="C36" t="s">
        <v>277</v>
      </c>
      <c r="D36" t="s">
        <v>278</v>
      </c>
    </row>
    <row r="37" spans="2:5">
      <c r="B37" t="s">
        <v>183</v>
      </c>
      <c r="C37">
        <f>E11-E9</f>
        <v>26.563521402721278</v>
      </c>
      <c r="D37">
        <f>D12-D10</f>
        <v>8.0719656163456754</v>
      </c>
    </row>
    <row r="38" spans="2:5">
      <c r="B38" t="s">
        <v>286</v>
      </c>
      <c r="C38">
        <f>E13-E11</f>
        <v>2.5682991595123781</v>
      </c>
      <c r="D38">
        <f>D14-D12</f>
        <v>0.8419695194158483</v>
      </c>
    </row>
    <row r="39" spans="2:5">
      <c r="B39" t="s">
        <v>285</v>
      </c>
      <c r="C39">
        <f>C38-C37</f>
        <v>-23.9952222432089</v>
      </c>
      <c r="D39">
        <f>D38-D37</f>
        <v>-7.2299960969298276</v>
      </c>
    </row>
    <row r="41" spans="2:5">
      <c r="C41" t="s">
        <v>281</v>
      </c>
      <c r="D41" t="s">
        <v>282</v>
      </c>
      <c r="E41" t="s">
        <v>283</v>
      </c>
    </row>
    <row r="42" spans="2:5">
      <c r="B42" t="s">
        <v>253</v>
      </c>
      <c r="C42">
        <f>D23</f>
        <v>0.34312930946607439</v>
      </c>
      <c r="D42">
        <f>D22</f>
        <v>0.59264626108937302</v>
      </c>
      <c r="E42">
        <f>D24</f>
        <v>0.83821807737880794</v>
      </c>
    </row>
    <row r="43" spans="2:5">
      <c r="B43" t="s">
        <v>275</v>
      </c>
      <c r="C43">
        <f>D33</f>
        <v>300.08939991523118</v>
      </c>
      <c r="D43">
        <f>D32</f>
        <v>30.161438134435343</v>
      </c>
      <c r="E43">
        <f>D34</f>
        <v>118.80933912264214</v>
      </c>
    </row>
    <row r="44" spans="2:5">
      <c r="B44" t="s">
        <v>276</v>
      </c>
      <c r="C44">
        <f>C42+65/86400</f>
        <v>0.3438816242808892</v>
      </c>
      <c r="D44">
        <f t="shared" ref="D44:E44" si="2">D42+65/86400</f>
        <v>0.59339857590418787</v>
      </c>
      <c r="E44">
        <f t="shared" si="2"/>
        <v>0.83897039219362279</v>
      </c>
    </row>
    <row r="45" spans="2:5">
      <c r="B45" t="s">
        <v>277</v>
      </c>
      <c r="C45">
        <f>$E11+C44/2*($C37+$C38+C44*$C39)</f>
        <v>354.32861577461085</v>
      </c>
      <c r="D45">
        <f>$E11+D44/2*($C37+$C38+D44*$C39)</f>
        <v>355.15720840570543</v>
      </c>
      <c r="E45">
        <f>$E11+E44/2*($C37+$C38+E44*$C39)</f>
        <v>354.514032346899</v>
      </c>
    </row>
    <row r="46" spans="2:5">
      <c r="B46" t="s">
        <v>278</v>
      </c>
      <c r="C46">
        <f>$D12+C44/2*($D37+$D38+C44*$D39)</f>
        <v>-0.98145798908050685</v>
      </c>
      <c r="D46">
        <f t="shared" ref="D46:E46" si="3">$D12+D44/2*($D37+$D38+D44*$D39)</f>
        <v>-0.71479885525565945</v>
      </c>
      <c r="E46">
        <f t="shared" si="3"/>
        <v>-0.89186680648572092</v>
      </c>
    </row>
    <row r="47" spans="2:5">
      <c r="B47" t="s">
        <v>257</v>
      </c>
      <c r="C47">
        <f>C43-$P3-C45</f>
        <v>-89.239215859379669</v>
      </c>
      <c r="D47">
        <f>(D43-$P3-D45)</f>
        <v>-359.99577027127009</v>
      </c>
      <c r="E47">
        <f t="shared" ref="E47" si="4">E43-$P3-E45</f>
        <v>-270.70469322425686</v>
      </c>
    </row>
    <row r="48" spans="2:5">
      <c r="C48">
        <f>IF(C47&lt;-180,MOD(C47,-180),IF(C47&gt;180,MOD(C47,180),C47))</f>
        <v>-89.239215859379669</v>
      </c>
      <c r="D48">
        <f>IF(D47&lt;-180,MOD(D47,-180),IF(D47&gt;180,MOD(D47,180),D47))</f>
        <v>-179.99577027127009</v>
      </c>
      <c r="E48">
        <f>IF(E47&lt;-180,MOD(E47,-180),IF(E47&gt;180,MOD(E47,180),E47))</f>
        <v>-90.704693224256857</v>
      </c>
    </row>
    <row r="49" spans="2:5">
      <c r="B49" t="s">
        <v>279</v>
      </c>
      <c r="C49">
        <f>ASIN(SIN($Q3*PI()/180)*SIN(C46*PI()/180)+COS(Q3*PI()/180)*COS(C46*PI()/180)*COS(C47*PI()/180))*180/PI()</f>
        <v>0.12499997032355287</v>
      </c>
      <c r="E49">
        <f>ASIN(SIN($Q3*PI()/180)*SIN(E46*PI()/180)+COS(Q3*PI()/180)*COS(E46*PI()/180)*COS(E47*PI()/180))*180/PI()</f>
        <v>0.12492806536269865</v>
      </c>
    </row>
    <row r="50" spans="2:5">
      <c r="B50" t="s">
        <v>280</v>
      </c>
      <c r="C50">
        <f>(C49-0.125)/(360*COS(C46*PI()/180)*COS($Q3*PI()/180)*SIN(C47*PI()/180))</f>
        <v>9.7227904957029281E-11</v>
      </c>
      <c r="D50">
        <f>-D47/360</f>
        <v>0.99998825075352804</v>
      </c>
      <c r="E50">
        <f t="shared" ref="E50" si="5">(E49-0.125)/(360*COS(E46*PI()/180)*COS($Q3*PI()/180)*SIN(E47*PI()/180))</f>
        <v>-2.3566795857542323E-7</v>
      </c>
    </row>
    <row r="51" spans="2:5">
      <c r="B51" t="s">
        <v>287</v>
      </c>
      <c r="C51">
        <f>C42+C50</f>
        <v>0.34312930956330229</v>
      </c>
      <c r="D51">
        <f t="shared" ref="D51:E51" si="6">D42+D50</f>
        <v>1.5926345118429011</v>
      </c>
      <c r="E51">
        <f t="shared" si="6"/>
        <v>0.83821784171084934</v>
      </c>
    </row>
    <row r="52" spans="2:5">
      <c r="C52">
        <f>IF(C51&lt;0,C51+1,IF(C51&gt;1,C51-1,C51))</f>
        <v>0.34312930956330229</v>
      </c>
      <c r="D52">
        <f t="shared" ref="D52:E52" si="7">IF(D51&lt;0,D51+1,IF(D51&gt;1,D51-1,D51))</f>
        <v>0.59263451184290106</v>
      </c>
      <c r="E52">
        <f t="shared" si="7"/>
        <v>0.83821784171084934</v>
      </c>
    </row>
    <row r="56" spans="2:5">
      <c r="C56">
        <f>MOD(C52*24+D!P4,24)</f>
        <v>10.235103429519254</v>
      </c>
      <c r="D56">
        <f>MOD(D52*24+D!P4,24)</f>
        <v>16.223228284229627</v>
      </c>
      <c r="E56">
        <f>MOD(E52*24+D!P4,24)</f>
        <v>22.117228201060385</v>
      </c>
    </row>
    <row r="57" spans="2:5">
      <c r="C57">
        <f>TRUNC(C56)</f>
        <v>10</v>
      </c>
      <c r="D57">
        <f t="shared" ref="D57:E57" si="8">TRUNC(D56)</f>
        <v>16</v>
      </c>
      <c r="E57">
        <f t="shared" si="8"/>
        <v>22</v>
      </c>
    </row>
    <row r="58" spans="2:5">
      <c r="C58">
        <f>(C56-C57)*60</f>
        <v>14.106205771155267</v>
      </c>
      <c r="D58">
        <f t="shared" ref="D58:E58" si="9">(D56-D57)*60</f>
        <v>13.393697053777629</v>
      </c>
      <c r="E58">
        <f t="shared" si="9"/>
        <v>7.0336920636231071</v>
      </c>
    </row>
    <row r="59" spans="2:5">
      <c r="C59">
        <f>TRUNC(C58)</f>
        <v>14</v>
      </c>
      <c r="D59">
        <f t="shared" ref="D59:E59" si="10">TRUNC(D58)</f>
        <v>13</v>
      </c>
      <c r="E59">
        <f t="shared" si="10"/>
        <v>7</v>
      </c>
    </row>
    <row r="60" spans="2:5">
      <c r="C60">
        <f>(C58-C59)*60</f>
        <v>6.3723462693160116</v>
      </c>
      <c r="D60">
        <f t="shared" ref="D60:E60" si="11">(D58-D59)*60</f>
        <v>23.621823226657739</v>
      </c>
      <c r="E60">
        <f t="shared" si="11"/>
        <v>2.0215238173864236</v>
      </c>
    </row>
    <row r="61" spans="2:5" ht="18.75">
      <c r="C61" s="106">
        <f>TIME(C57,C59,C60)</f>
        <v>0.42645833333333333</v>
      </c>
      <c r="D61" s="106">
        <f t="shared" ref="D61:E61" si="12">TIME(D57,D59,D60)</f>
        <v>0.67596064814814805</v>
      </c>
      <c r="E61" s="106">
        <f t="shared" si="12"/>
        <v>0.92155092592592591</v>
      </c>
    </row>
    <row r="62" spans="2:5">
      <c r="C62" s="108"/>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
  <sheetViews>
    <sheetView topLeftCell="A3" workbookViewId="0">
      <selection activeCell="M3" sqref="M3"/>
    </sheetView>
  </sheetViews>
  <sheetFormatPr defaultRowHeight="1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C12:P152"/>
  <sheetViews>
    <sheetView topLeftCell="G135" workbookViewId="0">
      <selection activeCell="L148" sqref="L148"/>
    </sheetView>
  </sheetViews>
  <sheetFormatPr defaultRowHeight="15"/>
  <cols>
    <col min="3" max="3" width="17.28515625" customWidth="1"/>
    <col min="4" max="4" width="19.28515625" customWidth="1"/>
    <col min="5" max="5" width="5.7109375" customWidth="1"/>
    <col min="6" max="6" width="38.7109375" customWidth="1"/>
    <col min="7" max="7" width="30" customWidth="1"/>
    <col min="8" max="8" width="17.7109375" style="68" customWidth="1"/>
    <col min="9" max="9" width="21.140625" customWidth="1"/>
    <col min="10" max="10" width="17.140625" customWidth="1"/>
    <col min="11" max="12" width="17.28515625" customWidth="1"/>
    <col min="13" max="13" width="16" bestFit="1" customWidth="1"/>
    <col min="14" max="14" width="19.7109375" customWidth="1"/>
    <col min="15" max="15" width="12.7109375" bestFit="1" customWidth="1"/>
  </cols>
  <sheetData>
    <row r="12" spans="3:15" ht="15.75" thickBot="1"/>
    <row r="13" spans="3:15" ht="18.75">
      <c r="D13" s="50" t="s">
        <v>133</v>
      </c>
      <c r="E13" s="51"/>
      <c r="F13" s="51"/>
      <c r="G13" s="51"/>
      <c r="H13" s="69"/>
      <c r="O13">
        <f>0.00002*COS(PI()*O20/180)+0.00002*COS(PI()*P20/180)+0.00002*COS(2*PI()*N131/180)</f>
        <v>6.0000000000000008E-5</v>
      </c>
    </row>
    <row r="14" spans="3:15" ht="15.75">
      <c r="C14" s="2"/>
      <c r="D14" s="15"/>
      <c r="E14" s="11"/>
      <c r="F14" s="11"/>
      <c r="G14" s="11"/>
      <c r="H14" s="70"/>
    </row>
    <row r="15" spans="3:15" ht="15.75">
      <c r="C15" s="2"/>
      <c r="D15" s="15"/>
      <c r="E15" s="43"/>
      <c r="F15" s="44" t="s">
        <v>141</v>
      </c>
      <c r="G15" s="11"/>
      <c r="H15" s="70"/>
    </row>
    <row r="16" spans="3:15" ht="15.75">
      <c r="C16" s="2"/>
      <c r="D16" s="15"/>
      <c r="E16" s="43"/>
      <c r="F16" s="43"/>
      <c r="G16" s="11"/>
      <c r="H16" s="70"/>
    </row>
    <row r="17" spans="3:16" ht="18">
      <c r="C17" s="2"/>
      <c r="D17" s="15"/>
      <c r="E17" s="11"/>
      <c r="F17" s="45" t="s">
        <v>2</v>
      </c>
      <c r="G17" s="11"/>
      <c r="H17" s="70"/>
    </row>
    <row r="18" spans="3:16">
      <c r="D18" s="15"/>
      <c r="E18" s="11"/>
      <c r="F18" s="11"/>
      <c r="G18" s="11"/>
      <c r="H18" s="70"/>
    </row>
    <row r="19" spans="3:16" ht="18">
      <c r="D19" s="15"/>
      <c r="E19" s="11"/>
      <c r="F19" s="46" t="s">
        <v>3</v>
      </c>
      <c r="G19" s="47"/>
      <c r="H19" s="70"/>
      <c r="N19">
        <f>COS(N129*PI()/180)</f>
        <v>1</v>
      </c>
      <c r="O19" t="s">
        <v>130</v>
      </c>
      <c r="P19" t="s">
        <v>131</v>
      </c>
    </row>
    <row r="20" spans="3:16" ht="15.75">
      <c r="D20" s="15"/>
      <c r="E20" s="11"/>
      <c r="F20" s="48"/>
      <c r="G20" s="11"/>
      <c r="H20" s="70"/>
      <c r="O20">
        <f>N130-N129</f>
        <v>0</v>
      </c>
      <c r="P20">
        <f>N130+N129</f>
        <v>0</v>
      </c>
    </row>
    <row r="21" spans="3:16" ht="18">
      <c r="D21" s="52" t="s">
        <v>4</v>
      </c>
      <c r="E21" s="11"/>
      <c r="F21" s="46" t="s">
        <v>5</v>
      </c>
      <c r="G21" s="47"/>
      <c r="H21" s="71"/>
      <c r="N21">
        <f>COS(N130*PI()/180)</f>
        <v>1</v>
      </c>
    </row>
    <row r="22" spans="3:16" ht="15.75">
      <c r="D22" s="15"/>
      <c r="E22" s="11"/>
      <c r="F22" s="48"/>
      <c r="G22" s="11"/>
      <c r="H22" s="70"/>
    </row>
    <row r="23" spans="3:16" ht="18">
      <c r="D23" s="52" t="s">
        <v>6</v>
      </c>
      <c r="E23" s="49"/>
      <c r="F23" s="46" t="s">
        <v>7</v>
      </c>
      <c r="G23" s="47"/>
      <c r="H23" s="71"/>
    </row>
    <row r="24" spans="3:16" ht="15.75">
      <c r="D24" s="15"/>
      <c r="E24" s="11"/>
      <c r="F24" s="48"/>
      <c r="G24" s="11"/>
      <c r="H24" s="70"/>
    </row>
    <row r="25" spans="3:16" ht="39.75" thickBot="1">
      <c r="D25" s="53" t="s">
        <v>8</v>
      </c>
      <c r="E25" s="17"/>
      <c r="F25" s="54" t="s">
        <v>9</v>
      </c>
      <c r="G25" s="55"/>
      <c r="H25" s="72"/>
    </row>
    <row r="26" spans="3:16" ht="19.5" thickBot="1">
      <c r="F26" s="1"/>
      <c r="H26" s="73"/>
      <c r="I26" s="62"/>
      <c r="J26" s="63" t="s">
        <v>145</v>
      </c>
      <c r="K26" s="62"/>
      <c r="L26" s="62"/>
      <c r="M26" s="64"/>
    </row>
    <row r="27" spans="3:16" ht="25.15" customHeight="1" thickBot="1">
      <c r="F27" s="56" t="s">
        <v>10</v>
      </c>
      <c r="H27" s="74"/>
      <c r="I27" s="65"/>
      <c r="J27" s="65" t="s">
        <v>134</v>
      </c>
      <c r="K27" s="66" t="s">
        <v>146</v>
      </c>
      <c r="L27" s="65" t="s">
        <v>135</v>
      </c>
      <c r="M27" s="67" t="s">
        <v>291</v>
      </c>
    </row>
    <row r="28" spans="3:16" ht="19.5">
      <c r="F28" s="57" t="s">
        <v>11</v>
      </c>
      <c r="H28" s="75">
        <f>MOD((299.77 + 0.107408*H131-0.009173*G132^2),360)</f>
        <v>320.01619494092563</v>
      </c>
      <c r="I28" s="59"/>
      <c r="J28" s="59">
        <f>H28</f>
        <v>320.01619494092563</v>
      </c>
      <c r="K28" s="60">
        <v>3.2499999999999999E-4</v>
      </c>
      <c r="L28" s="59">
        <f>SIN(PI()*J28/180)</f>
        <v>-0.6425710576883058</v>
      </c>
      <c r="M28" s="61">
        <f>K28*L28</f>
        <v>-2.0883559374869937E-4</v>
      </c>
    </row>
    <row r="29" spans="3:16" ht="18.75">
      <c r="F29" s="57" t="s">
        <v>12</v>
      </c>
      <c r="H29" s="76">
        <f>MOD(( 251.88 + 0.016321*H131),360)</f>
        <v>254.95650849999998</v>
      </c>
      <c r="I29" s="11"/>
      <c r="J29" s="59">
        <f t="shared" ref="J29:J41" si="0">H29</f>
        <v>254.95650849999998</v>
      </c>
      <c r="K29" s="12">
        <v>1.65E-4</v>
      </c>
      <c r="L29" s="11">
        <f t="shared" ref="L29:L41" si="1">SIN(PI()*J29/180)</f>
        <v>-0.96572908629162046</v>
      </c>
      <c r="M29" s="16">
        <f t="shared" ref="M29:M41" si="2">K29*L29</f>
        <v>-1.5934529923811738E-4</v>
      </c>
    </row>
    <row r="30" spans="3:16" ht="18.75">
      <c r="F30" s="57" t="s">
        <v>13</v>
      </c>
      <c r="H30" s="76">
        <f>MOD((251.83 + 26.651886*H131),360)</f>
        <v>235.71051100000022</v>
      </c>
      <c r="I30" s="11"/>
      <c r="J30" s="59">
        <f t="shared" si="0"/>
        <v>235.71051100000022</v>
      </c>
      <c r="K30" s="12">
        <v>1.64E-4</v>
      </c>
      <c r="L30" s="11">
        <f t="shared" si="1"/>
        <v>-0.82620166032570341</v>
      </c>
      <c r="M30" s="16">
        <f t="shared" si="2"/>
        <v>-1.3549707229341536E-4</v>
      </c>
    </row>
    <row r="31" spans="3:16" ht="18.75">
      <c r="F31" s="57" t="s">
        <v>14</v>
      </c>
      <c r="H31" s="76">
        <f>MOD((349.42+36.412478*H131),360)</f>
        <v>13.172102999999879</v>
      </c>
      <c r="I31" s="11"/>
      <c r="J31" s="59">
        <f t="shared" si="0"/>
        <v>13.172102999999879</v>
      </c>
      <c r="K31" s="12">
        <v>1.26E-4</v>
      </c>
      <c r="L31" s="11">
        <f t="shared" si="1"/>
        <v>0.22787681284772468</v>
      </c>
      <c r="M31" s="16">
        <f t="shared" si="2"/>
        <v>2.8712478418813309E-5</v>
      </c>
    </row>
    <row r="32" spans="3:16" ht="18.75">
      <c r="F32" s="57" t="s">
        <v>15</v>
      </c>
      <c r="H32" s="76">
        <f>MOD((84.66+18.206239*H131),360)</f>
        <v>276.53605149999976</v>
      </c>
      <c r="I32" s="11"/>
      <c r="J32" s="59">
        <f t="shared" si="0"/>
        <v>276.53605149999976</v>
      </c>
      <c r="K32" s="12">
        <v>1.1E-4</v>
      </c>
      <c r="L32" s="11">
        <f t="shared" si="1"/>
        <v>-0.99350042956749918</v>
      </c>
      <c r="M32" s="16">
        <f t="shared" si="2"/>
        <v>-1.0928504725242491E-4</v>
      </c>
    </row>
    <row r="33" spans="6:13" ht="18.75">
      <c r="F33" s="57" t="s">
        <v>16</v>
      </c>
      <c r="H33" s="76">
        <f>MOD((141.74+53.303771*H131),260)</f>
        <v>49.500833500000226</v>
      </c>
      <c r="I33" s="11"/>
      <c r="J33" s="59">
        <f t="shared" si="0"/>
        <v>49.500833500000226</v>
      </c>
      <c r="K33" s="12">
        <v>6.2000000000000003E-5</v>
      </c>
      <c r="L33" s="11">
        <f t="shared" si="1"/>
        <v>0.76041541324771067</v>
      </c>
      <c r="M33" s="16">
        <f t="shared" si="2"/>
        <v>4.7145755621358063E-5</v>
      </c>
    </row>
    <row r="34" spans="6:13" ht="18.75">
      <c r="F34" s="57" t="s">
        <v>17</v>
      </c>
      <c r="H34" s="76">
        <f>MOD((207.14+2.453732*H131),360)</f>
        <v>309.66848200000004</v>
      </c>
      <c r="I34" s="11"/>
      <c r="J34" s="59">
        <f t="shared" si="0"/>
        <v>309.66848200000004</v>
      </c>
      <c r="K34" s="12">
        <v>6.0000000000000002E-5</v>
      </c>
      <c r="L34" s="11">
        <f t="shared" si="1"/>
        <v>-0.76975082024251718</v>
      </c>
      <c r="M34" s="16">
        <f t="shared" si="2"/>
        <v>-4.6185049214551033E-5</v>
      </c>
    </row>
    <row r="35" spans="6:13" ht="18.75">
      <c r="F35" s="57" t="s">
        <v>18</v>
      </c>
      <c r="H35" s="76">
        <f>MOD((154.84+7.30686*H131),360)</f>
        <v>92.183109999999942</v>
      </c>
      <c r="I35" s="11"/>
      <c r="J35" s="59">
        <f t="shared" si="0"/>
        <v>92.183109999999942</v>
      </c>
      <c r="K35" s="13">
        <v>5.5999999999999999E-5</v>
      </c>
      <c r="L35" s="11">
        <f t="shared" si="1"/>
        <v>0.99927418918599575</v>
      </c>
      <c r="M35" s="16">
        <f t="shared" si="2"/>
        <v>5.5959354594415765E-5</v>
      </c>
    </row>
    <row r="36" spans="6:13" ht="18.75">
      <c r="F36" s="57" t="s">
        <v>19</v>
      </c>
      <c r="H36" s="76">
        <f>MOD((34.52+27.261239*H131),360)</f>
        <v>133.26355150000018</v>
      </c>
      <c r="I36" s="11"/>
      <c r="J36" s="59">
        <f t="shared" si="0"/>
        <v>133.26355150000018</v>
      </c>
      <c r="K36" s="13">
        <v>4.6999999999999997E-5</v>
      </c>
      <c r="L36" s="11">
        <f t="shared" si="1"/>
        <v>0.72820889119937959</v>
      </c>
      <c r="M36" s="16">
        <f t="shared" si="2"/>
        <v>3.4225817886370838E-5</v>
      </c>
    </row>
    <row r="37" spans="6:13" ht="18.75">
      <c r="F37" s="57" t="s">
        <v>20</v>
      </c>
      <c r="H37" s="76">
        <f>MOD((207.19+0.121824*H131),360)</f>
        <v>230.15382399999999</v>
      </c>
      <c r="I37" s="11"/>
      <c r="J37" s="59">
        <f t="shared" si="0"/>
        <v>230.15382399999999</v>
      </c>
      <c r="K37" s="13">
        <v>4.1999999999999998E-5</v>
      </c>
      <c r="L37" s="11">
        <f t="shared" si="1"/>
        <v>-0.7677673948645769</v>
      </c>
      <c r="M37" s="16">
        <f t="shared" si="2"/>
        <v>-3.2246230584312226E-5</v>
      </c>
    </row>
    <row r="38" spans="6:13" ht="18.75">
      <c r="F38" s="57" t="s">
        <v>21</v>
      </c>
      <c r="H38" s="76">
        <f>MOD((291.34+1.844379*H131),360)</f>
        <v>279.00544149999996</v>
      </c>
      <c r="I38" s="11"/>
      <c r="J38" s="59">
        <f t="shared" si="0"/>
        <v>279.00544149999996</v>
      </c>
      <c r="K38" s="13">
        <v>4.0000000000000003E-5</v>
      </c>
      <c r="L38" s="11">
        <f t="shared" si="1"/>
        <v>-0.98767347923254678</v>
      </c>
      <c r="M38" s="16">
        <f t="shared" si="2"/>
        <v>-3.9506939169301875E-5</v>
      </c>
    </row>
    <row r="39" spans="6:13" ht="18.75">
      <c r="F39" s="57" t="s">
        <v>22</v>
      </c>
      <c r="H39" s="76">
        <f>MOD((161.72+24.198154*H131),360)</f>
        <v>43.07202899999993</v>
      </c>
      <c r="I39" s="11"/>
      <c r="J39" s="59">
        <f t="shared" si="0"/>
        <v>43.07202899999993</v>
      </c>
      <c r="K39" s="13">
        <v>3.6999999999999998E-5</v>
      </c>
      <c r="L39" s="11">
        <f t="shared" si="1"/>
        <v>0.68291723724005082</v>
      </c>
      <c r="M39" s="16">
        <f t="shared" si="2"/>
        <v>2.5267937777881879E-5</v>
      </c>
    </row>
    <row r="40" spans="6:13" ht="18.75">
      <c r="F40" s="57" t="s">
        <v>23</v>
      </c>
      <c r="H40" s="76">
        <f>MOD((239.56+25.513099*H131),360)</f>
        <v>8.779161500000555</v>
      </c>
      <c r="I40" s="11"/>
      <c r="J40" s="59">
        <f t="shared" si="0"/>
        <v>8.779161500000555</v>
      </c>
      <c r="K40" s="13">
        <v>3.4999999999999997E-5</v>
      </c>
      <c r="L40" s="11">
        <f t="shared" si="1"/>
        <v>0.1526264070802664</v>
      </c>
      <c r="M40" s="16">
        <f t="shared" si="2"/>
        <v>5.3419242478093231E-6</v>
      </c>
    </row>
    <row r="41" spans="6:13" ht="19.5" thickBot="1">
      <c r="F41" s="58" t="s">
        <v>24</v>
      </c>
      <c r="H41" s="76">
        <f>MOD((331.55+3.592518*H131),360)</f>
        <v>288.73964300000011</v>
      </c>
      <c r="I41" s="11"/>
      <c r="J41" s="59">
        <f t="shared" si="0"/>
        <v>288.73964300000011</v>
      </c>
      <c r="K41" s="13">
        <v>2.3E-5</v>
      </c>
      <c r="L41" s="11">
        <f t="shared" si="1"/>
        <v>-0.94698821862741356</v>
      </c>
      <c r="M41" s="16">
        <f t="shared" si="2"/>
        <v>-2.1780729028430511E-5</v>
      </c>
    </row>
    <row r="42" spans="6:13" ht="21.75" thickBot="1">
      <c r="F42" s="1"/>
      <c r="H42" s="77"/>
      <c r="I42" s="17"/>
      <c r="J42" s="17"/>
      <c r="K42" s="17"/>
      <c r="L42" s="17"/>
      <c r="M42" s="18">
        <f>SUM(M28:M41)</f>
        <v>-5.5602869198260357E-4</v>
      </c>
    </row>
    <row r="43" spans="6:13" ht="15.75">
      <c r="F43" s="1"/>
    </row>
    <row r="44" spans="6:13" ht="15.75">
      <c r="F44" s="1"/>
    </row>
    <row r="45" spans="6:13" ht="15.75">
      <c r="F45" s="1"/>
    </row>
    <row r="46" spans="6:13" ht="15.75">
      <c r="F46" s="1"/>
    </row>
    <row r="47" spans="6:13" ht="15.75">
      <c r="F47" s="1"/>
    </row>
    <row r="48" spans="6:13" ht="15.75">
      <c r="F48" s="1"/>
    </row>
    <row r="49" spans="6:11" ht="15.75">
      <c r="F49" s="1" t="s">
        <v>25</v>
      </c>
    </row>
    <row r="50" spans="6:11" ht="16.5" thickBot="1">
      <c r="F50" s="1"/>
    </row>
    <row r="51" spans="6:11" ht="15.75">
      <c r="F51" s="36" t="s">
        <v>26</v>
      </c>
      <c r="G51" s="37" t="s">
        <v>27</v>
      </c>
      <c r="H51" s="78"/>
      <c r="I51" s="37"/>
      <c r="J51" s="36" t="s">
        <v>26</v>
      </c>
      <c r="K51" s="37" t="s">
        <v>27</v>
      </c>
    </row>
    <row r="52" spans="6:11" ht="15.75">
      <c r="F52" s="22">
        <v>-0.40720000000000001</v>
      </c>
      <c r="G52" s="35">
        <v>-0.40614</v>
      </c>
      <c r="H52" s="35" t="s">
        <v>28</v>
      </c>
      <c r="I52" s="35" t="s">
        <v>29</v>
      </c>
      <c r="J52" s="11">
        <f>F52*SIN(L130*PI()/180)</f>
        <v>0.19152546432652953</v>
      </c>
      <c r="K52" s="11">
        <f>G52*SIN(L130*PI()/180)</f>
        <v>0.19102689607459897</v>
      </c>
    </row>
    <row r="53" spans="6:11" ht="15.75">
      <c r="F53" s="22" t="s">
        <v>30</v>
      </c>
      <c r="G53" s="35" t="s">
        <v>31</v>
      </c>
      <c r="H53" s="35" t="s">
        <v>28</v>
      </c>
      <c r="I53" s="35" t="s">
        <v>32</v>
      </c>
      <c r="J53" s="11">
        <f>0.17241*L134*SIN(L129*PI()/180)</f>
        <v>0.17231285343196251</v>
      </c>
      <c r="K53" s="11">
        <f>0.17302*L134*SIN(L129*PI()/180)</f>
        <v>0.1729225097198431</v>
      </c>
    </row>
    <row r="54" spans="6:11" ht="15.75">
      <c r="F54" s="22">
        <v>1.6080000000000001E-2</v>
      </c>
      <c r="G54" s="35">
        <v>1.6140000000000002E-2</v>
      </c>
      <c r="H54" s="35" t="s">
        <v>28</v>
      </c>
      <c r="I54" s="35" t="s">
        <v>33</v>
      </c>
      <c r="J54" s="11">
        <f>F54*SIN(2*L130*PI()/180)</f>
        <v>1.3348741590193619E-2</v>
      </c>
      <c r="K54" s="11">
        <f>G54*SIN(2*L130*PI()/180)</f>
        <v>1.3398550327470463E-2</v>
      </c>
    </row>
    <row r="55" spans="6:11" ht="15.75">
      <c r="F55" s="22">
        <v>1.039E-2</v>
      </c>
      <c r="G55" s="35">
        <v>1.043E-2</v>
      </c>
      <c r="H55" s="35" t="s">
        <v>28</v>
      </c>
      <c r="I55" s="35" t="s">
        <v>34</v>
      </c>
      <c r="J55" s="11">
        <f>F55*SIN(2*L131*PI()/180)</f>
        <v>7.6113603915739785E-4</v>
      </c>
      <c r="K55" s="11">
        <f>G55*SIN(2*L131*PI()/180)</f>
        <v>7.6406630302325892E-4</v>
      </c>
    </row>
    <row r="56" spans="6:11" ht="15.75">
      <c r="F56" s="22" t="s">
        <v>35</v>
      </c>
      <c r="G56" s="35" t="s">
        <v>36</v>
      </c>
      <c r="H56" s="35" t="s">
        <v>28</v>
      </c>
      <c r="I56" s="35" t="s">
        <v>37</v>
      </c>
      <c r="J56" s="11">
        <f>0.00739*L134*SIN((L130*PI()/180)-(L129*PI()/180))</f>
        <v>6.4519567216780437E-3</v>
      </c>
      <c r="K56" s="11">
        <f>0.00734*L134*SIN((L130*PI()/180)-(L129*PI()/180))</f>
        <v>6.4083034285679083E-3</v>
      </c>
    </row>
    <row r="57" spans="6:11" ht="15.75">
      <c r="F57" s="22" t="s">
        <v>38</v>
      </c>
      <c r="G57" s="35" t="s">
        <v>39</v>
      </c>
      <c r="H57" s="35" t="s">
        <v>28</v>
      </c>
      <c r="I57" s="35" t="s">
        <v>40</v>
      </c>
      <c r="J57" s="11">
        <f>-0.00514*L134*SIN((L130*PI()/180)+(L129*PI()/180))</f>
        <v>4.5792379683160913E-3</v>
      </c>
      <c r="K57" s="11">
        <f>-0.00515*L134*SIN((L130*PI()/180)+(L129*PI()/180))</f>
        <v>4.5881469916007524E-3</v>
      </c>
    </row>
    <row r="58" spans="6:11" ht="18">
      <c r="F58" s="22" t="s">
        <v>41</v>
      </c>
      <c r="G58" s="35" t="s">
        <v>42</v>
      </c>
      <c r="H58" s="35" t="s">
        <v>28</v>
      </c>
      <c r="I58" s="35" t="s">
        <v>43</v>
      </c>
      <c r="J58" s="11">
        <f>0.00208*L134*L134*SIN(2*PI()*L129/180)</f>
        <v>7.8833102647993182E-5</v>
      </c>
      <c r="K58" s="11">
        <f>0.00209*L134*L134*SIN(2*PI()*L129/180)</f>
        <v>7.9212107949185465E-5</v>
      </c>
    </row>
    <row r="59" spans="6:11" ht="15.75">
      <c r="F59" s="22">
        <v>-1.1100000000000001E-3</v>
      </c>
      <c r="G59" s="35">
        <v>-1.1100000000000001E-3</v>
      </c>
      <c r="H59" s="35" t="s">
        <v>28</v>
      </c>
      <c r="I59" s="35" t="s">
        <v>44</v>
      </c>
      <c r="J59" s="11">
        <f>F59*SIN((L130*PI()/180)-(2*L131*PI()/180))</f>
        <v>4.4892403059285172E-4</v>
      </c>
      <c r="K59" s="11">
        <f>G59*SIN((L130*PI()/180)-(2*L131*PI()/180))</f>
        <v>4.4892403059285172E-4</v>
      </c>
    </row>
    <row r="60" spans="6:11" ht="15.75">
      <c r="F60" s="22">
        <v>-5.6999999999999998E-4</v>
      </c>
      <c r="G60" s="35">
        <v>-5.6999999999999998E-4</v>
      </c>
      <c r="H60" s="35" t="s">
        <v>28</v>
      </c>
      <c r="I60" s="35" t="s">
        <v>45</v>
      </c>
      <c r="J60" s="11">
        <f>F60*SIN((L130*PI()/180)+(2*L131*PI()/180))</f>
        <v>3.042267970021289E-4</v>
      </c>
      <c r="K60" s="11">
        <f>G60*SIN((L130*PI()/180)+(2*L131*PI()/180))</f>
        <v>3.042267970021289E-4</v>
      </c>
    </row>
    <row r="61" spans="6:11" ht="15.75">
      <c r="F61" s="22" t="s">
        <v>46</v>
      </c>
      <c r="G61" s="35" t="s">
        <v>46</v>
      </c>
      <c r="H61" s="35" t="s">
        <v>28</v>
      </c>
      <c r="I61" s="35" t="s">
        <v>47</v>
      </c>
      <c r="J61" s="11">
        <f>0.00056*L134*SIN((2*L130*PI()/180)+(L129*PI()/180))</f>
        <v>3.2086478177255373E-4</v>
      </c>
      <c r="K61" s="11">
        <f>0.00056*L134*SIN((2*L130*PI()/180)+(L129*PI()/180))</f>
        <v>3.2086478177255373E-4</v>
      </c>
    </row>
    <row r="62" spans="6:11" ht="15.75">
      <c r="F62" s="22">
        <v>-4.2000000000000002E-4</v>
      </c>
      <c r="G62" s="35">
        <v>-4.2000000000000002E-4</v>
      </c>
      <c r="H62" s="35" t="s">
        <v>28</v>
      </c>
      <c r="I62" s="35" t="s">
        <v>48</v>
      </c>
      <c r="J62" s="11">
        <f>F62*SIN(3*L130*PI()/180)</f>
        <v>4.1782802620533724E-4</v>
      </c>
      <c r="K62" s="11">
        <f>G62*SIN(3*L130*PI()/180)</f>
        <v>4.1782802620533724E-4</v>
      </c>
    </row>
    <row r="63" spans="6:11" ht="15.75">
      <c r="F63" s="22" t="s">
        <v>49</v>
      </c>
      <c r="G63" s="35" t="s">
        <v>49</v>
      </c>
      <c r="H63" s="35" t="s">
        <v>28</v>
      </c>
      <c r="I63" s="35" t="s">
        <v>50</v>
      </c>
      <c r="J63" s="11">
        <f>0.00042*L134*SIN((L129*PI()/180)+(2*L131*PI()/180))</f>
        <v>4.1921888060683968E-4</v>
      </c>
      <c r="K63" s="11">
        <f>0.00042*L134*SIN((L129*PI()/180)+(2*L131*PI()/180))</f>
        <v>4.1921888060683968E-4</v>
      </c>
    </row>
    <row r="64" spans="6:11" ht="15.75">
      <c r="F64" s="22" t="s">
        <v>51</v>
      </c>
      <c r="G64" s="35" t="s">
        <v>51</v>
      </c>
      <c r="H64" s="35" t="s">
        <v>28</v>
      </c>
      <c r="I64" s="35" t="s">
        <v>52</v>
      </c>
      <c r="J64" s="11">
        <f>0.00038*L134*SIN((L129*PI()/180)-(2*L131*PI()/180))</f>
        <v>3.7823762184809707E-4</v>
      </c>
      <c r="K64" s="11">
        <f>0.00038*L134*SIN((L129*PI()/180)-(2*L131*PI()/180))</f>
        <v>3.7823762184809707E-4</v>
      </c>
    </row>
    <row r="65" spans="6:11" ht="15.75">
      <c r="F65" s="22" t="s">
        <v>53</v>
      </c>
      <c r="G65" s="35" t="s">
        <v>53</v>
      </c>
      <c r="H65" s="35" t="s">
        <v>28</v>
      </c>
      <c r="I65" s="35" t="s">
        <v>54</v>
      </c>
      <c r="J65" s="11">
        <f>-0.00024*L134*SIN((2*PI()*L130/180)-(L129*PI()/180))</f>
        <v>1.2995811054688261E-4</v>
      </c>
      <c r="K65" s="11">
        <f>-0.00024*L134*SIN((2*PI()*L130/180)-(L129*PI()/180))</f>
        <v>1.2995811054688261E-4</v>
      </c>
    </row>
    <row r="66" spans="6:11" ht="15.75">
      <c r="F66" s="22">
        <v>-1.7000000000000001E-4</v>
      </c>
      <c r="G66" s="35">
        <v>-1.7000000000000001E-4</v>
      </c>
      <c r="H66" s="35" t="s">
        <v>28</v>
      </c>
      <c r="I66" s="35" t="s">
        <v>55</v>
      </c>
      <c r="J66" s="11">
        <f>F66*SIN(L132*PI()/180)</f>
        <v>2.9539708168541677E-5</v>
      </c>
      <c r="K66" s="11">
        <f>G66*SIN(L132*PI()/180)</f>
        <v>2.9539708168541677E-5</v>
      </c>
    </row>
    <row r="67" spans="6:11" ht="15.75">
      <c r="F67" s="22">
        <v>-6.9999999999999994E-5</v>
      </c>
      <c r="G67" s="35">
        <v>-6.9999999999999994E-5</v>
      </c>
      <c r="H67" s="35" t="s">
        <v>28</v>
      </c>
      <c r="I67" s="35" t="s">
        <v>56</v>
      </c>
      <c r="J67" s="11">
        <f>F67*SIN((L130*PI()/180)+(2*PI()*L129/180))</f>
        <v>-3.055757353112135E-5</v>
      </c>
      <c r="K67" s="11">
        <f>G67*SIN((L130*PI()/180)+(2*PI()*L129/180))</f>
        <v>-3.055757353112135E-5</v>
      </c>
    </row>
    <row r="68" spans="6:11" ht="15.75">
      <c r="F68" s="22">
        <v>4.0000000000000003E-5</v>
      </c>
      <c r="G68" s="35">
        <v>4.0000000000000003E-5</v>
      </c>
      <c r="H68" s="35" t="s">
        <v>28</v>
      </c>
      <c r="I68" s="35" t="s">
        <v>57</v>
      </c>
      <c r="J68" s="11">
        <f>F68*SIN((2*L130*PI()/180)-(2*PI()*L131/180))</f>
        <v>3.1482846228827071E-5</v>
      </c>
      <c r="K68" s="11">
        <f>G68*SIN((2*L130*PI()/180)-(2*PI()*L131/180))</f>
        <v>3.1482846228827071E-5</v>
      </c>
    </row>
    <row r="69" spans="6:11" ht="15.75">
      <c r="F69" s="22">
        <v>4.0000000000000003E-5</v>
      </c>
      <c r="G69" s="35">
        <v>4.0000000000000003E-5</v>
      </c>
      <c r="H69" s="35" t="s">
        <v>28</v>
      </c>
      <c r="I69" s="35" t="s">
        <v>58</v>
      </c>
      <c r="J69" s="11">
        <f>F69*SIN(3*L129*PI()/180)</f>
        <v>-3.993524686616224E-5</v>
      </c>
      <c r="K69" s="11">
        <f>G69*SIN(3*L129*PI()/180)</f>
        <v>-3.993524686616224E-5</v>
      </c>
    </row>
    <row r="70" spans="6:11" ht="15.75">
      <c r="F70" s="22">
        <v>3.0000000000000001E-5</v>
      </c>
      <c r="G70" s="35">
        <v>3.0000000000000001E-5</v>
      </c>
      <c r="H70" s="35" t="s">
        <v>28</v>
      </c>
      <c r="I70" s="35" t="s">
        <v>59</v>
      </c>
      <c r="J70" s="11">
        <f>F70*SIN((L130*PI()/180)+(L129*PI()/180)-(2*L131*PI()/180))</f>
        <v>-2.7662194997556924E-5</v>
      </c>
      <c r="K70" s="11">
        <f>G70*SIN((L130*PI()/180)+(L129*PI()/180)-(2*L131*PI()/180))</f>
        <v>-2.7662194997556924E-5</v>
      </c>
    </row>
    <row r="71" spans="6:11" ht="15.75">
      <c r="F71" s="22">
        <v>3.0000000000000001E-5</v>
      </c>
      <c r="G71" s="35">
        <v>3.0000000000000001E-5</v>
      </c>
      <c r="H71" s="35" t="s">
        <v>28</v>
      </c>
      <c r="I71" s="35" t="s">
        <v>60</v>
      </c>
      <c r="J71" s="11">
        <f>F71*SIN((2*L130*PI()/180)+(2*PI()*L131/180))</f>
        <v>2.6062772797963455E-5</v>
      </c>
      <c r="K71" s="11">
        <f>G71*SIN((2*L130*PI()/180)+(2*PI()*L131/180))</f>
        <v>2.6062772797963455E-5</v>
      </c>
    </row>
    <row r="72" spans="6:11" ht="15.75">
      <c r="F72" s="22">
        <v>-3.0000000000000001E-5</v>
      </c>
      <c r="G72" s="35">
        <v>-3.0000000000000001E-5</v>
      </c>
      <c r="H72" s="35" t="s">
        <v>28</v>
      </c>
      <c r="I72" s="35" t="s">
        <v>61</v>
      </c>
      <c r="J72" s="11">
        <f>F72*SIN((L130*PI()/180)+(L129*PI()/180)+(2*L131*PI()/180))</f>
        <v>2.5668778915883553E-5</v>
      </c>
      <c r="K72" s="11">
        <f>G72*SIN((L130*PI()/180)+(L129*PI()/180)+(2*L131*PI()/180))</f>
        <v>2.5668778915883553E-5</v>
      </c>
    </row>
    <row r="73" spans="6:11" ht="15.75">
      <c r="F73" s="22">
        <v>3.0000000000000001E-5</v>
      </c>
      <c r="G73" s="35">
        <v>3.0000000000000001E-5</v>
      </c>
      <c r="H73" s="35" t="s">
        <v>28</v>
      </c>
      <c r="I73" s="35" t="s">
        <v>62</v>
      </c>
      <c r="J73" s="11">
        <f>F73*SIN((L130*PI()/180)-(L129*PI()/180)+(2*L131*PI()/180))</f>
        <v>2.5061342867448537E-5</v>
      </c>
      <c r="K73" s="11">
        <f>G73*SIN((L130*PI()/180)-(L129*PI()/180)+(2*L131*PI()/180))</f>
        <v>2.5061342867448537E-5</v>
      </c>
    </row>
    <row r="74" spans="6:11" ht="15.75">
      <c r="F74" s="22">
        <v>-2.0000000000000002E-5</v>
      </c>
      <c r="G74" s="35">
        <v>-2.0000000000000002E-5</v>
      </c>
      <c r="H74" s="35" t="s">
        <v>28</v>
      </c>
      <c r="I74" s="35" t="s">
        <v>63</v>
      </c>
      <c r="J74" s="11">
        <f>F74*SIN((L130*PI()/180)-(L129*PI()/180)-(2*L131*PI()/180))</f>
        <v>-1.8134605955040535E-5</v>
      </c>
      <c r="K74" s="11">
        <f>G74*SIN((L130*PI()/180)-(L129*PI()/180)-(2*L131*PI()/180))</f>
        <v>-1.8134605955040535E-5</v>
      </c>
    </row>
    <row r="75" spans="6:11" ht="15.75">
      <c r="F75" s="22">
        <v>-2.0000000000000002E-5</v>
      </c>
      <c r="G75" s="35">
        <v>-2.0000000000000002E-5</v>
      </c>
      <c r="H75" s="35" t="s">
        <v>28</v>
      </c>
      <c r="I75" s="35" t="s">
        <v>64</v>
      </c>
      <c r="J75" s="11">
        <f>F75*SIN((3*L130*PI()/180)+(L129*PI()/180))</f>
        <v>2.408390385857356E-6</v>
      </c>
      <c r="K75" s="11">
        <f>G75*SIN((3*L130*PI()/180)+(L129*PI()/180))</f>
        <v>2.408390385857356E-6</v>
      </c>
    </row>
    <row r="76" spans="6:11" ht="15.75">
      <c r="F76" s="22">
        <v>2.0000000000000002E-5</v>
      </c>
      <c r="G76" s="35">
        <v>2.0000000000000002E-5</v>
      </c>
      <c r="H76" s="35" t="s">
        <v>28</v>
      </c>
      <c r="I76" s="35" t="s">
        <v>65</v>
      </c>
      <c r="J76" s="11">
        <f>F76*SIN(4*L129*PI()/180)</f>
        <v>-1.516093275245799E-6</v>
      </c>
      <c r="K76" s="11">
        <f>G76*SIN(4*L129*PI()/180)</f>
        <v>-1.516093275245799E-6</v>
      </c>
    </row>
    <row r="77" spans="6:11" ht="19.5" thickBot="1">
      <c r="F77" s="38"/>
      <c r="G77" s="17"/>
      <c r="H77" s="79"/>
      <c r="I77" s="17"/>
      <c r="J77" s="42">
        <f>SUM(J52:J76)</f>
        <v>0.39149989955379938</v>
      </c>
      <c r="K77" s="42">
        <f>SUM(K52:K76)</f>
        <v>0.39162936132636783</v>
      </c>
    </row>
    <row r="79" spans="6:11" ht="21.75" thickBot="1">
      <c r="F79" s="26" t="s">
        <v>140</v>
      </c>
      <c r="G79" s="28"/>
    </row>
    <row r="80" spans="6:11" ht="15.75">
      <c r="F80" s="20">
        <v>-0.62800999999999996</v>
      </c>
      <c r="G80" s="21" t="s">
        <v>28</v>
      </c>
      <c r="H80" s="78" t="s">
        <v>66</v>
      </c>
      <c r="I80" s="14">
        <f>F80*SIN(PI()*L130/180)</f>
        <v>0.29538287537255353</v>
      </c>
    </row>
    <row r="81" spans="6:9" ht="15.75">
      <c r="F81" s="22" t="s">
        <v>67</v>
      </c>
      <c r="G81" s="13" t="s">
        <v>28</v>
      </c>
      <c r="H81" s="35" t="s">
        <v>32</v>
      </c>
      <c r="I81" s="16">
        <f>0.171172*L134*SIN(PI()*L129/180)</f>
        <v>0.17107555099852609</v>
      </c>
    </row>
    <row r="82" spans="6:9" ht="15.75">
      <c r="F82" s="22" t="s">
        <v>68</v>
      </c>
      <c r="G82" s="13" t="s">
        <v>28</v>
      </c>
      <c r="H82" s="35" t="s">
        <v>69</v>
      </c>
      <c r="I82" s="16">
        <f>-0.01183*L134*SIN((PI()*L130/180)+PI()*L129/180)</f>
        <v>1.0539374545754739E-2</v>
      </c>
    </row>
    <row r="83" spans="6:9" ht="15.75">
      <c r="F83" s="22">
        <v>8.6199999999999992E-3</v>
      </c>
      <c r="G83" s="13" t="s">
        <v>28</v>
      </c>
      <c r="H83" s="35" t="s">
        <v>70</v>
      </c>
      <c r="I83" s="16">
        <f>0.00862*SIN(2*PI()*L130/180)</f>
        <v>7.1558552554396131E-3</v>
      </c>
    </row>
    <row r="84" spans="6:9" ht="15.75">
      <c r="F84" s="22">
        <v>8.0400000000000003E-3</v>
      </c>
      <c r="G84" s="13" t="s">
        <v>28</v>
      </c>
      <c r="H84" s="35" t="s">
        <v>34</v>
      </c>
      <c r="I84" s="16">
        <f>0.00804*SIN(2*PI()*L131/180)</f>
        <v>5.8898303703806343E-4</v>
      </c>
    </row>
    <row r="85" spans="6:9" ht="15.75">
      <c r="F85" s="22" t="s">
        <v>71</v>
      </c>
      <c r="G85" s="13" t="s">
        <v>28</v>
      </c>
      <c r="H85" s="35" t="s">
        <v>72</v>
      </c>
      <c r="I85" s="16">
        <f>0.00454*L134*SIN((PI()*L130/180)-PI()*L129/180)</f>
        <v>3.9637190144003135E-3</v>
      </c>
    </row>
    <row r="86" spans="6:9" ht="18">
      <c r="F86" s="22" t="s">
        <v>73</v>
      </c>
      <c r="G86" s="13" t="s">
        <v>28</v>
      </c>
      <c r="H86" s="35" t="s">
        <v>43</v>
      </c>
      <c r="I86" s="16">
        <f>0.00204*L134*L134*SIN(2*PI()*L129/180)</f>
        <v>7.7317081443224105E-5</v>
      </c>
    </row>
    <row r="87" spans="6:9" ht="15.75">
      <c r="F87" s="22">
        <v>-1.8E-3</v>
      </c>
      <c r="G87" s="13" t="s">
        <v>28</v>
      </c>
      <c r="H87" s="35" t="s">
        <v>74</v>
      </c>
      <c r="I87" s="16">
        <f>-0.0018*SIN((PI()*L130/180)-2*PI()*L131/180)</f>
        <v>7.2798491447489456E-4</v>
      </c>
    </row>
    <row r="88" spans="6:9" ht="15.75">
      <c r="F88" s="22">
        <v>-6.9999999999999999E-4</v>
      </c>
      <c r="G88" s="13" t="s">
        <v>28</v>
      </c>
      <c r="H88" s="35" t="s">
        <v>75</v>
      </c>
      <c r="I88" s="16">
        <f>-0.0007*SIN((PI()*L130/180)+2*PI()*L131/180)</f>
        <v>3.7361185596752671E-4</v>
      </c>
    </row>
    <row r="89" spans="6:9" ht="15.75">
      <c r="F89" s="22">
        <v>-4.0000000000000002E-4</v>
      </c>
      <c r="G89" s="13" t="s">
        <v>28</v>
      </c>
      <c r="H89" s="35" t="s">
        <v>58</v>
      </c>
      <c r="I89" s="16">
        <f>-0.0004*SIN(3*PI()*L129/180)</f>
        <v>3.9935246866162373E-4</v>
      </c>
    </row>
    <row r="90" spans="6:9" ht="15.75">
      <c r="F90" s="22" t="s">
        <v>76</v>
      </c>
      <c r="G90" s="13" t="s">
        <v>28</v>
      </c>
      <c r="H90" s="35" t="s">
        <v>77</v>
      </c>
      <c r="I90" s="16">
        <f>-0.00034*L134*SIN((2*L130*PI()/180)-PI()*L129/180)</f>
        <v>1.8410732327475037E-4</v>
      </c>
    </row>
    <row r="91" spans="6:9" ht="15.75">
      <c r="F91" s="22" t="s">
        <v>78</v>
      </c>
      <c r="G91" s="13" t="s">
        <v>28</v>
      </c>
      <c r="H91" s="35" t="s">
        <v>50</v>
      </c>
      <c r="I91" s="16">
        <f>0.00032*L134*SIN(PI()*L129/180+2*PI()*L131/180)</f>
        <v>3.1940486141473497E-4</v>
      </c>
    </row>
    <row r="92" spans="6:9" ht="15.75">
      <c r="F92" s="22" t="s">
        <v>78</v>
      </c>
      <c r="G92" s="13" t="s">
        <v>28</v>
      </c>
      <c r="H92" s="35" t="s">
        <v>79</v>
      </c>
      <c r="I92" s="16">
        <f>0.00032*L134*SIN(PI()*L129/180-2*PI()*L131/180)</f>
        <v>3.1851589208260804E-4</v>
      </c>
    </row>
    <row r="93" spans="6:9" ht="18">
      <c r="F93" s="22" t="s">
        <v>80</v>
      </c>
      <c r="G93" s="13" t="s">
        <v>28</v>
      </c>
      <c r="H93" s="35" t="s">
        <v>81</v>
      </c>
      <c r="I93" s="16">
        <f>-0.00028*L134*L134*SIN(PI()*L130/180+PI()*2*L129/180)</f>
        <v>-1.2213653249909575E-4</v>
      </c>
    </row>
    <row r="94" spans="6:9" ht="15.75">
      <c r="F94" s="22" t="s">
        <v>82</v>
      </c>
      <c r="G94" s="13" t="s">
        <v>28</v>
      </c>
      <c r="H94" s="35" t="s">
        <v>83</v>
      </c>
      <c r="I94" s="16">
        <f>0.00027*L134*SIN(PI()*2*L130/180+PI()*L129/180)</f>
        <v>1.547026626403384E-4</v>
      </c>
    </row>
    <row r="95" spans="6:9" ht="15.75">
      <c r="F95" s="22">
        <v>-1.7000000000000001E-4</v>
      </c>
      <c r="G95" s="13" t="s">
        <v>28</v>
      </c>
      <c r="H95" s="35" t="s">
        <v>55</v>
      </c>
      <c r="I95" s="16">
        <f>-0.00017*SIN(PI()*L132/180)</f>
        <v>2.9539708168541677E-5</v>
      </c>
    </row>
    <row r="96" spans="6:9" ht="15.75">
      <c r="F96" s="22">
        <v>-5.0000000000000002E-5</v>
      </c>
      <c r="G96" s="13" t="s">
        <v>28</v>
      </c>
      <c r="H96" s="35" t="s">
        <v>84</v>
      </c>
      <c r="I96" s="16">
        <f>-0.00005*SIN((PI()*L130/180)-(PI()*L129/180)-(2*L131*PI()/180))</f>
        <v>-4.533651488760134E-5</v>
      </c>
    </row>
    <row r="97" spans="6:13" ht="15.75">
      <c r="F97" s="22">
        <v>4.0000000000000003E-5</v>
      </c>
      <c r="G97" s="13" t="s">
        <v>28</v>
      </c>
      <c r="H97" s="35" t="s">
        <v>85</v>
      </c>
      <c r="I97" s="16">
        <f>0.00004*SIN((2*L130*PI()/180)+(2*L131*PI()/180))</f>
        <v>3.4750363730617942E-5</v>
      </c>
    </row>
    <row r="98" spans="6:13" ht="15.75">
      <c r="F98" s="22">
        <v>-4.0000000000000003E-5</v>
      </c>
      <c r="G98" s="13" t="s">
        <v>28</v>
      </c>
      <c r="H98" s="35" t="s">
        <v>86</v>
      </c>
      <c r="I98" s="16">
        <f>-0.00004*SIN((PI()*L130/180)+(PI()*L129/180)+(2*L131*PI()/180))</f>
        <v>3.4225038554511409E-5</v>
      </c>
    </row>
    <row r="99" spans="6:13" ht="15.75">
      <c r="F99" s="22">
        <v>4.0000000000000003E-5</v>
      </c>
      <c r="G99" s="13" t="s">
        <v>28</v>
      </c>
      <c r="H99" s="35" t="s">
        <v>87</v>
      </c>
      <c r="I99" s="16">
        <f>0.00004*SIN((L130*PI()/180)-(2*L129*PI()/180))</f>
        <v>2.0139245533279555E-5</v>
      </c>
    </row>
    <row r="100" spans="6:13" ht="15.75">
      <c r="F100" s="22">
        <v>3.0000000000000001E-5</v>
      </c>
      <c r="G100" s="13" t="s">
        <v>28</v>
      </c>
      <c r="H100" s="35" t="s">
        <v>88</v>
      </c>
      <c r="I100" s="16">
        <f>0.00003*SIN((L130*PI()/180)+(L129*PI()/180)-(2*PI()*L131/180))</f>
        <v>-2.7662194997556924E-5</v>
      </c>
    </row>
    <row r="101" spans="6:13" ht="15.75">
      <c r="F101" s="22">
        <v>3.0000000000000001E-5</v>
      </c>
      <c r="G101" s="13" t="s">
        <v>28</v>
      </c>
      <c r="H101" s="35" t="s">
        <v>58</v>
      </c>
      <c r="I101" s="16">
        <f>0.00003*SIN(3*L129*PI()/180)</f>
        <v>-2.995143514962168E-5</v>
      </c>
    </row>
    <row r="102" spans="6:13" ht="15.75">
      <c r="F102" s="22">
        <v>2.0000000000000002E-5</v>
      </c>
      <c r="G102" s="13" t="s">
        <v>28</v>
      </c>
      <c r="H102" s="35" t="s">
        <v>89</v>
      </c>
      <c r="I102" s="16">
        <f>0.00002*SIN((2*L130*PI()/180)-(2*L131*PI()/180))</f>
        <v>1.5741423114413535E-5</v>
      </c>
      <c r="L102" s="7"/>
      <c r="M102" s="7" t="s">
        <v>126</v>
      </c>
    </row>
    <row r="103" spans="6:13" ht="16.5" thickBot="1">
      <c r="F103" s="23">
        <v>2.0000000000000002E-5</v>
      </c>
      <c r="G103" s="24" t="s">
        <v>28</v>
      </c>
      <c r="H103" s="80" t="s">
        <v>90</v>
      </c>
      <c r="I103" s="25">
        <f>0.00002*SIN((L130*PI()/180)-(L129*PI()/180)+(2*L131*PI()/180))</f>
        <v>1.6707561911632358E-5</v>
      </c>
      <c r="K103" s="1"/>
    </row>
    <row r="104" spans="6:13" ht="16.5" thickBot="1">
      <c r="F104" s="9">
        <v>-2.0000000000000002E-5</v>
      </c>
      <c r="G104" s="4" t="s">
        <v>28</v>
      </c>
      <c r="H104" s="81" t="s">
        <v>91</v>
      </c>
      <c r="I104">
        <f>-0.00002*SIN((3*L130*PI()/180)+(L129*PI()/180))</f>
        <v>2.408390385857356E-6</v>
      </c>
      <c r="M104" s="1" t="s">
        <v>127</v>
      </c>
    </row>
    <row r="105" spans="6:13" ht="26.25">
      <c r="F105" s="1"/>
      <c r="I105" s="10">
        <f>SUM(I80:I104)</f>
        <v>0.49118978033753696</v>
      </c>
      <c r="K105" s="1"/>
    </row>
    <row r="106" spans="6:13" ht="15.75">
      <c r="F106" s="1"/>
      <c r="I106" t="s">
        <v>132</v>
      </c>
      <c r="L106" s="1"/>
    </row>
    <row r="107" spans="6:13" ht="15.75">
      <c r="F107" s="30" t="s">
        <v>92</v>
      </c>
    </row>
    <row r="108" spans="6:13" ht="15.75">
      <c r="F108" s="1"/>
    </row>
    <row r="109" spans="6:13" ht="15.75">
      <c r="F109" s="19" t="s">
        <v>142</v>
      </c>
      <c r="G109" s="29"/>
      <c r="H109" s="82"/>
      <c r="I109" s="29"/>
      <c r="J109" s="29"/>
    </row>
    <row r="110" spans="6:13" ht="15.75">
      <c r="F110" s="1"/>
      <c r="J110" t="s">
        <v>129</v>
      </c>
    </row>
    <row r="111" spans="6:13" ht="18">
      <c r="F111" s="1" t="s">
        <v>2</v>
      </c>
    </row>
    <row r="112" spans="6:13" ht="15.75">
      <c r="F112" s="1"/>
    </row>
    <row r="113" spans="6:11" ht="15.75">
      <c r="F113" s="1" t="s">
        <v>93</v>
      </c>
    </row>
    <row r="114" spans="6:11" ht="15.75">
      <c r="F114" s="1"/>
    </row>
    <row r="115" spans="6:11" ht="15.75">
      <c r="F115" s="19" t="s">
        <v>94</v>
      </c>
    </row>
    <row r="116" spans="6:11" ht="15.75">
      <c r="F116" s="19" t="s">
        <v>95</v>
      </c>
    </row>
    <row r="117" spans="6:11" ht="15.75">
      <c r="F117" s="1"/>
    </row>
    <row r="118" spans="6:11" ht="15.75">
      <c r="F118" s="1" t="s">
        <v>96</v>
      </c>
    </row>
    <row r="119" spans="6:11" ht="16.5" thickBot="1">
      <c r="F119" s="1"/>
    </row>
    <row r="120" spans="6:11" ht="19.5" thickBot="1">
      <c r="F120" s="5" t="s">
        <v>97</v>
      </c>
      <c r="G120" s="6" t="s">
        <v>28</v>
      </c>
      <c r="H120" s="83" t="s">
        <v>98</v>
      </c>
      <c r="I120" s="6" t="s">
        <v>99</v>
      </c>
      <c r="J120" s="6" t="s">
        <v>28</v>
      </c>
      <c r="K120" s="6" t="s">
        <v>100</v>
      </c>
    </row>
    <row r="121" spans="6:11" ht="19.5" thickBot="1">
      <c r="F121" s="3" t="s">
        <v>101</v>
      </c>
      <c r="G121" s="4" t="s">
        <v>28</v>
      </c>
      <c r="H121" s="81" t="s">
        <v>102</v>
      </c>
      <c r="I121" s="4" t="s">
        <v>103</v>
      </c>
      <c r="J121" s="4" t="s">
        <v>28</v>
      </c>
      <c r="K121" s="4" t="s">
        <v>104</v>
      </c>
    </row>
    <row r="122" spans="6:11" ht="19.5" thickBot="1">
      <c r="F122" s="3" t="s">
        <v>105</v>
      </c>
      <c r="G122" s="4" t="s">
        <v>28</v>
      </c>
      <c r="H122" s="81" t="s">
        <v>106</v>
      </c>
      <c r="I122" s="4" t="s">
        <v>107</v>
      </c>
      <c r="J122" s="4" t="s">
        <v>28</v>
      </c>
      <c r="K122" s="4" t="s">
        <v>108</v>
      </c>
    </row>
    <row r="123" spans="6:11" ht="19.5" thickBot="1">
      <c r="F123" s="3" t="s">
        <v>109</v>
      </c>
      <c r="G123" s="4" t="s">
        <v>28</v>
      </c>
      <c r="H123" s="81" t="s">
        <v>110</v>
      </c>
      <c r="I123" s="4" t="s">
        <v>111</v>
      </c>
      <c r="J123" s="4" t="s">
        <v>28</v>
      </c>
      <c r="K123" s="4" t="s">
        <v>112</v>
      </c>
    </row>
    <row r="124" spans="6:11" ht="19.5" thickBot="1">
      <c r="F124" s="3" t="s">
        <v>113</v>
      </c>
      <c r="G124" s="4" t="s">
        <v>28</v>
      </c>
      <c r="H124" s="81" t="s">
        <v>114</v>
      </c>
      <c r="I124" s="4" t="s">
        <v>115</v>
      </c>
      <c r="J124" s="4" t="s">
        <v>28</v>
      </c>
      <c r="K124" s="4" t="s">
        <v>116</v>
      </c>
    </row>
    <row r="125" spans="6:11" ht="19.5" thickBot="1">
      <c r="F125" s="3" t="s">
        <v>117</v>
      </c>
      <c r="G125" s="4" t="s">
        <v>28</v>
      </c>
      <c r="H125" s="81" t="s">
        <v>118</v>
      </c>
      <c r="I125" s="4" t="s">
        <v>119</v>
      </c>
      <c r="J125" s="4" t="s">
        <v>28</v>
      </c>
      <c r="K125" s="4" t="s">
        <v>120</v>
      </c>
    </row>
    <row r="126" spans="6:11" ht="19.5" thickBot="1">
      <c r="F126" s="3" t="s">
        <v>121</v>
      </c>
      <c r="G126" s="4" t="s">
        <v>28</v>
      </c>
      <c r="H126" s="81" t="s">
        <v>122</v>
      </c>
      <c r="I126" s="4" t="s">
        <v>123</v>
      </c>
      <c r="J126" s="4" t="s">
        <v>28</v>
      </c>
      <c r="K126" s="4" t="s">
        <v>124</v>
      </c>
    </row>
    <row r="127" spans="6:11" ht="15.75">
      <c r="F127" s="1"/>
    </row>
    <row r="128" spans="6:11" ht="15.75">
      <c r="F128" s="1"/>
      <c r="I128" t="s">
        <v>150</v>
      </c>
      <c r="K128" s="32"/>
    </row>
    <row r="129" spans="4:14" ht="18.75">
      <c r="F129" s="1" t="s">
        <v>147</v>
      </c>
      <c r="I129" s="84">
        <f>J132+J129</f>
        <v>2015.2082191780821</v>
      </c>
      <c r="J129">
        <f>L140/365</f>
        <v>0.20821917808219179</v>
      </c>
      <c r="K129" s="33" t="s">
        <v>136</v>
      </c>
      <c r="L129">
        <f>2.5534+29.10535669*H131-0.0000218*G132^2-0.00000011*G132^3</f>
        <v>5488.9131355582676</v>
      </c>
    </row>
    <row r="130" spans="4:14" ht="18.75">
      <c r="F130" s="1"/>
      <c r="K130" s="33" t="s">
        <v>137</v>
      </c>
      <c r="L130">
        <f>201.5643+385.81693528*H131+0.0107438*G132^2+0.00001239*G132^3-0.000000058*G132^4</f>
        <v>72928.056849867498</v>
      </c>
    </row>
    <row r="131" spans="4:14" ht="21">
      <c r="F131" s="39" t="s">
        <v>125</v>
      </c>
      <c r="G131" s="40">
        <f>(I129-2000)*12.3685</f>
        <v>188.10285890410867</v>
      </c>
      <c r="H131" s="68">
        <f>INT(G131)+0.5</f>
        <v>188.5</v>
      </c>
      <c r="K131" s="33" t="s">
        <v>138</v>
      </c>
      <c r="L131">
        <f>160.7108+390.67050274*H131-0.0016341*G132^2-0.00000227*G132^3+0.000000011*G132^4</f>
        <v>73802.100528527124</v>
      </c>
    </row>
    <row r="132" spans="4:14" ht="21">
      <c r="F132" s="39" t="s">
        <v>126</v>
      </c>
      <c r="G132" s="128">
        <f>H131/1236.85</f>
        <v>0.15240328253223917</v>
      </c>
      <c r="I132" t="s">
        <v>149</v>
      </c>
      <c r="J132" s="8">
        <f>'Moon new'!I3</f>
        <v>2015</v>
      </c>
      <c r="K132" s="33" t="s">
        <v>139</v>
      </c>
      <c r="L132">
        <f>124.7746-1.5637558*H131+0.0020691*G132^2+0.00000215*G132^3</f>
        <v>-169.99332023389914</v>
      </c>
    </row>
    <row r="133" spans="4:14" ht="23.25">
      <c r="F133" s="39" t="s">
        <v>128</v>
      </c>
      <c r="G133" s="129">
        <f>2451550.09765+29.530588853*H131+0.0001337*G132^2-0.00000015*G132^3+0.00000000073*G132^4</f>
        <v>2457116.6136518954</v>
      </c>
      <c r="I133" t="s">
        <v>148</v>
      </c>
      <c r="J133">
        <f>'Moon new'!J133</f>
        <v>3</v>
      </c>
      <c r="K133" s="33" t="s">
        <v>129</v>
      </c>
      <c r="L133">
        <f>0.00306-0.00038*L134*COS(PI()*L129/180)+0.00026*COS(PI()*L130/180)</f>
        <v>2.8233496909177906E-3</v>
      </c>
      <c r="M133">
        <f>0.00002*COS((PI()*L130/180)-PI()*L129/180)+0.00002*COS((PI()*L130/180)+PI()*L129/180)+0.00002*COS(PI()*2*L131/180)</f>
        <v>1.9276698318250403E-5</v>
      </c>
      <c r="N133" s="27">
        <f>L133+M133</f>
        <v>2.842626389236041E-3</v>
      </c>
    </row>
    <row r="134" spans="4:14" ht="18.75">
      <c r="K134" s="33" t="s">
        <v>143</v>
      </c>
      <c r="L134" s="31">
        <f>1-0.002516*G132-0.0000074*G132^2</f>
        <v>0.99961638146312093</v>
      </c>
    </row>
    <row r="135" spans="4:14" ht="18.75">
      <c r="K135" s="34"/>
    </row>
    <row r="136" spans="4:14" ht="21">
      <c r="D136" t="s">
        <v>290</v>
      </c>
      <c r="F136" s="39" t="s">
        <v>144</v>
      </c>
      <c r="G136" s="41">
        <f>G133+K77+M42</f>
        <v>2457117.0047252281</v>
      </c>
      <c r="I136" s="1">
        <v>2457810.7506944444</v>
      </c>
    </row>
    <row r="137" spans="4:14" ht="21">
      <c r="F137" s="112"/>
      <c r="G137" s="111"/>
    </row>
    <row r="138" spans="4:14" ht="21">
      <c r="F138" s="112"/>
      <c r="G138" s="99"/>
    </row>
    <row r="139" spans="4:14" ht="21">
      <c r="F139" s="112"/>
    </row>
    <row r="140" spans="4:14">
      <c r="H140">
        <f>J133</f>
        <v>3</v>
      </c>
      <c r="I140">
        <v>31</v>
      </c>
      <c r="J140">
        <v>31</v>
      </c>
      <c r="K140">
        <f>(J140-15)+1</f>
        <v>17</v>
      </c>
      <c r="L140">
        <f>IF(H140=1,K140,IF(H140=2,K141,IF(H140=3,K142,IF(H140=4,K143,IF(H140=5,K144,IF(H140=6,K145,IF(H140=7,K146,IF(H140=8,K147,IF(H140=9,K148,IF(H140=10,K149,IF(H140=11,K150,IF(H140=12,K151,0))))))))))))</f>
        <v>76</v>
      </c>
    </row>
    <row r="141" spans="4:14">
      <c r="H141"/>
      <c r="I141">
        <v>28</v>
      </c>
      <c r="J141">
        <f>J140+(I141)</f>
        <v>59</v>
      </c>
      <c r="K141">
        <f t="shared" ref="K141:K151" si="3">(J141-15)+1</f>
        <v>45</v>
      </c>
    </row>
    <row r="142" spans="4:14">
      <c r="H142"/>
      <c r="I142">
        <v>31</v>
      </c>
      <c r="J142">
        <f t="shared" ref="J142:J151" si="4">J141+(I142)</f>
        <v>90</v>
      </c>
      <c r="K142">
        <f t="shared" si="3"/>
        <v>76</v>
      </c>
    </row>
    <row r="143" spans="4:14">
      <c r="H143"/>
      <c r="I143">
        <v>30</v>
      </c>
      <c r="J143">
        <f t="shared" si="4"/>
        <v>120</v>
      </c>
      <c r="K143">
        <f t="shared" si="3"/>
        <v>106</v>
      </c>
    </row>
    <row r="144" spans="4:14">
      <c r="H144"/>
      <c r="I144">
        <v>31</v>
      </c>
      <c r="J144">
        <f t="shared" si="4"/>
        <v>151</v>
      </c>
      <c r="K144">
        <f t="shared" si="3"/>
        <v>137</v>
      </c>
    </row>
    <row r="145" spans="8:11">
      <c r="H145"/>
      <c r="I145">
        <v>30</v>
      </c>
      <c r="J145">
        <f t="shared" si="4"/>
        <v>181</v>
      </c>
      <c r="K145">
        <f t="shared" si="3"/>
        <v>167</v>
      </c>
    </row>
    <row r="146" spans="8:11">
      <c r="H146"/>
      <c r="I146">
        <v>31</v>
      </c>
      <c r="J146">
        <f t="shared" si="4"/>
        <v>212</v>
      </c>
      <c r="K146">
        <f t="shared" si="3"/>
        <v>198</v>
      </c>
    </row>
    <row r="147" spans="8:11">
      <c r="H147"/>
      <c r="I147">
        <v>31</v>
      </c>
      <c r="J147">
        <f t="shared" si="4"/>
        <v>243</v>
      </c>
      <c r="K147">
        <f t="shared" si="3"/>
        <v>229</v>
      </c>
    </row>
    <row r="148" spans="8:11">
      <c r="H148"/>
      <c r="I148">
        <v>30</v>
      </c>
      <c r="J148">
        <f t="shared" si="4"/>
        <v>273</v>
      </c>
      <c r="K148">
        <f t="shared" si="3"/>
        <v>259</v>
      </c>
    </row>
    <row r="149" spans="8:11">
      <c r="H149"/>
      <c r="I149">
        <v>31</v>
      </c>
      <c r="J149">
        <f t="shared" si="4"/>
        <v>304</v>
      </c>
      <c r="K149">
        <f t="shared" si="3"/>
        <v>290</v>
      </c>
    </row>
    <row r="150" spans="8:11">
      <c r="H150"/>
      <c r="I150">
        <v>30</v>
      </c>
      <c r="J150">
        <f t="shared" si="4"/>
        <v>334</v>
      </c>
      <c r="K150">
        <f t="shared" si="3"/>
        <v>320</v>
      </c>
    </row>
    <row r="151" spans="8:11">
      <c r="H151"/>
      <c r="I151">
        <v>31</v>
      </c>
      <c r="J151">
        <f t="shared" si="4"/>
        <v>365</v>
      </c>
      <c r="K151">
        <f t="shared" si="3"/>
        <v>351</v>
      </c>
    </row>
    <row r="152" spans="8:11">
      <c r="H152"/>
      <c r="I152">
        <f>SUM(I140:I151)</f>
        <v>365</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dimension ref="B6:I49"/>
  <sheetViews>
    <sheetView topLeftCell="A27" workbookViewId="0">
      <selection activeCell="D7" sqref="D7"/>
    </sheetView>
  </sheetViews>
  <sheetFormatPr defaultRowHeight="15"/>
  <cols>
    <col min="2" max="2" width="10.7109375" customWidth="1"/>
    <col min="3" max="3" width="11" customWidth="1"/>
    <col min="4" max="4" width="19.7109375" customWidth="1"/>
    <col min="7" max="7" width="8.85546875" customWidth="1"/>
    <col min="8" max="8" width="11.5703125" bestFit="1" customWidth="1"/>
  </cols>
  <sheetData>
    <row r="6" spans="3:9">
      <c r="C6" t="str">
        <f>[1]meeus!D12</f>
        <v>JD=</v>
      </c>
      <c r="D6" s="152">
        <f>'Eclipse FM'!E38</f>
        <v>2457117.0014950898</v>
      </c>
    </row>
    <row r="7" spans="3:9">
      <c r="C7" t="s">
        <v>321</v>
      </c>
      <c r="D7" s="152">
        <f>D6+0.5</f>
        <v>2457117.5014950898</v>
      </c>
    </row>
    <row r="8" spans="3:9">
      <c r="C8" t="s">
        <v>322</v>
      </c>
      <c r="D8" s="152">
        <f>TRUNC(D7)</f>
        <v>2457117</v>
      </c>
    </row>
    <row r="9" spans="3:9">
      <c r="C9" t="s">
        <v>138</v>
      </c>
      <c r="D9" s="152">
        <f>D7-D8</f>
        <v>0.5014950898475945</v>
      </c>
    </row>
    <row r="10" spans="3:9">
      <c r="D10" s="102"/>
    </row>
    <row r="11" spans="3:9">
      <c r="C11" t="s">
        <v>323</v>
      </c>
      <c r="D11" s="102">
        <f>INT((D8-1867216.25)/36524.25)</f>
        <v>16</v>
      </c>
      <c r="H11" s="125"/>
    </row>
    <row r="12" spans="3:9">
      <c r="C12" t="s">
        <v>259</v>
      </c>
      <c r="D12" s="102">
        <f>D8+1+D11-INT(D11/4)</f>
        <v>2457130</v>
      </c>
    </row>
    <row r="13" spans="3:9">
      <c r="C13" t="s">
        <v>259</v>
      </c>
      <c r="D13" s="102">
        <f>IF(D8&lt;2299161,D8,D12)</f>
        <v>2457130</v>
      </c>
    </row>
    <row r="14" spans="3:9">
      <c r="D14" s="102"/>
      <c r="I14">
        <v>1582</v>
      </c>
    </row>
    <row r="15" spans="3:9">
      <c r="C15" t="s">
        <v>260</v>
      </c>
      <c r="D15" s="102">
        <f>D13+1524</f>
        <v>2458654</v>
      </c>
    </row>
    <row r="16" spans="3:9">
      <c r="C16" t="s">
        <v>324</v>
      </c>
      <c r="D16" s="102">
        <f>INT((D15-122.1)/365.25)</f>
        <v>6731</v>
      </c>
    </row>
    <row r="17" spans="2:4">
      <c r="C17" t="s">
        <v>154</v>
      </c>
      <c r="D17" s="102">
        <f>INT(365.25*D16)</f>
        <v>2458497</v>
      </c>
    </row>
    <row r="18" spans="2:4">
      <c r="C18" t="s">
        <v>143</v>
      </c>
      <c r="D18" s="102">
        <f>INT((D15-D17)/30.6001)</f>
        <v>5</v>
      </c>
    </row>
    <row r="19" spans="2:4">
      <c r="D19" s="102"/>
    </row>
    <row r="20" spans="2:4">
      <c r="D20" s="102"/>
    </row>
    <row r="21" spans="2:4">
      <c r="B21" t="s">
        <v>325</v>
      </c>
      <c r="D21" s="152">
        <f>D15-D17-INT(30.6001*D18)+D9</f>
        <v>4.5014950898475945</v>
      </c>
    </row>
    <row r="22" spans="2:4">
      <c r="D22" s="152">
        <f>TRUNC(D21)</f>
        <v>4</v>
      </c>
    </row>
    <row r="23" spans="2:4">
      <c r="D23" s="152">
        <f>(D21-D22)*24</f>
        <v>12.035882156342268</v>
      </c>
    </row>
    <row r="24" spans="2:4">
      <c r="D24" s="153">
        <f>TRUNC(D23)</f>
        <v>12</v>
      </c>
    </row>
    <row r="25" spans="2:4">
      <c r="D25" s="153">
        <f>(D23-D24)*60.00001</f>
        <v>2.152929739357643</v>
      </c>
    </row>
    <row r="26" spans="2:4">
      <c r="D26" s="153">
        <f>TRUNC(D25)</f>
        <v>2</v>
      </c>
    </row>
    <row r="27" spans="2:4">
      <c r="D27" s="153">
        <f>(D25-D26)*60</f>
        <v>9.1757843614585788</v>
      </c>
    </row>
    <row r="28" spans="2:4">
      <c r="D28" s="102"/>
    </row>
    <row r="29" spans="2:4">
      <c r="D29" s="102"/>
    </row>
    <row r="30" spans="2:4">
      <c r="B30" t="s">
        <v>326</v>
      </c>
      <c r="D30" s="102">
        <f>IF(D18&lt;14,D18-1,IF(D18=14,D18-13, IF(D18=15,D18-13)))</f>
        <v>4</v>
      </c>
    </row>
    <row r="31" spans="2:4">
      <c r="D31" s="102"/>
    </row>
    <row r="32" spans="2:4">
      <c r="D32" s="102"/>
    </row>
    <row r="33" spans="2:4">
      <c r="B33" t="s">
        <v>327</v>
      </c>
      <c r="D33" s="102">
        <f>IF(D30&gt;2,D16-4716,IF(D30=2,D16-4715,IF(D30=1,D16-4715)))</f>
        <v>2015</v>
      </c>
    </row>
    <row r="36" spans="2:4" ht="18.75">
      <c r="C36" s="154" t="s">
        <v>328</v>
      </c>
      <c r="D36" s="155">
        <f>TIME(D24,D26,D27)</f>
        <v>0.50149305555555557</v>
      </c>
    </row>
    <row r="37" spans="2:4" ht="18.75">
      <c r="C37" s="156" t="s">
        <v>329</v>
      </c>
      <c r="D37" s="157">
        <f>D22</f>
        <v>4</v>
      </c>
    </row>
    <row r="38" spans="2:4" ht="18.75">
      <c r="C38" s="158" t="s">
        <v>296</v>
      </c>
      <c r="D38" s="159">
        <f>D30</f>
        <v>4</v>
      </c>
    </row>
    <row r="39" spans="2:4" ht="18.75">
      <c r="C39" s="160" t="s">
        <v>330</v>
      </c>
      <c r="D39" s="161">
        <f>D33</f>
        <v>2015</v>
      </c>
    </row>
    <row r="43" spans="2:4">
      <c r="C43" s="102" t="s">
        <v>128</v>
      </c>
      <c r="D43" s="152">
        <f>D6</f>
        <v>2457117.0014950898</v>
      </c>
    </row>
    <row r="44" spans="2:4">
      <c r="C44" s="102" t="s">
        <v>331</v>
      </c>
      <c r="D44" s="152">
        <f>D43+1.5</f>
        <v>2457118.5014950898</v>
      </c>
    </row>
    <row r="45" spans="2:4">
      <c r="C45" s="102"/>
      <c r="D45" s="102">
        <f>D44/7</f>
        <v>351016.92878501286</v>
      </c>
    </row>
    <row r="46" spans="2:4">
      <c r="C46" s="102"/>
      <c r="D46" s="102">
        <f>TRUNC(D45)</f>
        <v>351016</v>
      </c>
    </row>
    <row r="47" spans="2:4">
      <c r="C47" s="102"/>
      <c r="D47" s="102">
        <f>D45-D46</f>
        <v>0.92878501286031678</v>
      </c>
    </row>
    <row r="48" spans="2:4">
      <c r="C48" s="102"/>
      <c r="D48" s="102">
        <f>TRUNC(D47*7.001)</f>
        <v>6</v>
      </c>
    </row>
    <row r="49" spans="3:4" ht="23.25">
      <c r="C49" s="162" t="s">
        <v>329</v>
      </c>
      <c r="D49" s="163" t="str">
        <f>IF(D48=0,"Sunday",IF(D48=1,"Monday",IF(D48=2,"Tuesday",IF(D48=3,"Wedenesday",IF(D48=4,"Thursday",IF(D48=5,"Friday",IF(D48=6,"Saturday")))))))</f>
        <v>Saturday</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C2:P152"/>
  <sheetViews>
    <sheetView topLeftCell="E1" zoomScale="69" zoomScaleNormal="69" workbookViewId="0">
      <selection activeCell="L142" sqref="L142"/>
    </sheetView>
  </sheetViews>
  <sheetFormatPr defaultRowHeight="15"/>
  <cols>
    <col min="3" max="3" width="17.28515625" customWidth="1"/>
    <col min="4" max="4" width="19.28515625" customWidth="1"/>
    <col min="5" max="5" width="5.7109375" customWidth="1"/>
    <col min="6" max="6" width="44" customWidth="1"/>
    <col min="7" max="7" width="36.28515625" customWidth="1"/>
    <col min="8" max="8" width="17.7109375" style="68" customWidth="1"/>
    <col min="9" max="9" width="21.140625" customWidth="1"/>
    <col min="10" max="10" width="17.140625" customWidth="1"/>
    <col min="11" max="12" width="17.28515625" customWidth="1"/>
    <col min="13" max="13" width="16" bestFit="1" customWidth="1"/>
    <col min="14" max="14" width="19.7109375" customWidth="1"/>
    <col min="15" max="15" width="12.7109375" bestFit="1" customWidth="1"/>
  </cols>
  <sheetData>
    <row r="2" spans="3:15" ht="50.45" customHeight="1">
      <c r="F2" s="119" t="s">
        <v>26</v>
      </c>
      <c r="G2" s="120">
        <f>G136</f>
        <v>2457101.900819269</v>
      </c>
      <c r="H2" s="121"/>
      <c r="I2" s="122" t="s">
        <v>295</v>
      </c>
      <c r="J2" s="122" t="s">
        <v>296</v>
      </c>
    </row>
    <row r="3" spans="3:15" ht="56.45" customHeight="1">
      <c r="F3" s="119" t="s">
        <v>292</v>
      </c>
      <c r="G3" s="120">
        <f>'Moon FQ'!G136</f>
        <v>2457108.8217340363</v>
      </c>
      <c r="H3" s="121"/>
      <c r="I3" s="122">
        <f>D!G4</f>
        <v>2015</v>
      </c>
      <c r="J3" s="122">
        <f>D!H4</f>
        <v>3</v>
      </c>
    </row>
    <row r="4" spans="3:15" ht="48.6" customHeight="1">
      <c r="F4" s="119" t="s">
        <v>293</v>
      </c>
      <c r="G4" s="120">
        <f>'monn full'!G136</f>
        <v>2457117.0047252281</v>
      </c>
      <c r="H4" s="121"/>
      <c r="I4" s="123"/>
      <c r="J4" s="123"/>
    </row>
    <row r="5" spans="3:15" ht="43.15" customHeight="1">
      <c r="F5" s="119" t="s">
        <v>294</v>
      </c>
      <c r="G5" s="120">
        <f>'Moon LQ'!G136</f>
        <v>2457124.6564552528</v>
      </c>
      <c r="H5" s="121"/>
      <c r="I5" s="124"/>
      <c r="J5" s="124"/>
    </row>
    <row r="12" spans="3:15" ht="15.75" thickBot="1"/>
    <row r="13" spans="3:15" ht="18.75">
      <c r="D13" s="50" t="s">
        <v>133</v>
      </c>
      <c r="E13" s="51"/>
      <c r="F13" s="51"/>
      <c r="G13" s="51"/>
      <c r="H13" s="69"/>
      <c r="O13">
        <f>0.00002*COS(PI()*O20/180)+0.00002*COS(PI()*P20/180)+0.00002*COS(2*PI()*N131/180)</f>
        <v>6.0000000000000008E-5</v>
      </c>
    </row>
    <row r="14" spans="3:15" ht="15.75">
      <c r="C14" s="2"/>
      <c r="D14" s="15"/>
      <c r="E14" s="11"/>
      <c r="F14" s="11"/>
      <c r="G14" s="11"/>
      <c r="H14" s="70"/>
    </row>
    <row r="15" spans="3:15" ht="15.75">
      <c r="C15" s="2"/>
      <c r="D15" s="15"/>
      <c r="E15" s="43"/>
      <c r="F15" s="44" t="s">
        <v>141</v>
      </c>
      <c r="G15" s="11"/>
      <c r="H15" s="70"/>
    </row>
    <row r="16" spans="3:15" ht="15.75">
      <c r="C16" s="2"/>
      <c r="D16" s="15"/>
      <c r="E16" s="43"/>
      <c r="F16" s="43"/>
      <c r="G16" s="11"/>
      <c r="H16" s="70"/>
    </row>
    <row r="17" spans="3:16" ht="18">
      <c r="C17" s="2"/>
      <c r="D17" s="15"/>
      <c r="E17" s="11"/>
      <c r="F17" s="45" t="s">
        <v>2</v>
      </c>
      <c r="G17" s="11"/>
      <c r="H17" s="70"/>
    </row>
    <row r="18" spans="3:16">
      <c r="D18" s="15"/>
      <c r="E18" s="11"/>
      <c r="F18" s="11"/>
      <c r="G18" s="11"/>
      <c r="H18" s="70"/>
    </row>
    <row r="19" spans="3:16" ht="18">
      <c r="D19" s="15"/>
      <c r="E19" s="11"/>
      <c r="F19" s="46" t="s">
        <v>3</v>
      </c>
      <c r="G19" s="47"/>
      <c r="H19" s="70"/>
      <c r="N19">
        <f>COS(N129*PI()/180)</f>
        <v>1</v>
      </c>
      <c r="O19" t="s">
        <v>130</v>
      </c>
      <c r="P19" t="s">
        <v>131</v>
      </c>
    </row>
    <row r="20" spans="3:16" ht="15.75">
      <c r="D20" s="15"/>
      <c r="E20" s="11"/>
      <c r="F20" s="48"/>
      <c r="G20" s="11"/>
      <c r="H20" s="70"/>
      <c r="O20">
        <f>N130-N129</f>
        <v>0</v>
      </c>
      <c r="P20">
        <f>N130+N129</f>
        <v>0</v>
      </c>
    </row>
    <row r="21" spans="3:16" ht="18">
      <c r="D21" s="52" t="s">
        <v>4</v>
      </c>
      <c r="E21" s="11"/>
      <c r="F21" s="46" t="s">
        <v>5</v>
      </c>
      <c r="G21" s="47"/>
      <c r="H21" s="71"/>
      <c r="N21">
        <f>COS(N130*PI()/180)</f>
        <v>1</v>
      </c>
    </row>
    <row r="22" spans="3:16" ht="15.75">
      <c r="D22" s="15"/>
      <c r="E22" s="11"/>
      <c r="F22" s="48"/>
      <c r="G22" s="11"/>
      <c r="H22" s="70"/>
    </row>
    <row r="23" spans="3:16" ht="18">
      <c r="D23" s="52" t="s">
        <v>6</v>
      </c>
      <c r="E23" s="49"/>
      <c r="F23" s="46" t="s">
        <v>7</v>
      </c>
      <c r="G23" s="47"/>
      <c r="H23" s="71"/>
    </row>
    <row r="24" spans="3:16" ht="15.75">
      <c r="D24" s="15"/>
      <c r="E24" s="11"/>
      <c r="F24" s="48"/>
      <c r="G24" s="11"/>
      <c r="H24" s="70"/>
    </row>
    <row r="25" spans="3:16" ht="39.75" thickBot="1">
      <c r="D25" s="53" t="s">
        <v>8</v>
      </c>
      <c r="E25" s="17"/>
      <c r="F25" s="54" t="s">
        <v>9</v>
      </c>
      <c r="G25" s="55"/>
      <c r="H25" s="72"/>
    </row>
    <row r="26" spans="3:16" ht="19.5" thickBot="1">
      <c r="F26" s="1"/>
      <c r="H26" s="73"/>
      <c r="I26" s="62"/>
      <c r="J26" s="63" t="s">
        <v>145</v>
      </c>
      <c r="K26" s="62"/>
      <c r="L26" s="62"/>
      <c r="M26" s="64"/>
    </row>
    <row r="27" spans="3:16" ht="25.15" customHeight="1" thickBot="1">
      <c r="F27" s="56" t="s">
        <v>10</v>
      </c>
      <c r="H27" s="74"/>
      <c r="I27" s="65"/>
      <c r="J27" s="65" t="s">
        <v>134</v>
      </c>
      <c r="K27" s="66" t="s">
        <v>146</v>
      </c>
      <c r="L27" s="65" t="s">
        <v>135</v>
      </c>
      <c r="M27" s="67" t="s">
        <v>291</v>
      </c>
    </row>
    <row r="28" spans="3:16" ht="19.5">
      <c r="F28" s="57" t="s">
        <v>11</v>
      </c>
      <c r="H28" s="75">
        <f>MOD((299.77 + 0.107408*H131-0.009173*G132^2),360)</f>
        <v>319.96249206971345</v>
      </c>
      <c r="I28" s="59"/>
      <c r="J28" s="59">
        <f>H28</f>
        <v>319.96249206971345</v>
      </c>
      <c r="K28" s="60">
        <v>3.2499999999999999E-4</v>
      </c>
      <c r="L28" s="59">
        <f>SIN(PI()*J28/180)</f>
        <v>-0.64328895286109256</v>
      </c>
      <c r="M28" s="61">
        <f>K28*L28</f>
        <v>-2.0906890967985507E-4</v>
      </c>
    </row>
    <row r="29" spans="3:16" ht="18.75">
      <c r="F29" s="57" t="s">
        <v>12</v>
      </c>
      <c r="H29" s="76">
        <f>MOD(( 251.88 + 0.016321*H131),360)</f>
        <v>254.94834799999998</v>
      </c>
      <c r="I29" s="11"/>
      <c r="J29" s="59">
        <f t="shared" ref="J29:J41" si="0">H29</f>
        <v>254.94834799999998</v>
      </c>
      <c r="K29" s="12">
        <v>1.65E-4</v>
      </c>
      <c r="L29" s="11">
        <f t="shared" ref="L29:L41" si="1">SIN(PI()*J29/180)</f>
        <v>-0.96569210910474379</v>
      </c>
      <c r="M29" s="16">
        <f t="shared" ref="M29:M41" si="2">K29*L29</f>
        <v>-1.5933919800228272E-4</v>
      </c>
    </row>
    <row r="30" spans="3:16" ht="18.75">
      <c r="F30" s="57" t="s">
        <v>13</v>
      </c>
      <c r="H30" s="76">
        <f>MOD((251.83 + 26.651886*H131),360)</f>
        <v>222.3845680000004</v>
      </c>
      <c r="I30" s="11"/>
      <c r="J30" s="59">
        <f t="shared" si="0"/>
        <v>222.3845680000004</v>
      </c>
      <c r="K30" s="12">
        <v>1.64E-4</v>
      </c>
      <c r="L30" s="11">
        <f t="shared" si="1"/>
        <v>-0.67410346814978039</v>
      </c>
      <c r="M30" s="16">
        <f t="shared" si="2"/>
        <v>-1.1055296877656398E-4</v>
      </c>
    </row>
    <row r="31" spans="3:16" ht="18.75">
      <c r="F31" s="57" t="s">
        <v>14</v>
      </c>
      <c r="H31" s="76">
        <f>MOD((349.42+36.412478*H131),360)</f>
        <v>354.96586399999978</v>
      </c>
      <c r="I31" s="11"/>
      <c r="J31" s="59">
        <f t="shared" si="0"/>
        <v>354.96586399999978</v>
      </c>
      <c r="K31" s="12">
        <v>1.26E-4</v>
      </c>
      <c r="L31" s="11">
        <f t="shared" si="1"/>
        <v>-8.7749245693533234E-2</v>
      </c>
      <c r="M31" s="16">
        <f t="shared" si="2"/>
        <v>-1.1056404957385188E-5</v>
      </c>
    </row>
    <row r="32" spans="3:16" ht="18.75">
      <c r="F32" s="57" t="s">
        <v>15</v>
      </c>
      <c r="H32" s="76">
        <f>MOD((84.66+18.206239*H131),360)</f>
        <v>267.43293199999971</v>
      </c>
      <c r="I32" s="11"/>
      <c r="J32" s="59">
        <f t="shared" si="0"/>
        <v>267.43293199999971</v>
      </c>
      <c r="K32" s="12">
        <v>1.1E-4</v>
      </c>
      <c r="L32" s="11">
        <f t="shared" si="1"/>
        <v>-0.99899647814566628</v>
      </c>
      <c r="M32" s="16">
        <f t="shared" si="2"/>
        <v>-1.098896125960233E-4</v>
      </c>
    </row>
    <row r="33" spans="6:13" ht="18.75">
      <c r="F33" s="57" t="s">
        <v>16</v>
      </c>
      <c r="H33" s="76">
        <f>MOD((141.74+53.303771*H131),260)</f>
        <v>22.848947999998927</v>
      </c>
      <c r="I33" s="11"/>
      <c r="J33" s="59">
        <f t="shared" si="0"/>
        <v>22.848947999998927</v>
      </c>
      <c r="K33" s="12">
        <v>6.2000000000000003E-5</v>
      </c>
      <c r="L33" s="11">
        <f t="shared" si="1"/>
        <v>0.38830299610379071</v>
      </c>
      <c r="M33" s="16">
        <f t="shared" si="2"/>
        <v>2.4074785758435026E-5</v>
      </c>
    </row>
    <row r="34" spans="6:13" ht="18.75">
      <c r="F34" s="57" t="s">
        <v>17</v>
      </c>
      <c r="H34" s="76">
        <f>MOD((207.14+2.453732*H131),360)</f>
        <v>308.44161600000007</v>
      </c>
      <c r="I34" s="11"/>
      <c r="J34" s="59">
        <f t="shared" si="0"/>
        <v>308.44161600000007</v>
      </c>
      <c r="K34" s="12">
        <v>6.0000000000000002E-5</v>
      </c>
      <c r="L34" s="11">
        <f t="shared" si="1"/>
        <v>-0.78324208850944321</v>
      </c>
      <c r="M34" s="16">
        <f t="shared" si="2"/>
        <v>-4.6994525310566596E-5</v>
      </c>
    </row>
    <row r="35" spans="6:13" ht="18.75">
      <c r="F35" s="57" t="s">
        <v>18</v>
      </c>
      <c r="H35" s="76">
        <f>MOD((154.84+7.30686*H131),360)</f>
        <v>88.529679999999871</v>
      </c>
      <c r="I35" s="11"/>
      <c r="J35" s="59">
        <f t="shared" si="0"/>
        <v>88.529679999999871</v>
      </c>
      <c r="K35" s="13">
        <v>5.5999999999999999E-5</v>
      </c>
      <c r="L35" s="11">
        <f t="shared" si="1"/>
        <v>0.99967075087024548</v>
      </c>
      <c r="M35" s="16">
        <f t="shared" si="2"/>
        <v>5.5981562048733745E-5</v>
      </c>
    </row>
    <row r="36" spans="6:13" ht="18.75">
      <c r="F36" s="57" t="s">
        <v>19</v>
      </c>
      <c r="H36" s="76">
        <f>MOD((34.52+27.261239*H131),360)</f>
        <v>119.63293200000044</v>
      </c>
      <c r="I36" s="11"/>
      <c r="J36" s="59">
        <f t="shared" si="0"/>
        <v>119.63293200000044</v>
      </c>
      <c r="K36" s="13">
        <v>4.6999999999999997E-5</v>
      </c>
      <c r="L36" s="11">
        <f t="shared" si="1"/>
        <v>0.86921088202631602</v>
      </c>
      <c r="M36" s="16">
        <f t="shared" si="2"/>
        <v>4.0852911455236848E-5</v>
      </c>
    </row>
    <row r="37" spans="6:13" ht="18.75">
      <c r="F37" s="57" t="s">
        <v>20</v>
      </c>
      <c r="H37" s="76">
        <f>MOD((207.19+0.121824*H131),360)</f>
        <v>230.09291200000001</v>
      </c>
      <c r="I37" s="11"/>
      <c r="J37" s="59">
        <f t="shared" si="0"/>
        <v>230.09291200000001</v>
      </c>
      <c r="K37" s="13">
        <v>4.1999999999999998E-5</v>
      </c>
      <c r="L37" s="11">
        <f t="shared" si="1"/>
        <v>-0.76708579289288703</v>
      </c>
      <c r="M37" s="16">
        <f t="shared" si="2"/>
        <v>-3.2217603301501252E-5</v>
      </c>
    </row>
    <row r="38" spans="6:13" ht="18.75">
      <c r="F38" s="57" t="s">
        <v>21</v>
      </c>
      <c r="H38" s="76">
        <f>MOD((291.34+1.844379*H131),360)</f>
        <v>278.0832519999999</v>
      </c>
      <c r="I38" s="11"/>
      <c r="J38" s="59">
        <f t="shared" si="0"/>
        <v>278.0832519999999</v>
      </c>
      <c r="K38" s="13">
        <v>4.0000000000000003E-5</v>
      </c>
      <c r="L38" s="11">
        <f t="shared" si="1"/>
        <v>-0.9900648019413828</v>
      </c>
      <c r="M38" s="16">
        <f t="shared" si="2"/>
        <v>-3.9602592077655314E-5</v>
      </c>
    </row>
    <row r="39" spans="6:13" ht="18.75">
      <c r="F39" s="57" t="s">
        <v>22</v>
      </c>
      <c r="H39" s="76">
        <f>MOD((161.72+24.198154*H131),360)</f>
        <v>30.972952000000078</v>
      </c>
      <c r="I39" s="11"/>
      <c r="J39" s="59">
        <f t="shared" si="0"/>
        <v>30.972952000000078</v>
      </c>
      <c r="K39" s="13">
        <v>3.6999999999999998E-5</v>
      </c>
      <c r="L39" s="11">
        <f t="shared" si="1"/>
        <v>0.51463336886231237</v>
      </c>
      <c r="M39" s="16">
        <f t="shared" si="2"/>
        <v>1.9041434647905557E-5</v>
      </c>
    </row>
    <row r="40" spans="6:13" ht="18.75">
      <c r="F40" s="57" t="s">
        <v>23</v>
      </c>
      <c r="H40" s="76">
        <f>MOD((239.56+25.513099*H131),360)</f>
        <v>356.02261200000066</v>
      </c>
      <c r="I40" s="11"/>
      <c r="J40" s="59">
        <f t="shared" si="0"/>
        <v>356.02261200000066</v>
      </c>
      <c r="K40" s="13">
        <v>3.4999999999999997E-5</v>
      </c>
      <c r="L40" s="11">
        <f t="shared" si="1"/>
        <v>-6.9362775828474152E-2</v>
      </c>
      <c r="M40" s="16">
        <f t="shared" si="2"/>
        <v>-2.427697153996595E-6</v>
      </c>
    </row>
    <row r="41" spans="6:13" ht="19.5" thickBot="1">
      <c r="F41" s="58" t="s">
        <v>24</v>
      </c>
      <c r="H41" s="76">
        <f>MOD((331.55+3.592518*H131),360)</f>
        <v>286.94338399999992</v>
      </c>
      <c r="I41" s="11"/>
      <c r="J41" s="59">
        <f t="shared" si="0"/>
        <v>286.94338399999992</v>
      </c>
      <c r="K41" s="13">
        <v>2.3E-5</v>
      </c>
      <c r="L41" s="11">
        <f t="shared" si="1"/>
        <v>-0.95659319193493897</v>
      </c>
      <c r="M41" s="16">
        <f t="shared" si="2"/>
        <v>-2.2001643414503596E-5</v>
      </c>
    </row>
    <row r="42" spans="6:13" ht="21.75" thickBot="1">
      <c r="F42" s="1"/>
      <c r="H42" s="77"/>
      <c r="I42" s="17"/>
      <c r="J42" s="17"/>
      <c r="K42" s="17"/>
      <c r="L42" s="17"/>
      <c r="M42" s="18">
        <f>SUM(M28:M41)</f>
        <v>-6.0320046136002258E-4</v>
      </c>
    </row>
    <row r="43" spans="6:13" ht="15.75">
      <c r="F43" s="1"/>
    </row>
    <row r="44" spans="6:13" ht="15.75">
      <c r="F44" s="1"/>
    </row>
    <row r="45" spans="6:13" ht="15.75">
      <c r="F45" s="1"/>
    </row>
    <row r="46" spans="6:13" ht="15.75">
      <c r="F46" s="1"/>
    </row>
    <row r="47" spans="6:13" ht="15.75">
      <c r="F47" s="1"/>
    </row>
    <row r="48" spans="6:13" ht="15.75">
      <c r="F48" s="1"/>
    </row>
    <row r="49" spans="6:11" ht="15.75">
      <c r="F49" s="1" t="s">
        <v>25</v>
      </c>
    </row>
    <row r="50" spans="6:11" ht="16.5" thickBot="1">
      <c r="F50" s="1"/>
    </row>
    <row r="51" spans="6:11" ht="15.75">
      <c r="F51" s="36" t="s">
        <v>26</v>
      </c>
      <c r="G51" s="37" t="s">
        <v>27</v>
      </c>
      <c r="H51" s="78"/>
      <c r="I51" s="37"/>
      <c r="J51" s="36" t="s">
        <v>26</v>
      </c>
      <c r="K51" s="37" t="s">
        <v>27</v>
      </c>
    </row>
    <row r="52" spans="6:11" ht="15.75">
      <c r="F52" s="22">
        <v>-0.40720000000000001</v>
      </c>
      <c r="G52" s="35">
        <v>-0.40614</v>
      </c>
      <c r="H52" s="35" t="s">
        <v>28</v>
      </c>
      <c r="I52" s="35" t="s">
        <v>29</v>
      </c>
      <c r="J52" s="11">
        <f>F52*SIN(L130*PI()/180)</f>
        <v>-0.10640936825614265</v>
      </c>
      <c r="K52" s="11">
        <f>G52*SIN(M130*PI()/180)</f>
        <v>0</v>
      </c>
    </row>
    <row r="53" spans="6:11" ht="15.75">
      <c r="F53" s="22" t="s">
        <v>30</v>
      </c>
      <c r="G53" s="35" t="s">
        <v>31</v>
      </c>
      <c r="H53" s="35" t="s">
        <v>28</v>
      </c>
      <c r="I53" s="35" t="s">
        <v>32</v>
      </c>
      <c r="J53" s="11">
        <f>0.17241*L134*SIN(L129*PI()/180)</f>
        <v>0.16596329812887894</v>
      </c>
      <c r="K53" s="11">
        <f>0.17241*L134*SIN(L129*PI()/180)</f>
        <v>0.16596329812887894</v>
      </c>
    </row>
    <row r="54" spans="6:11" ht="15.75">
      <c r="F54" s="22">
        <v>1.6080000000000001E-2</v>
      </c>
      <c r="G54" s="35">
        <v>1.6140000000000002E-2</v>
      </c>
      <c r="H54" s="35" t="s">
        <v>28</v>
      </c>
      <c r="I54" s="35" t="s">
        <v>33</v>
      </c>
      <c r="J54" s="11">
        <f>F54*SIN(2*L130*PI()/180)</f>
        <v>8.1120195288024635E-3</v>
      </c>
      <c r="K54" s="11">
        <f>G54*SIN(2*L130*PI()/180)</f>
        <v>8.1422882583875485E-3</v>
      </c>
    </row>
    <row r="55" spans="6:11" ht="15.75">
      <c r="F55" s="22">
        <v>1.039E-2</v>
      </c>
      <c r="G55" s="35">
        <v>1.043E-2</v>
      </c>
      <c r="H55" s="35" t="s">
        <v>28</v>
      </c>
      <c r="I55" s="35" t="s">
        <v>34</v>
      </c>
      <c r="J55" s="11">
        <f>F55*SIN(2*L131*PI()/180)</f>
        <v>-4.6310359817672928E-3</v>
      </c>
      <c r="K55" s="11">
        <f>G55*SIN(2*L131*PI()/180)</f>
        <v>-4.6488648017163495E-3</v>
      </c>
    </row>
    <row r="56" spans="6:11" ht="15.75">
      <c r="F56" s="22" t="s">
        <v>35</v>
      </c>
      <c r="G56" s="35" t="s">
        <v>36</v>
      </c>
      <c r="H56" s="35" t="s">
        <v>28</v>
      </c>
      <c r="I56" s="35" t="s">
        <v>37</v>
      </c>
      <c r="J56" s="11">
        <f>0.00739*L134*SIN((L130*PI()/180)-(L129*PI()/180))</f>
        <v>-6.3460821118893661E-3</v>
      </c>
      <c r="K56" s="11">
        <f>0.00739*L134*SIN((M130*PI()/180)-(M129*PI()/180))</f>
        <v>0</v>
      </c>
    </row>
    <row r="57" spans="6:11" ht="15.75">
      <c r="F57" s="22" t="s">
        <v>38</v>
      </c>
      <c r="G57" s="35" t="s">
        <v>39</v>
      </c>
      <c r="H57" s="35" t="s">
        <v>28</v>
      </c>
      <c r="I57" s="35" t="s">
        <v>40</v>
      </c>
      <c r="J57" s="11">
        <f>-0.00514*L134*SIN((L130*PI()/180)+(L129*PI()/180))</f>
        <v>-5.1378446479354196E-3</v>
      </c>
      <c r="K57" s="11">
        <f>-0.00514*L134*SIN((L130*PI()/180)+(L129*PI()/180))</f>
        <v>-5.1378446479354196E-3</v>
      </c>
    </row>
    <row r="58" spans="6:11" ht="18">
      <c r="F58" s="22" t="s">
        <v>41</v>
      </c>
      <c r="G58" s="35" t="s">
        <v>42</v>
      </c>
      <c r="H58" s="35" t="s">
        <v>28</v>
      </c>
      <c r="I58" s="35" t="s">
        <v>43</v>
      </c>
      <c r="J58" s="11">
        <f>0.00208*L134*L134*SIN(2*PI()*L129/180)</f>
        <v>1.079124708414213E-3</v>
      </c>
      <c r="K58" s="11">
        <f>0.00208*L134*L134*SIN(2*PI()*L129/180)</f>
        <v>1.079124708414213E-3</v>
      </c>
    </row>
    <row r="59" spans="6:11" ht="15.75">
      <c r="F59" s="22">
        <v>-1.1100000000000001E-3</v>
      </c>
      <c r="G59" s="35">
        <v>-1.1100000000000001E-3</v>
      </c>
      <c r="H59" s="35" t="s">
        <v>28</v>
      </c>
      <c r="I59" s="35" t="s">
        <v>44</v>
      </c>
      <c r="J59" s="11">
        <f>F59*SIN((L130*PI()/180)-(2*L131*PI()/180))</f>
        <v>-7.3721631207390303E-4</v>
      </c>
      <c r="K59" s="11">
        <f>G59*SIN((L130*PI()/180)-(2*L131*PI()/180))</f>
        <v>-7.3721631207390303E-4</v>
      </c>
    </row>
    <row r="60" spans="6:11" ht="15.75">
      <c r="F60" s="22">
        <v>-5.6999999999999998E-4</v>
      </c>
      <c r="G60" s="35">
        <v>-5.6999999999999998E-4</v>
      </c>
      <c r="H60" s="35" t="s">
        <v>28</v>
      </c>
      <c r="I60" s="35" t="s">
        <v>45</v>
      </c>
      <c r="J60" s="11">
        <f>F60*SIN((L130*PI()/180)+(2*L131*PI()/180))</f>
        <v>1.1189478871589199E-4</v>
      </c>
      <c r="K60" s="11">
        <f>G60*SIN((M130*PI()/180)+(2*M131*PI()/180))</f>
        <v>0</v>
      </c>
    </row>
    <row r="61" spans="6:11" ht="15.75">
      <c r="F61" s="22" t="s">
        <v>46</v>
      </c>
      <c r="G61" s="35" t="s">
        <v>46</v>
      </c>
      <c r="H61" s="35" t="s">
        <v>28</v>
      </c>
      <c r="I61" s="35" t="s">
        <v>47</v>
      </c>
      <c r="J61" s="11">
        <f>0.00056*L134*SIN((2*L130*PI()/180)+(L129*PI()/180))</f>
        <v>5.4156861177326418E-4</v>
      </c>
      <c r="K61" s="11">
        <f>0.00056*L134*SIN((2*L130*PI()/180)+(L129*PI()/180))</f>
        <v>5.4156861177326418E-4</v>
      </c>
    </row>
    <row r="62" spans="6:11" ht="15.75">
      <c r="F62" s="22">
        <v>-4.2000000000000002E-4</v>
      </c>
      <c r="G62" s="35">
        <v>-4.2000000000000002E-4</v>
      </c>
      <c r="H62" s="35" t="s">
        <v>28</v>
      </c>
      <c r="I62" s="35" t="s">
        <v>48</v>
      </c>
      <c r="J62" s="11">
        <f>F62*SIN(3*L130*PI()/180)</f>
        <v>-2.9928319831529026E-4</v>
      </c>
      <c r="K62" s="11">
        <f>G62*SIN(3*L130*PI()/180)</f>
        <v>-2.9928319831529026E-4</v>
      </c>
    </row>
    <row r="63" spans="6:11" ht="15.75">
      <c r="F63" s="22" t="s">
        <v>49</v>
      </c>
      <c r="G63" s="35" t="s">
        <v>49</v>
      </c>
      <c r="H63" s="35" t="s">
        <v>28</v>
      </c>
      <c r="I63" s="35" t="s">
        <v>50</v>
      </c>
      <c r="J63" s="11">
        <f>0.00042*L134*SIN((L129*PI()/180)+(2*L131*PI()/180))</f>
        <v>3.1146646481910935E-4</v>
      </c>
      <c r="K63" s="11">
        <f>0.00042*L134*SIN((L129*PI()/180)+(2*L131*PI()/180))</f>
        <v>3.1146646481910935E-4</v>
      </c>
    </row>
    <row r="64" spans="6:11" ht="15.75">
      <c r="F64" s="22" t="s">
        <v>51</v>
      </c>
      <c r="G64" s="35" t="s">
        <v>51</v>
      </c>
      <c r="H64" s="35" t="s">
        <v>28</v>
      </c>
      <c r="I64" s="35" t="s">
        <v>52</v>
      </c>
      <c r="J64" s="11">
        <f>0.00038*L134*SIN((L129*PI()/180)-(2*L131*PI()/180))</f>
        <v>3.7308914407754287E-4</v>
      </c>
      <c r="K64" s="11">
        <f>0.00038*L134*SIN((L129*PI()/180)-(2*L131*PI()/180))</f>
        <v>3.7308914407754287E-4</v>
      </c>
    </row>
    <row r="65" spans="6:11" ht="15.75">
      <c r="F65" s="22" t="s">
        <v>53</v>
      </c>
      <c r="G65" s="35" t="s">
        <v>53</v>
      </c>
      <c r="H65" s="35" t="s">
        <v>28</v>
      </c>
      <c r="I65" s="35" t="s">
        <v>54</v>
      </c>
      <c r="J65" s="11">
        <f>-0.00024*L134*SIN((2*PI()*L130/180)-(L129*PI()/180))</f>
        <v>1.6684597073371053E-4</v>
      </c>
      <c r="K65" s="11">
        <f>-0.00024*L134*SIN((2*PI()*L130/180)-(L129*PI()/180))</f>
        <v>1.6684597073371053E-4</v>
      </c>
    </row>
    <row r="66" spans="6:11" ht="15.75">
      <c r="F66" s="22">
        <v>-1.7000000000000001E-4</v>
      </c>
      <c r="G66" s="35">
        <v>-1.7000000000000001E-4</v>
      </c>
      <c r="H66" s="35" t="s">
        <v>28</v>
      </c>
      <c r="I66" s="35" t="s">
        <v>55</v>
      </c>
      <c r="J66" s="11">
        <f>F66*SIN(L132*PI()/180)</f>
        <v>3.182147336357679E-5</v>
      </c>
      <c r="K66" s="11">
        <f>G66*SIN(L132*PI()/180)</f>
        <v>3.182147336357679E-5</v>
      </c>
    </row>
    <row r="67" spans="6:11" ht="15.75">
      <c r="F67" s="22">
        <v>-6.9999999999999994E-5</v>
      </c>
      <c r="G67" s="35">
        <v>-6.9999999999999994E-5</v>
      </c>
      <c r="H67" s="35" t="s">
        <v>28</v>
      </c>
      <c r="I67" s="35" t="s">
        <v>56</v>
      </c>
      <c r="J67" s="11">
        <f>F67*SIN((L130*PI()/180)+(2*PI()*L129/180))</f>
        <v>-1.9448064479975119E-5</v>
      </c>
      <c r="K67" s="11">
        <f>G67*SIN((L130*PI()/180)+(2*PI()*L129/180))</f>
        <v>-1.9448064479975119E-5</v>
      </c>
    </row>
    <row r="68" spans="6:11" ht="15.75">
      <c r="F68" s="22">
        <v>4.0000000000000003E-5</v>
      </c>
      <c r="G68" s="35">
        <v>4.0000000000000003E-5</v>
      </c>
      <c r="H68" s="35" t="s">
        <v>28</v>
      </c>
      <c r="I68" s="35" t="s">
        <v>57</v>
      </c>
      <c r="J68" s="11">
        <f>F68*SIN((2*L130*PI()/180)-(2*PI()*L131/180))</f>
        <v>3.3457648661161644E-5</v>
      </c>
      <c r="K68" s="11">
        <f>G68*SIN((2*L130*PI()/180)-(2*PI()*L131/180))</f>
        <v>3.3457648661161644E-5</v>
      </c>
    </row>
    <row r="69" spans="6:11" ht="15.75">
      <c r="F69" s="22">
        <v>4.0000000000000003E-5</v>
      </c>
      <c r="G69" s="35">
        <v>4.0000000000000003E-5</v>
      </c>
      <c r="H69" s="35" t="s">
        <v>28</v>
      </c>
      <c r="I69" s="35" t="s">
        <v>58</v>
      </c>
      <c r="J69" s="11">
        <f>F69*SIN(3*L129*PI()/180)</f>
        <v>-2.7321453710938599E-5</v>
      </c>
      <c r="K69" s="11">
        <f>G69*SIN(3*L129*PI()/180)</f>
        <v>-2.7321453710938599E-5</v>
      </c>
    </row>
    <row r="70" spans="6:11" ht="15.75">
      <c r="F70" s="22">
        <v>3.0000000000000001E-5</v>
      </c>
      <c r="G70" s="35">
        <v>3.0000000000000001E-5</v>
      </c>
      <c r="H70" s="35" t="s">
        <v>28</v>
      </c>
      <c r="I70" s="35" t="s">
        <v>59</v>
      </c>
      <c r="J70" s="11">
        <f>F70*SIN((L130*PI()/180)+(L129*PI()/180)-(2*L131*PI()/180))</f>
        <v>2.6968804075140665E-5</v>
      </c>
      <c r="K70" s="11">
        <f>G70*SIN((L130*PI()/180)+(L129*PI()/180)-(2*L131*PI()/180))</f>
        <v>2.6968804075140665E-5</v>
      </c>
    </row>
    <row r="71" spans="6:11" ht="15.75">
      <c r="F71" s="22">
        <v>3.0000000000000001E-5</v>
      </c>
      <c r="G71" s="35">
        <v>3.0000000000000001E-5</v>
      </c>
      <c r="H71" s="35" t="s">
        <v>28</v>
      </c>
      <c r="I71" s="35" t="s">
        <v>60</v>
      </c>
      <c r="J71" s="11">
        <f>F71*SIN((2*L130*PI()/180)+(2*PI()*L131/180))</f>
        <v>2.0024882400315503E-6</v>
      </c>
      <c r="K71" s="11">
        <f>G71*SIN((2*L130*PI()/180)+(2*PI()*L131/180))</f>
        <v>2.0024882400315503E-6</v>
      </c>
    </row>
    <row r="72" spans="6:11" ht="15.75">
      <c r="F72" s="22">
        <v>-3.0000000000000001E-5</v>
      </c>
      <c r="G72" s="35">
        <v>-3.0000000000000001E-5</v>
      </c>
      <c r="H72" s="35" t="s">
        <v>28</v>
      </c>
      <c r="I72" s="35" t="s">
        <v>61</v>
      </c>
      <c r="J72" s="11">
        <f>F72*SIN((L130*PI()/180)+(L129*PI()/180)+(2*L131*PI()/180))</f>
        <v>-2.6739553434073074E-5</v>
      </c>
      <c r="K72" s="11">
        <f>G72*SIN((L130*PI()/180)+(P129*PI()/180)+(2*L131*PI()/180))</f>
        <v>5.8891994060995789E-6</v>
      </c>
    </row>
    <row r="73" spans="6:11" ht="15.75">
      <c r="F73" s="22">
        <v>3.0000000000000001E-5</v>
      </c>
      <c r="G73" s="35">
        <v>3.0000000000000001E-5</v>
      </c>
      <c r="H73" s="35" t="s">
        <v>28</v>
      </c>
      <c r="I73" s="35" t="s">
        <v>62</v>
      </c>
      <c r="J73" s="11">
        <f>F73*SIN((L130*PI()/180)-(L129*PI()/180)+(2*L131*PI()/180))</f>
        <v>-2.9914827010507661E-5</v>
      </c>
      <c r="K73" s="11">
        <f>G73*SIN((L130*PI()/180)-(P129*PI()/180)+(2*L131*PI()/180))</f>
        <v>-5.8891994060995789E-6</v>
      </c>
    </row>
    <row r="74" spans="6:11" ht="15.75">
      <c r="F74" s="22">
        <v>-2.0000000000000002E-5</v>
      </c>
      <c r="G74" s="35">
        <v>-2.0000000000000002E-5</v>
      </c>
      <c r="H74" s="35" t="s">
        <v>28</v>
      </c>
      <c r="I74" s="35" t="s">
        <v>63</v>
      </c>
      <c r="J74" s="11">
        <f>F74*SIN((L130*PI()/180)-(L129*PI()/180)-(2*L131*PI()/180))</f>
        <v>1.0817325969667162E-5</v>
      </c>
      <c r="K74" s="11">
        <f>G74*SIN((L130*PI()/180)-(P129*PI()/180)-(2*L131*PI()/180))</f>
        <v>-1.3283176794124379E-5</v>
      </c>
    </row>
    <row r="75" spans="6:11" ht="15.75">
      <c r="F75" s="22">
        <v>-2.0000000000000002E-5</v>
      </c>
      <c r="G75" s="35">
        <v>-2.0000000000000002E-5</v>
      </c>
      <c r="H75" s="35" t="s">
        <v>28</v>
      </c>
      <c r="I75" s="35" t="s">
        <v>64</v>
      </c>
      <c r="J75" s="11">
        <f>F75*SIN((3*L130*PI()/180)+(L129*PI()/180))</f>
        <v>-1.735433752726098E-5</v>
      </c>
      <c r="K75" s="11">
        <f>G75*SIN((3*L130*PI()/180)+(L129*PI()/180))</f>
        <v>-1.735433752726098E-5</v>
      </c>
    </row>
    <row r="76" spans="6:11" ht="15.75">
      <c r="F76" s="22">
        <v>2.0000000000000002E-5</v>
      </c>
      <c r="G76" s="35">
        <v>2.0000000000000002E-5</v>
      </c>
      <c r="H76" s="35" t="s">
        <v>28</v>
      </c>
      <c r="I76" s="35" t="s">
        <v>65</v>
      </c>
      <c r="J76" s="11">
        <f>F76*SIN(4*L129*PI()/180)</f>
        <v>-1.7749583581585436E-5</v>
      </c>
      <c r="K76" s="11">
        <f>G76*SIN(4*L129*PI()/180)</f>
        <v>-1.7749583581585436E-5</v>
      </c>
    </row>
    <row r="77" spans="6:11" ht="19.5" thickBot="1">
      <c r="F77" s="38"/>
      <c r="G77" s="17"/>
      <c r="H77" s="79"/>
      <c r="I77" s="17"/>
      <c r="J77" s="42">
        <f>SUM(J52:J76)</f>
        <v>5.3065016758656429E-2</v>
      </c>
      <c r="K77" s="42">
        <f>SUM(K52:K76)</f>
        <v>0.16575356612528938</v>
      </c>
    </row>
    <row r="79" spans="6:11" ht="21.75" thickBot="1">
      <c r="F79" s="26" t="s">
        <v>140</v>
      </c>
      <c r="G79" s="28"/>
    </row>
    <row r="80" spans="6:11" ht="15.75">
      <c r="F80" s="20">
        <v>-0.62800999999999996</v>
      </c>
      <c r="G80" s="21" t="s">
        <v>28</v>
      </c>
      <c r="H80" s="78" t="s">
        <v>66</v>
      </c>
      <c r="I80" s="14">
        <f>F80*SIN(PI()*L130/180)</f>
        <v>-0.16411136384710251</v>
      </c>
    </row>
    <row r="81" spans="6:9" ht="15.75">
      <c r="F81" s="22" t="s">
        <v>67</v>
      </c>
      <c r="G81" s="13" t="s">
        <v>28</v>
      </c>
      <c r="H81" s="35" t="s">
        <v>32</v>
      </c>
      <c r="I81" s="16">
        <f>0.171172*L134*SIN(PI()*L129/180)</f>
        <v>0.16477158904539449</v>
      </c>
    </row>
    <row r="82" spans="6:9" ht="15.75">
      <c r="F82" s="22" t="s">
        <v>68</v>
      </c>
      <c r="G82" s="13" t="s">
        <v>28</v>
      </c>
      <c r="H82" s="35" t="s">
        <v>69</v>
      </c>
      <c r="I82" s="16">
        <f>-0.01183*L134*SIN((PI()*L130/180)+PI()*L129/180)</f>
        <v>-1.1825039335617904E-2</v>
      </c>
    </row>
    <row r="83" spans="6:9" ht="15.75">
      <c r="F83" s="22">
        <v>8.6199999999999992E-3</v>
      </c>
      <c r="G83" s="13" t="s">
        <v>28</v>
      </c>
      <c r="H83" s="35" t="s">
        <v>70</v>
      </c>
      <c r="I83" s="16">
        <f>0.00862*SIN(2*PI()*L130/180)</f>
        <v>4.3486074837237078E-3</v>
      </c>
    </row>
    <row r="84" spans="6:9" ht="15.75">
      <c r="F84" s="22">
        <v>8.0400000000000003E-3</v>
      </c>
      <c r="G84" s="13" t="s">
        <v>28</v>
      </c>
      <c r="H84" s="35" t="s">
        <v>34</v>
      </c>
      <c r="I84" s="16">
        <f>0.00804*SIN(2*PI()*L131/180)</f>
        <v>-3.5835928097602541E-3</v>
      </c>
    </row>
    <row r="85" spans="6:9" ht="15.75">
      <c r="F85" s="22" t="s">
        <v>71</v>
      </c>
      <c r="G85" s="13" t="s">
        <v>28</v>
      </c>
      <c r="H85" s="35" t="s">
        <v>72</v>
      </c>
      <c r="I85" s="16">
        <f>0.00454*L134*SIN((PI()*L130/180)-PI()*L129/180)</f>
        <v>-3.8986756140700568E-3</v>
      </c>
    </row>
    <row r="86" spans="6:9" ht="18">
      <c r="F86" s="22" t="s">
        <v>73</v>
      </c>
      <c r="G86" s="13" t="s">
        <v>28</v>
      </c>
      <c r="H86" s="35" t="s">
        <v>43</v>
      </c>
      <c r="I86" s="16">
        <f>0.00204*L134*L134*SIN(2*PI()*L129/180)</f>
        <v>1.0583723101754783E-3</v>
      </c>
    </row>
    <row r="87" spans="6:9" ht="15.75">
      <c r="F87" s="22">
        <v>-1.8E-3</v>
      </c>
      <c r="G87" s="13" t="s">
        <v>28</v>
      </c>
      <c r="H87" s="35" t="s">
        <v>74</v>
      </c>
      <c r="I87" s="16">
        <f>-0.0018*SIN((PI()*L130/180)-2*PI()*L131/180)</f>
        <v>-1.1954859114711939E-3</v>
      </c>
    </row>
    <row r="88" spans="6:9" ht="15.75">
      <c r="F88" s="22">
        <v>-6.9999999999999999E-4</v>
      </c>
      <c r="G88" s="13" t="s">
        <v>28</v>
      </c>
      <c r="H88" s="35" t="s">
        <v>75</v>
      </c>
      <c r="I88" s="16">
        <f>-0.0007*SIN((PI()*L130/180)+2*PI()*L131/180)</f>
        <v>1.3741465280899017E-4</v>
      </c>
    </row>
    <row r="89" spans="6:9" ht="15.75">
      <c r="F89" s="22">
        <v>-4.0000000000000002E-4</v>
      </c>
      <c r="G89" s="13" t="s">
        <v>28</v>
      </c>
      <c r="H89" s="35" t="s">
        <v>58</v>
      </c>
      <c r="I89" s="16">
        <f>-0.0004*SIN(3*PI()*L129/180)</f>
        <v>2.7321453710938597E-4</v>
      </c>
    </row>
    <row r="90" spans="6:9" ht="15.75">
      <c r="F90" s="22" t="s">
        <v>76</v>
      </c>
      <c r="G90" s="13" t="s">
        <v>28</v>
      </c>
      <c r="H90" s="35" t="s">
        <v>77</v>
      </c>
      <c r="I90" s="16">
        <f>-0.00034*L134*SIN((2*L130*PI()/180)-PI()*L129/180)</f>
        <v>2.3636512520608995E-4</v>
      </c>
    </row>
    <row r="91" spans="6:9" ht="15.75">
      <c r="F91" s="22" t="s">
        <v>78</v>
      </c>
      <c r="G91" s="13" t="s">
        <v>28</v>
      </c>
      <c r="H91" s="35" t="s">
        <v>50</v>
      </c>
      <c r="I91" s="16">
        <f>0.00032*L134*SIN(PI()*L129/180+2*PI()*L131/180)</f>
        <v>2.3730778271932146E-4</v>
      </c>
    </row>
    <row r="92" spans="6:9" ht="15.75">
      <c r="F92" s="22" t="s">
        <v>78</v>
      </c>
      <c r="G92" s="13" t="s">
        <v>28</v>
      </c>
      <c r="H92" s="35" t="s">
        <v>79</v>
      </c>
      <c r="I92" s="16">
        <f>0.00032*L134*SIN(PI()*L129/180-2*PI()*L131/180)</f>
        <v>3.1418033185477294E-4</v>
      </c>
    </row>
    <row r="93" spans="6:9" ht="18">
      <c r="F93" s="22" t="s">
        <v>80</v>
      </c>
      <c r="G93" s="13" t="s">
        <v>28</v>
      </c>
      <c r="H93" s="35" t="s">
        <v>81</v>
      </c>
      <c r="I93" s="16">
        <f>-0.00028*L134*L134*SIN(PI()*L130/180+PI()*2*L129/180)</f>
        <v>-7.7732742589720706E-5</v>
      </c>
    </row>
    <row r="94" spans="6:9" ht="15.75">
      <c r="F94" s="22" t="s">
        <v>82</v>
      </c>
      <c r="G94" s="13" t="s">
        <v>28</v>
      </c>
      <c r="H94" s="35" t="s">
        <v>83</v>
      </c>
      <c r="I94" s="16">
        <f>0.00027*L134*SIN(PI()*2*L130/180+PI()*L129/180)</f>
        <v>2.6111343781925247E-4</v>
      </c>
    </row>
    <row r="95" spans="6:9" ht="15.75">
      <c r="F95" s="22">
        <v>-1.7000000000000001E-4</v>
      </c>
      <c r="G95" s="13" t="s">
        <v>28</v>
      </c>
      <c r="H95" s="35" t="s">
        <v>55</v>
      </c>
      <c r="I95" s="16">
        <f>-0.00017*SIN(PI()*L132/180)</f>
        <v>3.182147336357679E-5</v>
      </c>
    </row>
    <row r="96" spans="6:9" ht="15.75">
      <c r="F96" s="22">
        <v>-5.0000000000000002E-5</v>
      </c>
      <c r="G96" s="13" t="s">
        <v>28</v>
      </c>
      <c r="H96" s="35" t="s">
        <v>84</v>
      </c>
      <c r="I96" s="16">
        <f>-0.00005*SIN((PI()*L130/180)-(PI()*L129/180)-(2*L131*PI()/180))</f>
        <v>2.7043314924167905E-5</v>
      </c>
    </row>
    <row r="97" spans="6:15" ht="15.75">
      <c r="F97" s="22">
        <v>4.0000000000000003E-5</v>
      </c>
      <c r="G97" s="13" t="s">
        <v>28</v>
      </c>
      <c r="H97" s="35" t="s">
        <v>85</v>
      </c>
      <c r="I97" s="16">
        <f>0.00004*SIN((2*L130*PI()/180)+(2*L131*PI()/180))</f>
        <v>2.6699843200420672E-6</v>
      </c>
    </row>
    <row r="98" spans="6:15" ht="15.75">
      <c r="F98" s="22">
        <v>-4.0000000000000003E-5</v>
      </c>
      <c r="G98" s="13" t="s">
        <v>28</v>
      </c>
      <c r="H98" s="35" t="s">
        <v>86</v>
      </c>
      <c r="I98" s="16">
        <f>-0.00004*SIN((PI()*L130/180)+(PI()*L129/180)+(2*L131*PI()/180))</f>
        <v>-3.565273791209743E-5</v>
      </c>
    </row>
    <row r="99" spans="6:15" ht="15.75">
      <c r="F99" s="22">
        <v>4.0000000000000003E-5</v>
      </c>
      <c r="G99" s="13" t="s">
        <v>28</v>
      </c>
      <c r="H99" s="35" t="s">
        <v>87</v>
      </c>
      <c r="I99" s="16">
        <f>0.00004*SIN((L130*PI()/180)-(2*L129*PI()/180))</f>
        <v>-2.8980094732066118E-5</v>
      </c>
    </row>
    <row r="100" spans="6:15" ht="15.75">
      <c r="F100" s="22">
        <v>3.0000000000000001E-5</v>
      </c>
      <c r="G100" s="13" t="s">
        <v>28</v>
      </c>
      <c r="H100" s="35" t="s">
        <v>88</v>
      </c>
      <c r="I100" s="16">
        <f>0.00003*SIN((L130*PI()/180)+(L129*PI()/180)-(2*PI()*L131/180))</f>
        <v>2.6968804075140665E-5</v>
      </c>
    </row>
    <row r="101" spans="6:15" ht="15.75">
      <c r="F101" s="22">
        <v>3.0000000000000001E-5</v>
      </c>
      <c r="G101" s="13" t="s">
        <v>28</v>
      </c>
      <c r="H101" s="35" t="s">
        <v>58</v>
      </c>
      <c r="I101" s="16">
        <f>0.00003*SIN(3*L129*PI()/180)</f>
        <v>-2.0491090283203948E-5</v>
      </c>
    </row>
    <row r="102" spans="6:15" ht="15.75">
      <c r="F102" s="22">
        <v>2.0000000000000002E-5</v>
      </c>
      <c r="G102" s="13" t="s">
        <v>28</v>
      </c>
      <c r="H102" s="35" t="s">
        <v>89</v>
      </c>
      <c r="I102" s="16">
        <f>0.00002*SIN((2*L130*PI()/180)-(2*L131*PI()/180))</f>
        <v>1.6728824330580822E-5</v>
      </c>
      <c r="L102" s="7"/>
      <c r="M102" s="7" t="s">
        <v>126</v>
      </c>
    </row>
    <row r="103" spans="6:15" ht="16.5" thickBot="1">
      <c r="F103" s="23">
        <v>2.0000000000000002E-5</v>
      </c>
      <c r="G103" s="24" t="s">
        <v>28</v>
      </c>
      <c r="H103" s="80" t="s">
        <v>90</v>
      </c>
      <c r="I103" s="25">
        <f>0.00002*SIN((L130*PI()/180)-(L129*PI()/180)+(2*L131*PI()/180))</f>
        <v>-1.994321800700511E-5</v>
      </c>
      <c r="K103" s="1"/>
    </row>
    <row r="104" spans="6:15" ht="16.5" thickBot="1">
      <c r="F104" s="9">
        <v>-2.0000000000000002E-5</v>
      </c>
      <c r="G104" s="4" t="s">
        <v>28</v>
      </c>
      <c r="H104" s="81" t="s">
        <v>91</v>
      </c>
      <c r="I104">
        <f>-0.00002*SIN((3*L130*PI()/180)+(L129*PI()/180))</f>
        <v>-1.735433752726098E-5</v>
      </c>
      <c r="M104" s="1" t="s">
        <v>127</v>
      </c>
    </row>
    <row r="105" spans="6:15" ht="26.25">
      <c r="F105" s="1"/>
      <c r="I105" s="10">
        <f>SUM(I80:I104)</f>
        <v>-1.3070914631248275E-2</v>
      </c>
      <c r="K105" s="1"/>
    </row>
    <row r="106" spans="6:15" ht="15.75">
      <c r="F106" s="1"/>
      <c r="I106" t="s">
        <v>132</v>
      </c>
      <c r="L106" s="1"/>
    </row>
    <row r="107" spans="6:15" ht="15.75">
      <c r="F107" s="30" t="s">
        <v>92</v>
      </c>
    </row>
    <row r="108" spans="6:15" ht="15.75">
      <c r="F108" s="1"/>
    </row>
    <row r="109" spans="6:15" ht="15.75">
      <c r="F109" s="19" t="s">
        <v>142</v>
      </c>
      <c r="G109" s="29"/>
      <c r="H109" s="82"/>
      <c r="I109" s="29"/>
      <c r="J109" s="29"/>
    </row>
    <row r="110" spans="6:15" ht="15.75">
      <c r="F110" s="1"/>
      <c r="J110" t="s">
        <v>129</v>
      </c>
    </row>
    <row r="111" spans="6:15" ht="18">
      <c r="F111" s="1" t="s">
        <v>2</v>
      </c>
    </row>
    <row r="112" spans="6:15" ht="15.75">
      <c r="F112" s="1"/>
      <c r="L112">
        <v>1</v>
      </c>
      <c r="M112">
        <v>31</v>
      </c>
      <c r="N112">
        <v>31</v>
      </c>
      <c r="O112">
        <f>N112-15</f>
        <v>16</v>
      </c>
    </row>
    <row r="113" spans="6:15" ht="15.75">
      <c r="F113" s="1" t="s">
        <v>93</v>
      </c>
      <c r="L113">
        <v>2</v>
      </c>
      <c r="M113">
        <v>28</v>
      </c>
      <c r="N113">
        <f>N112+(M113)</f>
        <v>59</v>
      </c>
      <c r="O113">
        <f t="shared" ref="O113:O123" si="3">N113-15</f>
        <v>44</v>
      </c>
    </row>
    <row r="114" spans="6:15" ht="15.75">
      <c r="F114" s="1"/>
      <c r="L114">
        <v>3</v>
      </c>
      <c r="M114">
        <v>31</v>
      </c>
      <c r="N114">
        <f t="shared" ref="N114:N123" si="4">N113+(M114)</f>
        <v>90</v>
      </c>
      <c r="O114">
        <f t="shared" si="3"/>
        <v>75</v>
      </c>
    </row>
    <row r="115" spans="6:15" ht="15.75">
      <c r="F115" s="19" t="s">
        <v>94</v>
      </c>
      <c r="L115">
        <v>4</v>
      </c>
      <c r="M115">
        <v>30</v>
      </c>
      <c r="N115">
        <f t="shared" si="4"/>
        <v>120</v>
      </c>
      <c r="O115">
        <f t="shared" si="3"/>
        <v>105</v>
      </c>
    </row>
    <row r="116" spans="6:15" ht="15.75">
      <c r="F116" s="19" t="s">
        <v>95</v>
      </c>
      <c r="L116">
        <v>5</v>
      </c>
      <c r="M116">
        <v>31</v>
      </c>
      <c r="N116">
        <f t="shared" si="4"/>
        <v>151</v>
      </c>
      <c r="O116">
        <f t="shared" si="3"/>
        <v>136</v>
      </c>
    </row>
    <row r="117" spans="6:15" ht="15.75">
      <c r="F117" s="1"/>
      <c r="L117">
        <v>6</v>
      </c>
      <c r="M117">
        <v>30</v>
      </c>
      <c r="N117">
        <f t="shared" si="4"/>
        <v>181</v>
      </c>
      <c r="O117">
        <f t="shared" si="3"/>
        <v>166</v>
      </c>
    </row>
    <row r="118" spans="6:15" ht="15.75">
      <c r="F118" s="1" t="s">
        <v>96</v>
      </c>
      <c r="L118">
        <v>7</v>
      </c>
      <c r="M118">
        <v>31</v>
      </c>
      <c r="N118">
        <f t="shared" si="4"/>
        <v>212</v>
      </c>
      <c r="O118">
        <f t="shared" si="3"/>
        <v>197</v>
      </c>
    </row>
    <row r="119" spans="6:15" ht="16.5" thickBot="1">
      <c r="F119" s="1"/>
      <c r="L119">
        <v>8</v>
      </c>
      <c r="M119">
        <v>31</v>
      </c>
      <c r="N119">
        <f t="shared" si="4"/>
        <v>243</v>
      </c>
      <c r="O119">
        <f t="shared" si="3"/>
        <v>228</v>
      </c>
    </row>
    <row r="120" spans="6:15" ht="19.5" thickBot="1">
      <c r="F120" s="5" t="s">
        <v>97</v>
      </c>
      <c r="G120" s="6" t="s">
        <v>28</v>
      </c>
      <c r="H120" s="83" t="s">
        <v>98</v>
      </c>
      <c r="I120" s="6" t="s">
        <v>99</v>
      </c>
      <c r="J120" s="6" t="s">
        <v>28</v>
      </c>
      <c r="K120" s="6" t="s">
        <v>100</v>
      </c>
      <c r="L120">
        <v>9</v>
      </c>
      <c r="M120">
        <v>30</v>
      </c>
      <c r="N120">
        <f t="shared" si="4"/>
        <v>273</v>
      </c>
      <c r="O120">
        <f t="shared" si="3"/>
        <v>258</v>
      </c>
    </row>
    <row r="121" spans="6:15" ht="19.5" thickBot="1">
      <c r="F121" s="3" t="s">
        <v>101</v>
      </c>
      <c r="G121" s="4" t="s">
        <v>28</v>
      </c>
      <c r="H121" s="81" t="s">
        <v>102</v>
      </c>
      <c r="I121" s="4" t="s">
        <v>103</v>
      </c>
      <c r="J121" s="4" t="s">
        <v>28</v>
      </c>
      <c r="K121" s="4" t="s">
        <v>104</v>
      </c>
      <c r="L121">
        <v>10</v>
      </c>
      <c r="M121">
        <v>31</v>
      </c>
      <c r="N121">
        <f t="shared" si="4"/>
        <v>304</v>
      </c>
      <c r="O121">
        <f t="shared" si="3"/>
        <v>289</v>
      </c>
    </row>
    <row r="122" spans="6:15" ht="19.5" thickBot="1">
      <c r="F122" s="3" t="s">
        <v>105</v>
      </c>
      <c r="G122" s="4" t="s">
        <v>28</v>
      </c>
      <c r="H122" s="81" t="s">
        <v>106</v>
      </c>
      <c r="I122" s="4" t="s">
        <v>107</v>
      </c>
      <c r="J122" s="4" t="s">
        <v>28</v>
      </c>
      <c r="K122" s="4" t="s">
        <v>108</v>
      </c>
      <c r="L122">
        <v>11</v>
      </c>
      <c r="M122">
        <v>30</v>
      </c>
      <c r="N122">
        <f t="shared" si="4"/>
        <v>334</v>
      </c>
      <c r="O122">
        <f t="shared" si="3"/>
        <v>319</v>
      </c>
    </row>
    <row r="123" spans="6:15" ht="19.5" thickBot="1">
      <c r="F123" s="3" t="s">
        <v>109</v>
      </c>
      <c r="G123" s="4" t="s">
        <v>28</v>
      </c>
      <c r="H123" s="81" t="s">
        <v>110</v>
      </c>
      <c r="I123" s="4" t="s">
        <v>111</v>
      </c>
      <c r="J123" s="4" t="s">
        <v>28</v>
      </c>
      <c r="K123" s="4" t="s">
        <v>112</v>
      </c>
      <c r="L123">
        <v>12</v>
      </c>
      <c r="M123">
        <v>31</v>
      </c>
      <c r="N123">
        <f t="shared" si="4"/>
        <v>365</v>
      </c>
      <c r="O123">
        <f t="shared" si="3"/>
        <v>350</v>
      </c>
    </row>
    <row r="124" spans="6:15" ht="19.5" thickBot="1">
      <c r="F124" s="3" t="s">
        <v>113</v>
      </c>
      <c r="G124" s="4" t="s">
        <v>28</v>
      </c>
      <c r="H124" s="81" t="s">
        <v>114</v>
      </c>
      <c r="I124" s="4" t="s">
        <v>115</v>
      </c>
      <c r="J124" s="4" t="s">
        <v>28</v>
      </c>
      <c r="K124" s="4" t="s">
        <v>116</v>
      </c>
      <c r="M124">
        <f>SUM(M112:M123)</f>
        <v>365</v>
      </c>
    </row>
    <row r="125" spans="6:15" ht="19.5" thickBot="1">
      <c r="F125" s="3" t="s">
        <v>117</v>
      </c>
      <c r="G125" s="4" t="s">
        <v>28</v>
      </c>
      <c r="H125" s="81" t="s">
        <v>118</v>
      </c>
      <c r="I125" s="4" t="s">
        <v>119</v>
      </c>
      <c r="J125" s="4" t="s">
        <v>28</v>
      </c>
      <c r="K125" s="4" t="s">
        <v>120</v>
      </c>
    </row>
    <row r="126" spans="6:15" ht="19.5" thickBot="1">
      <c r="F126" s="3" t="s">
        <v>121</v>
      </c>
      <c r="G126" s="4" t="s">
        <v>28</v>
      </c>
      <c r="H126" s="81" t="s">
        <v>122</v>
      </c>
      <c r="I126" s="4" t="s">
        <v>123</v>
      </c>
      <c r="J126" s="4" t="s">
        <v>28</v>
      </c>
      <c r="K126" s="4" t="s">
        <v>124</v>
      </c>
    </row>
    <row r="127" spans="6:15" ht="15.75">
      <c r="F127" s="1"/>
    </row>
    <row r="128" spans="6:15" ht="15.75">
      <c r="F128" s="1"/>
      <c r="I128" t="s">
        <v>150</v>
      </c>
      <c r="K128" s="32"/>
    </row>
    <row r="129" spans="6:14" ht="18.75">
      <c r="F129" s="1" t="s">
        <v>147</v>
      </c>
      <c r="I129" s="84">
        <f>J132+J129</f>
        <v>2015.2290410958904</v>
      </c>
      <c r="J129">
        <f>(L140/365)*1.1</f>
        <v>0.229041095890411</v>
      </c>
      <c r="K129" s="33" t="s">
        <v>136</v>
      </c>
      <c r="L129">
        <f>2.5534+29.10535669*H131-0.0000218*G132^2-0.00000011*G132^3</f>
        <v>5474.3604572159529</v>
      </c>
    </row>
    <row r="130" spans="6:14" ht="18.75">
      <c r="F130" s="1"/>
      <c r="K130" s="33" t="s">
        <v>137</v>
      </c>
      <c r="L130">
        <f>201.5643+385.81693528*H131+0.0107438*G132^2+0.00001239*G132^3-0.000000058*G132^4</f>
        <v>72735.14838090507</v>
      </c>
    </row>
    <row r="131" spans="6:14" ht="21">
      <c r="F131" s="39" t="s">
        <v>125</v>
      </c>
      <c r="G131" s="40">
        <f>(I129-2000)*12.3685</f>
        <v>188.36039479451981</v>
      </c>
      <c r="H131" s="68">
        <f>INT(G131)</f>
        <v>188</v>
      </c>
      <c r="K131" s="33" t="s">
        <v>138</v>
      </c>
      <c r="L131">
        <f>160.7108+390.67050274*H131-0.0016341*G132^2-0.00000227*G132^3+0.000000011*G132^4</f>
        <v>73606.765277358267</v>
      </c>
    </row>
    <row r="132" spans="6:14" ht="21">
      <c r="F132" s="39" t="s">
        <v>126</v>
      </c>
      <c r="G132" s="40">
        <f>H131/1236.85</f>
        <v>0.15199902979342686</v>
      </c>
      <c r="I132" t="s">
        <v>149</v>
      </c>
      <c r="J132" s="8">
        <f>I3</f>
        <v>2015</v>
      </c>
      <c r="K132" s="33" t="s">
        <v>139</v>
      </c>
      <c r="L132">
        <f>124.7746-1.5637558*H131+0.0020691*G132^2+0.00000215*G132^3</f>
        <v>-169.21144258857362</v>
      </c>
    </row>
    <row r="133" spans="6:14" ht="23.25">
      <c r="F133" s="39" t="s">
        <v>128</v>
      </c>
      <c r="G133" s="40">
        <f>2451550.09765+29.530588853*H131+0.0001337*G132^2-0.00000015*G132^3+0.00000000073*G132^4</f>
        <v>2457101.8483574525</v>
      </c>
      <c r="I133" t="s">
        <v>148</v>
      </c>
      <c r="J133">
        <f>J3</f>
        <v>3</v>
      </c>
      <c r="K133" s="33" t="s">
        <v>129</v>
      </c>
      <c r="L133">
        <f>0.00306-0.00038*L134*COS(PI()*L129/180)+0.00026*COS(PI()*L130/180)</f>
        <v>3.2085626920793095E-3</v>
      </c>
      <c r="M133">
        <f>0.00002*COS((PI()*L130/180)-PI()*L129/180)+0.00002*COS((PI()*L130/180)+PI()*L129/180)+0.00002*COS(PI()*2*L131/180)</f>
        <v>2.8312125583483583E-5</v>
      </c>
      <c r="N133" s="27">
        <f>L133+M133</f>
        <v>3.2368748176627932E-3</v>
      </c>
    </row>
    <row r="134" spans="6:14" ht="18.75">
      <c r="K134" s="33" t="s">
        <v>143</v>
      </c>
      <c r="L134" s="31">
        <f>1-0.002516*G132-0.0000074*G132^2</f>
        <v>0.99961739947362227</v>
      </c>
    </row>
    <row r="135" spans="6:14" ht="18.75">
      <c r="K135" s="34"/>
    </row>
    <row r="136" spans="6:14" ht="21">
      <c r="F136" s="39" t="s">
        <v>144</v>
      </c>
      <c r="G136" s="41">
        <f>G133+J77+M42</f>
        <v>2457101.900819269</v>
      </c>
      <c r="I136" s="1">
        <v>2457810.7506944444</v>
      </c>
    </row>
    <row r="137" spans="6:14" ht="21">
      <c r="F137" s="112"/>
      <c r="G137" s="111"/>
    </row>
    <row r="138" spans="6:14" ht="21">
      <c r="F138" s="112"/>
    </row>
    <row r="139" spans="6:14" ht="21">
      <c r="F139" s="112"/>
    </row>
    <row r="140" spans="6:14">
      <c r="H140">
        <f>J133</f>
        <v>3</v>
      </c>
      <c r="I140">
        <v>31</v>
      </c>
      <c r="J140">
        <v>31</v>
      </c>
      <c r="K140">
        <f>(J140-15)+1</f>
        <v>17</v>
      </c>
      <c r="L140">
        <f>IF(H140=1,K140,IF(H140=2,K141,IF(H140=3,K142,IF(H140=4,K143,IF(H140=5,K144,IF(H140=6,K145,IF(H140=7,K146,IF(H140=8,K147,IF(H140=9,K148,IF(H140=10,K149,IF(H140=11,K150,IF(H140=12,K151,0))))))))))))</f>
        <v>76</v>
      </c>
    </row>
    <row r="141" spans="6:14">
      <c r="H141"/>
      <c r="I141">
        <v>28</v>
      </c>
      <c r="J141">
        <f>J140+(I141)</f>
        <v>59</v>
      </c>
      <c r="K141">
        <f t="shared" ref="K141:K151" si="5">(J141-15)+1</f>
        <v>45</v>
      </c>
    </row>
    <row r="142" spans="6:14">
      <c r="H142"/>
      <c r="I142">
        <v>31</v>
      </c>
      <c r="J142">
        <f t="shared" ref="J142:J151" si="6">J141+(I142)</f>
        <v>90</v>
      </c>
      <c r="K142">
        <f t="shared" si="5"/>
        <v>76</v>
      </c>
    </row>
    <row r="143" spans="6:14">
      <c r="H143"/>
      <c r="I143">
        <v>30</v>
      </c>
      <c r="J143">
        <f t="shared" si="6"/>
        <v>120</v>
      </c>
      <c r="K143">
        <f t="shared" si="5"/>
        <v>106</v>
      </c>
    </row>
    <row r="144" spans="6:14">
      <c r="H144"/>
      <c r="I144">
        <v>31</v>
      </c>
      <c r="J144">
        <f t="shared" si="6"/>
        <v>151</v>
      </c>
      <c r="K144">
        <f t="shared" si="5"/>
        <v>137</v>
      </c>
    </row>
    <row r="145" spans="8:11">
      <c r="H145"/>
      <c r="I145">
        <v>30</v>
      </c>
      <c r="J145">
        <f t="shared" si="6"/>
        <v>181</v>
      </c>
      <c r="K145">
        <f t="shared" si="5"/>
        <v>167</v>
      </c>
    </row>
    <row r="146" spans="8:11">
      <c r="H146"/>
      <c r="I146">
        <v>31</v>
      </c>
      <c r="J146">
        <f t="shared" si="6"/>
        <v>212</v>
      </c>
      <c r="K146">
        <f t="shared" si="5"/>
        <v>198</v>
      </c>
    </row>
    <row r="147" spans="8:11">
      <c r="H147"/>
      <c r="I147">
        <v>31</v>
      </c>
      <c r="J147">
        <f t="shared" si="6"/>
        <v>243</v>
      </c>
      <c r="K147">
        <f t="shared" si="5"/>
        <v>229</v>
      </c>
    </row>
    <row r="148" spans="8:11">
      <c r="H148"/>
      <c r="I148">
        <v>30</v>
      </c>
      <c r="J148">
        <f t="shared" si="6"/>
        <v>273</v>
      </c>
      <c r="K148">
        <f t="shared" si="5"/>
        <v>259</v>
      </c>
    </row>
    <row r="149" spans="8:11">
      <c r="H149"/>
      <c r="I149">
        <v>31</v>
      </c>
      <c r="J149">
        <f t="shared" si="6"/>
        <v>304</v>
      </c>
      <c r="K149">
        <f t="shared" si="5"/>
        <v>290</v>
      </c>
    </row>
    <row r="150" spans="8:11">
      <c r="H150"/>
      <c r="I150">
        <v>30</v>
      </c>
      <c r="J150">
        <f t="shared" si="6"/>
        <v>334</v>
      </c>
      <c r="K150">
        <f t="shared" si="5"/>
        <v>320</v>
      </c>
    </row>
    <row r="151" spans="8:11">
      <c r="H151"/>
      <c r="I151">
        <v>31</v>
      </c>
      <c r="J151">
        <f t="shared" si="6"/>
        <v>365</v>
      </c>
      <c r="K151">
        <f t="shared" si="5"/>
        <v>351</v>
      </c>
    </row>
    <row r="152" spans="8:11">
      <c r="H152"/>
      <c r="I152">
        <f>SUM(I140:I151)</f>
        <v>365</v>
      </c>
    </row>
  </sheetData>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dimension ref="B6:F12"/>
  <sheetViews>
    <sheetView topLeftCell="A2" workbookViewId="0">
      <selection activeCell="C12" sqref="C12"/>
    </sheetView>
  </sheetViews>
  <sheetFormatPr defaultRowHeight="15"/>
  <cols>
    <col min="2" max="2" width="15.140625" customWidth="1"/>
    <col min="3" max="3" width="22.7109375" customWidth="1"/>
    <col min="6" max="6" width="17.5703125" customWidth="1"/>
  </cols>
  <sheetData>
    <row r="6" spans="2:6" ht="23.25">
      <c r="B6" s="178" t="s">
        <v>338</v>
      </c>
      <c r="C6" s="179">
        <f>-15+0.00325*(MEEUS!$E$3-1810)^2</f>
        <v>121.58124999999998</v>
      </c>
    </row>
    <row r="7" spans="2:6" ht="23.25">
      <c r="B7" s="178"/>
      <c r="C7" s="179"/>
    </row>
    <row r="8" spans="2:6" ht="23.25">
      <c r="B8" s="178" t="s">
        <v>152</v>
      </c>
      <c r="C8" s="179">
        <f>(MEEUS!$E$12-2451545)/36525</f>
        <v>0.15210130047912387</v>
      </c>
    </row>
    <row r="9" spans="2:6" ht="23.25">
      <c r="B9" s="178"/>
      <c r="C9" s="179"/>
    </row>
    <row r="10" spans="2:6" ht="23.25">
      <c r="B10" s="178" t="s">
        <v>339</v>
      </c>
      <c r="C10" s="179">
        <f>102.3+123.5*C8+32.5*C8*C8</f>
        <v>121.83639179141362</v>
      </c>
      <c r="F10">
        <f>((C6+C10+C12)/3)/(3600*24)</f>
        <v>1.4092484961064022E-3</v>
      </c>
    </row>
    <row r="11" spans="2:6" ht="23.25">
      <c r="B11" s="178"/>
      <c r="C11" s="179"/>
    </row>
    <row r="12" spans="2:6" ht="23.25">
      <c r="B12" s="178" t="s">
        <v>338</v>
      </c>
      <c r="C12" s="179">
        <f>-15+(MEEUS!$E$12-2382148)^2/41048480</f>
        <v>121.85956839936583</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C7:K89"/>
  <sheetViews>
    <sheetView topLeftCell="B1" zoomScale="90" zoomScaleNormal="90" workbookViewId="0">
      <selection activeCell="E89" sqref="E89"/>
    </sheetView>
  </sheetViews>
  <sheetFormatPr defaultRowHeight="15"/>
  <cols>
    <col min="3" max="3" width="16.7109375" customWidth="1"/>
    <col min="4" max="4" width="13.7109375" bestFit="1" customWidth="1"/>
    <col min="5" max="5" width="58.7109375" customWidth="1"/>
    <col min="7" max="7" width="13" customWidth="1"/>
    <col min="8" max="8" width="13.28515625" customWidth="1"/>
    <col min="9" max="9" width="14.28515625" customWidth="1"/>
    <col min="10" max="10" width="21.28515625" customWidth="1"/>
    <col min="11" max="11" width="50.7109375" customWidth="1"/>
  </cols>
  <sheetData>
    <row r="7" spans="3:11">
      <c r="C7" t="s">
        <v>152</v>
      </c>
      <c r="D7">
        <f>'Moon new'!G132</f>
        <v>0.15199902979342686</v>
      </c>
    </row>
    <row r="8" spans="3:11">
      <c r="C8" t="s">
        <v>300</v>
      </c>
      <c r="D8" s="125">
        <f>'Moon new'!G133</f>
        <v>2457101.8483574525</v>
      </c>
    </row>
    <row r="9" spans="3:11">
      <c r="C9" t="str">
        <f>'Moon new'!K129</f>
        <v>M=</v>
      </c>
      <c r="D9">
        <f>'Moon new'!L129</f>
        <v>5474.3604572159529</v>
      </c>
      <c r="E9">
        <f>MOD(D9,360)</f>
        <v>74.36045721595292</v>
      </c>
    </row>
    <row r="10" spans="3:11">
      <c r="C10" t="str">
        <f>'Moon new'!K130</f>
        <v>M"=</v>
      </c>
      <c r="D10">
        <f>'Moon new'!L130</f>
        <v>72735.14838090507</v>
      </c>
      <c r="E10">
        <f t="shared" ref="E10:E12" si="0">MOD(D10,360)</f>
        <v>15.148380905069644</v>
      </c>
    </row>
    <row r="11" spans="3:11" ht="31.9" customHeight="1">
      <c r="C11" t="str">
        <f>'Moon new'!K131</f>
        <v>F=</v>
      </c>
      <c r="D11">
        <f>'Moon new'!L131</f>
        <v>73606.765277358267</v>
      </c>
      <c r="E11">
        <f t="shared" si="0"/>
        <v>166.76527735826676</v>
      </c>
      <c r="F11">
        <f>MOD(D11,180)</f>
        <v>166.76527735826676</v>
      </c>
      <c r="G11" s="31" t="str">
        <f>IF(F11&gt;21,"no eclipse",IF(F11&lt;13.9,"clipse","furtherinvistigationarerequird"))</f>
        <v>no eclipse</v>
      </c>
      <c r="H11" s="31" t="str">
        <f>IF(ABS(E11-360)&gt;21,"no eclipse",IF(ABS(E11-360)&lt;13.9,"clipse","furtherinvistigationarerequird"))</f>
        <v>no eclipse</v>
      </c>
      <c r="I11" s="31" t="str">
        <f>IF(ABS(F11-180)&gt;21,"no eclipse",IF(ABS(F11-180)&lt;13.9,"clipse","furtherinvistigationarerequird"))</f>
        <v>clipse</v>
      </c>
      <c r="J11" s="31" t="str">
        <f>IF(ABS(SIN(E11*PI()/180))&gt;0.36,"no eclipse","further invistigation")</f>
        <v>further invistigation</v>
      </c>
      <c r="K11" s="204" t="str">
        <f>IF(E11&lt;13.9,"clips",IF(ABS(E11-360)&lt;13.9," clipse",IF(ABS(E11-180)&lt;13.9,"clipse",IF(ABS(E11-180)&lt;21,"further invistigations are requird",IF(ABS(E11-360)&lt;21,"further invistigations are requird","no clips ")))))</f>
        <v>clipse</v>
      </c>
    </row>
    <row r="12" spans="3:11">
      <c r="C12" t="str">
        <f>'Moon new'!K132</f>
        <v>OMEGA=</v>
      </c>
      <c r="D12">
        <f>'monn full'!L132</f>
        <v>-169.99332023389914</v>
      </c>
      <c r="E12">
        <f t="shared" si="0"/>
        <v>190.00667976610086</v>
      </c>
    </row>
    <row r="13" spans="3:11">
      <c r="C13" t="str">
        <f>'Moon new'!K133</f>
        <v>W=</v>
      </c>
      <c r="D13">
        <f>'monn full'!N133</f>
        <v>2.842626389236041E-3</v>
      </c>
    </row>
    <row r="14" spans="3:11">
      <c r="C14" t="str">
        <f>'Moon new'!K134</f>
        <v>E=</v>
      </c>
      <c r="D14">
        <f>'monn full'!L134</f>
        <v>0.99961638146312093</v>
      </c>
    </row>
    <row r="15" spans="3:11">
      <c r="C15" t="s">
        <v>125</v>
      </c>
      <c r="D15">
        <f>'Moon new'!H131</f>
        <v>188</v>
      </c>
    </row>
    <row r="17" spans="3:9">
      <c r="C17" t="s">
        <v>301</v>
      </c>
      <c r="D17">
        <f>D11-0.02665*SIN(D12*PI()/180)</f>
        <v>73606.769908141927</v>
      </c>
      <c r="E17">
        <f>MOD(D17,360)</f>
        <v>166.76990814192686</v>
      </c>
    </row>
    <row r="18" spans="3:9">
      <c r="C18" t="s">
        <v>156</v>
      </c>
      <c r="D18">
        <f>299.77+0.107408*D15-0.009173*D7^2</f>
        <v>319.96249206971345</v>
      </c>
    </row>
    <row r="21" spans="3:9">
      <c r="C21">
        <f>D21*SIN(D10*PI()/180)</f>
        <v>-0.1064877641561349</v>
      </c>
      <c r="D21">
        <v>-0.40749999999999997</v>
      </c>
      <c r="E21">
        <f>D21*SIN(D10*PI()/180)</f>
        <v>-0.1064877641561349</v>
      </c>
      <c r="I21">
        <v>-0.40749999999999997</v>
      </c>
    </row>
    <row r="22" spans="3:9">
      <c r="C22">
        <f>D22*D14*SIN(D9*PI()/180)</f>
        <v>0.16566472084070755</v>
      </c>
      <c r="D22">
        <v>0.1721</v>
      </c>
      <c r="E22">
        <f>D22*D14*SIN(D9*PI()/180)</f>
        <v>0.16566472084070755</v>
      </c>
      <c r="I22">
        <v>0.1721</v>
      </c>
    </row>
    <row r="23" spans="3:9">
      <c r="C23">
        <f>D23*SIN(2*D10*PI()/180)</f>
        <v>8.1221091053308245E-3</v>
      </c>
      <c r="D23">
        <v>1.61E-2</v>
      </c>
      <c r="E23">
        <f>D23*SIN(2*D10*PI()/180)</f>
        <v>8.1221091053308245E-3</v>
      </c>
      <c r="I23">
        <v>1.61E-2</v>
      </c>
    </row>
    <row r="24" spans="3:9">
      <c r="C24">
        <f>D24*SIN(2*D17*PI()/180)</f>
        <v>4.3220851914839752E-3</v>
      </c>
      <c r="D24">
        <v>-9.7000000000000003E-3</v>
      </c>
      <c r="E24">
        <f>D24*SIN(2*D17*PI()/180)</f>
        <v>4.3220851914839752E-3</v>
      </c>
      <c r="I24">
        <v>-9.7000000000000003E-3</v>
      </c>
    </row>
    <row r="25" spans="3:9">
      <c r="C25">
        <f>D25*D14*SIN((D10-D9)*PI()/180)</f>
        <v>-6.2687892067624304E-3</v>
      </c>
      <c r="D25">
        <v>7.3000000000000001E-3</v>
      </c>
      <c r="E25">
        <f>D25*D14*SIN((D10-D9)*PI()/180)</f>
        <v>-6.2687892067624304E-3</v>
      </c>
      <c r="I25">
        <v>7.3000000000000001E-3</v>
      </c>
    </row>
    <row r="26" spans="3:9">
      <c r="C26">
        <f>D26*D14*SIN((D9+D10)*PI()/180)</f>
        <v>-4.9978982641572991E-3</v>
      </c>
      <c r="D26" s="110">
        <v>-5.0000000000000001E-3</v>
      </c>
      <c r="E26">
        <f>D26*D14*SIN((D10+D9)*PI()/180)</f>
        <v>-4.9978982641572991E-3</v>
      </c>
      <c r="I26" s="110">
        <v>-5.0000000000000001E-3</v>
      </c>
    </row>
    <row r="27" spans="3:9">
      <c r="C27">
        <f>D27*SIN((D10-2*E17)*PI()/180)</f>
        <v>-1.5272873694571558E-3</v>
      </c>
      <c r="D27">
        <v>-2.3E-3</v>
      </c>
      <c r="E27">
        <f>D27*SIN((D10-2*D17)*PI()/180)</f>
        <v>-1.5272873694574254E-3</v>
      </c>
      <c r="I27">
        <v>-2.3E-3</v>
      </c>
    </row>
    <row r="28" spans="3:9">
      <c r="C28">
        <f>D28*D14*SIN(2*D9*PI()/180)</f>
        <v>1.0899168007273679E-3</v>
      </c>
      <c r="D28">
        <v>2.0999999999999999E-3</v>
      </c>
      <c r="E28">
        <f>D28*D14*SIN(2*D9*PI()/180)</f>
        <v>1.0899168007273679E-3</v>
      </c>
      <c r="I28">
        <v>2.0999999999999999E-3</v>
      </c>
    </row>
    <row r="29" spans="3:9">
      <c r="C29">
        <f>D29*SIN((D10+2*E17)*PI()/180)</f>
        <v>-2.3537777358953067E-4</v>
      </c>
      <c r="D29">
        <v>1.1999999999999999E-3</v>
      </c>
      <c r="E29">
        <f>D29*SIN((D10+2*D17)*PI()/180)</f>
        <v>-2.3537777358998276E-4</v>
      </c>
      <c r="I29">
        <v>1.1999999999999999E-3</v>
      </c>
    </row>
    <row r="30" spans="3:9">
      <c r="C30">
        <f>D30*D14*SIN((2*D10+D9)*PI()/180)</f>
        <v>5.8025149311390946E-4</v>
      </c>
      <c r="D30">
        <v>5.9999999999999995E-4</v>
      </c>
      <c r="E30">
        <f>D30*D14*SIN((2*D10+D9)*PI()/180)</f>
        <v>5.8025149311390946E-4</v>
      </c>
      <c r="I30">
        <v>5.9999999999999995E-4</v>
      </c>
    </row>
    <row r="31" spans="3:9">
      <c r="C31">
        <f>D31*SIN(3*D10*PI()/180)</f>
        <v>-2.8503161744313356E-4</v>
      </c>
      <c r="D31">
        <v>-4.0000000000000002E-4</v>
      </c>
      <c r="E31">
        <f>D31*SIN(3*D10*PI()/180)</f>
        <v>-2.8503161744313356E-4</v>
      </c>
      <c r="I31">
        <v>-4.0000000000000002E-4</v>
      </c>
    </row>
    <row r="32" spans="3:9">
      <c r="C32">
        <f>D32*D14*SIN((D9+2*E17)*PI()/180)</f>
        <v>-2.2250832129472645E-4</v>
      </c>
      <c r="D32">
        <v>-2.9999999999999997E-4</v>
      </c>
      <c r="E32">
        <f>D32*D14*SIN((D9+2*D17)*PI()/180)</f>
        <v>-2.2250832129469493E-4</v>
      </c>
      <c r="I32">
        <v>-2.9999999999999997E-4</v>
      </c>
    </row>
    <row r="33" spans="3:9">
      <c r="C33">
        <f>D33*SIN(D18*PI()/180)</f>
        <v>-1.9298668585832776E-4</v>
      </c>
      <c r="D33">
        <v>2.9999999999999997E-4</v>
      </c>
      <c r="E33">
        <f>D33*SIN(D18*PI()/180)</f>
        <v>-1.9298668585832776E-4</v>
      </c>
      <c r="I33">
        <v>2.9999999999999997E-4</v>
      </c>
    </row>
    <row r="34" spans="3:9">
      <c r="C34">
        <f>D34*D14*SIN((D9-2*E17)*PI()/180)</f>
        <v>-1.9636857695511627E-4</v>
      </c>
      <c r="D34">
        <v>-2.0000000000000001E-4</v>
      </c>
      <c r="E34">
        <f>D34*D14*SIN((D9-2*D17)*PI()/180)</f>
        <v>-1.9636857695512106E-4</v>
      </c>
      <c r="I34">
        <v>-2.0000000000000001E-4</v>
      </c>
    </row>
    <row r="35" spans="3:9">
      <c r="C35">
        <f>D35*D14*SIN((2*D10-D9)*PI()/180)</f>
        <v>1.3903816734812523E-4</v>
      </c>
      <c r="D35">
        <v>-2.0000000000000001E-4</v>
      </c>
      <c r="E35">
        <f>D35*D14*SIN((2*D10-D9)*PI()/180)</f>
        <v>1.3903816734812523E-4</v>
      </c>
      <c r="I35">
        <v>-2.0000000000000001E-4</v>
      </c>
    </row>
    <row r="36" spans="3:9">
      <c r="C36">
        <f>D36*SIN(E12*PI()/180)</f>
        <v>3.475259784534301E-5</v>
      </c>
      <c r="D36">
        <v>-2.0000000000000001E-4</v>
      </c>
      <c r="E36">
        <f>D36*SIN(D12*PI()/180)</f>
        <v>3.4752597845343152E-5</v>
      </c>
      <c r="I36">
        <v>-2.0000000000000001E-4</v>
      </c>
    </row>
    <row r="37" spans="3:9">
      <c r="C37">
        <f>SUM(C21:C36)</f>
        <v>5.9538862224904482E-2</v>
      </c>
      <c r="E37">
        <f>SUM(E21:E36)</f>
        <v>5.9538862224903781E-2</v>
      </c>
    </row>
    <row r="38" spans="3:9" ht="21">
      <c r="E38" s="127">
        <f>D8+E37</f>
        <v>2457101.9078963147</v>
      </c>
    </row>
    <row r="40" spans="3:9">
      <c r="C40" t="s">
        <v>302</v>
      </c>
      <c r="D40">
        <v>0.20699999999999999</v>
      </c>
      <c r="E40">
        <f>D40*D14*SIN(D9*PI()/180)</f>
        <v>0.19925971652542973</v>
      </c>
    </row>
    <row r="41" spans="3:9">
      <c r="D41">
        <v>2.3999999999999998E-3</v>
      </c>
      <c r="E41">
        <f>D41*D14*SIN(2*D9*PI()/180)</f>
        <v>1.2456192008312777E-3</v>
      </c>
    </row>
    <row r="42" spans="3:9">
      <c r="D42">
        <v>-3.9199999999999999E-2</v>
      </c>
      <c r="E42">
        <f>D42*SIN(D10*PI()/180)</f>
        <v>-1.0243730932320215E-2</v>
      </c>
    </row>
    <row r="43" spans="3:9">
      <c r="D43">
        <v>1.1599999999999999E-2</v>
      </c>
      <c r="E43">
        <f>D43*SIN(2*D10*PI()/180)</f>
        <v>5.8519543864495377E-3</v>
      </c>
    </row>
    <row r="44" spans="3:9">
      <c r="D44">
        <v>-7.3000000000000001E-3</v>
      </c>
      <c r="E44">
        <f>D44*D14*SIN((D9+D10)*PI()/180)</f>
        <v>-7.2969314656696552E-3</v>
      </c>
    </row>
    <row r="45" spans="3:9">
      <c r="D45">
        <v>6.7000000000000002E-3</v>
      </c>
      <c r="E45">
        <f>D45*D14*SIN((D10-D9)*PI()/180)</f>
        <v>-5.7535462582614088E-3</v>
      </c>
    </row>
    <row r="46" spans="3:9">
      <c r="D46">
        <v>1.18E-2</v>
      </c>
      <c r="E46">
        <f>D46*SIN(2*D17*PI()/180)</f>
        <v>-5.2577943566506089E-3</v>
      </c>
    </row>
    <row r="47" spans="3:9" ht="15.75">
      <c r="C47" t="s">
        <v>302</v>
      </c>
      <c r="E47" s="126">
        <f>SUM(E40:E46)</f>
        <v>0.17780528709980864</v>
      </c>
    </row>
    <row r="51" spans="3:5">
      <c r="C51" t="s">
        <v>340</v>
      </c>
      <c r="D51">
        <v>5.2206999999999999</v>
      </c>
      <c r="E51">
        <f>D51</f>
        <v>5.2206999999999999</v>
      </c>
    </row>
    <row r="52" spans="3:5">
      <c r="D52">
        <v>-4.7999999999999996E-3</v>
      </c>
      <c r="E52">
        <f>D52*D14*COS(D9*PI()/180)</f>
        <v>-1.2935091228929217E-3</v>
      </c>
    </row>
    <row r="53" spans="3:5">
      <c r="D53">
        <v>2E-3</v>
      </c>
      <c r="E53">
        <f>D53*D14*COS(2*D9*PI()/180)</f>
        <v>-1.7086411041127279E-3</v>
      </c>
    </row>
    <row r="54" spans="3:5">
      <c r="D54">
        <v>-0.32990000000000003</v>
      </c>
      <c r="E54">
        <f>D54*COS(D10*PI()/180)</f>
        <v>-0.31843673875504791</v>
      </c>
    </row>
    <row r="55" spans="3:5">
      <c r="D55">
        <v>-6.0000000000000001E-3</v>
      </c>
      <c r="E55">
        <f>D55*D14*COS((D9+D10)*PI()/180)</f>
        <v>-5.1413990814175E-5</v>
      </c>
    </row>
    <row r="56" spans="3:5">
      <c r="D56">
        <v>4.1000000000000003E-3</v>
      </c>
      <c r="E56">
        <f>D56*D14*COS((D10-D9)*PI()/180)</f>
        <v>2.0978283435713757E-3</v>
      </c>
    </row>
    <row r="57" spans="3:5" ht="15.75">
      <c r="C57" t="s">
        <v>340</v>
      </c>
      <c r="E57" s="126">
        <f>SUM(E51:E56)</f>
        <v>4.9013075253707044</v>
      </c>
    </row>
    <row r="60" spans="3:5">
      <c r="C60" t="s">
        <v>304</v>
      </c>
      <c r="D60">
        <v>5.8999999999999999E-3</v>
      </c>
      <c r="E60">
        <f>D60</f>
        <v>5.8999999999999999E-3</v>
      </c>
    </row>
    <row r="61" spans="3:5">
      <c r="D61">
        <v>4.5999999999999999E-3</v>
      </c>
      <c r="E61">
        <f>D61*D14*COS(D9*PI()/180)</f>
        <v>1.2396129094390503E-3</v>
      </c>
    </row>
    <row r="62" spans="3:5">
      <c r="D62">
        <v>-1.8200000000000001E-2</v>
      </c>
      <c r="E62">
        <f>D62*COS(D10*PI()/180)</f>
        <v>-1.7567592135016283E-2</v>
      </c>
    </row>
    <row r="63" spans="3:5">
      <c r="D63">
        <v>4.0000000000000002E-4</v>
      </c>
      <c r="E63">
        <f>D63*COS(2*D10*PI()/180)</f>
        <v>3.453696254613838E-4</v>
      </c>
    </row>
    <row r="64" spans="3:5">
      <c r="D64">
        <v>-5.0000000000000001E-4</v>
      </c>
      <c r="E64">
        <f>D64*COS((D9+D10)*PI()/180)</f>
        <v>-4.2861434786046992E-6</v>
      </c>
    </row>
    <row r="65" spans="3:5" ht="15.75">
      <c r="C65" t="s">
        <v>304</v>
      </c>
      <c r="E65" s="126">
        <f>SUM(E60:E64)</f>
        <v>-1.0086895743594454E-2</v>
      </c>
    </row>
    <row r="68" spans="3:5">
      <c r="E68">
        <f>1.5433-0.9972</f>
        <v>0.54609999999999992</v>
      </c>
    </row>
    <row r="69" spans="3:5">
      <c r="E69">
        <f>0.9972+ABS(E65)</f>
        <v>1.0072868957435945</v>
      </c>
    </row>
    <row r="71" spans="3:5">
      <c r="E71" s="102">
        <f>ABS(E78)-0.9972</f>
        <v>-5.2994887548956426E-2</v>
      </c>
    </row>
    <row r="72" spans="3:5">
      <c r="E72" s="102">
        <f>ABS(E78)-(E69)</f>
        <v>-6.3081783292550986E-2</v>
      </c>
    </row>
    <row r="73" spans="3:5" ht="18.75">
      <c r="E73" s="161" t="str">
        <f>IF(E72&lt;0," Central check for TOTAL",IF(E72&lt;0.5461," check for PARTIAL","NO CLIPS"))</f>
        <v xml:space="preserve"> Central check for TOTAL</v>
      </c>
    </row>
    <row r="74" spans="3:5">
      <c r="E74" s="102"/>
    </row>
    <row r="75" spans="3:5">
      <c r="E75" s="102"/>
    </row>
    <row r="76" spans="3:5">
      <c r="E76" s="102"/>
    </row>
    <row r="77" spans="3:5" ht="15.75">
      <c r="C77" t="s">
        <v>129</v>
      </c>
      <c r="E77" s="213">
        <f>ABS(COS(D17*PI()/180))</f>
        <v>0.97345883827005675</v>
      </c>
    </row>
    <row r="78" spans="3:5" ht="15.75">
      <c r="C78" t="s">
        <v>249</v>
      </c>
      <c r="E78" s="216">
        <f>(E47*COS(D17*PI()/180)+E57*SIN(D17*PI()/180))*(1-0.0048*E77)</f>
        <v>0.94420511245104355</v>
      </c>
    </row>
    <row r="79" spans="3:5">
      <c r="E79" s="102">
        <f>1-E78^2</f>
        <v>0.10847670562131217</v>
      </c>
    </row>
    <row r="80" spans="3:5">
      <c r="E80" s="102">
        <f>0.00464*SQRT(1-E78^2)</f>
        <v>1.5282212147933957E-3</v>
      </c>
    </row>
    <row r="82" spans="3:5" ht="18.75">
      <c r="E82" s="215" t="str">
        <f>IF(ABS(E78)&lt;0.9972,"Central",IF(ABS(E78)&lt;1.5433+(E65),"NON CENTRAL- Partial",IF(ABS(E78)&lt;0.9972+ABS(E65),"can be non-central total or annular",IF(ABS(E78)&gt;1.5433+E65,"no clips visible from earth"))))</f>
        <v>Central</v>
      </c>
    </row>
    <row r="83" spans="3:5" ht="23.25">
      <c r="E83" s="203" t="str">
        <f>IF(E82="Central","check for CENTRAL","don’t check for central")</f>
        <v>check for CENTRAL</v>
      </c>
    </row>
    <row r="85" spans="3:5" ht="18.75">
      <c r="E85" s="161" t="str">
        <f>IF(E79&lt;0,"not annular",IF(E65&lt;0,"Total",IF(E65&lt;0.0047,"annualr or annular total",IF(E65&gt;0.0047,"ANNULAR","NON CENTAL ANNULAR"))))</f>
        <v>Total</v>
      </c>
    </row>
    <row r="87" spans="3:5" ht="18.75">
      <c r="C87" t="s">
        <v>360</v>
      </c>
      <c r="E87" s="214" t="str">
        <f>IF(E65&lt;E80,"annular-Total","annular")</f>
        <v>annular-Total</v>
      </c>
    </row>
    <row r="89" spans="3:5" ht="23.25">
      <c r="C89" t="s">
        <v>343</v>
      </c>
      <c r="E89" s="196">
        <f>(1.5433+E65-ABS(E78))/(0.5461+2*E65)</f>
        <v>1.1199441713903751</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dimension ref="B20:P41"/>
  <sheetViews>
    <sheetView zoomScale="46" zoomScaleNormal="46" workbookViewId="0">
      <selection activeCell="T45" sqref="T45"/>
    </sheetView>
  </sheetViews>
  <sheetFormatPr defaultRowHeight="15"/>
  <cols>
    <col min="3" max="3" width="35" customWidth="1"/>
    <col min="4" max="4" width="10.5703125" customWidth="1"/>
  </cols>
  <sheetData>
    <row r="20" spans="2:16">
      <c r="M20" s="248">
        <f>N23+O20</f>
        <v>2015.2136986301371</v>
      </c>
      <c r="N20">
        <f>P29/365</f>
        <v>0.24109589041095891</v>
      </c>
      <c r="O20">
        <f>DN!D15/365</f>
        <v>0.21369863013698631</v>
      </c>
    </row>
    <row r="22" spans="2:16" ht="18.75">
      <c r="B22" s="31"/>
      <c r="C22" s="31" t="s">
        <v>314</v>
      </c>
      <c r="D22" s="31"/>
    </row>
    <row r="23" spans="2:16" ht="18.75">
      <c r="B23" s="31" t="s">
        <v>125</v>
      </c>
      <c r="C23" s="31">
        <f>INT((M20-1999.97)*13.2555)</f>
        <v>202</v>
      </c>
      <c r="D23" s="31"/>
      <c r="M23" t="s">
        <v>149</v>
      </c>
      <c r="N23" s="8">
        <f>D!G4</f>
        <v>2015</v>
      </c>
    </row>
    <row r="24" spans="2:16" ht="18.75">
      <c r="B24" s="31" t="s">
        <v>152</v>
      </c>
      <c r="C24" s="31">
        <f>(C23/1325.55)</f>
        <v>0.15238957413903664</v>
      </c>
      <c r="D24" s="31"/>
      <c r="M24" t="s">
        <v>148</v>
      </c>
      <c r="N24">
        <f>L29</f>
        <v>3</v>
      </c>
    </row>
    <row r="25" spans="2:16" ht="18.75">
      <c r="B25" s="31" t="s">
        <v>153</v>
      </c>
      <c r="C25" s="130">
        <f>2451534.6698+27.55454988*C23-0.0006886*C24^2-0.000001098*C24^3+0.0000000052*C24^4</f>
        <v>2457100.688859765</v>
      </c>
      <c r="D25" s="31"/>
    </row>
    <row r="26" spans="2:16" ht="18.75">
      <c r="B26" s="31"/>
      <c r="C26" s="31"/>
      <c r="D26" s="31"/>
    </row>
    <row r="27" spans="2:16" ht="28.5">
      <c r="B27" s="131" t="s">
        <v>153</v>
      </c>
      <c r="C27" s="132">
        <f>C25+pr!J49</f>
        <v>2457101.3189154156</v>
      </c>
      <c r="D27" s="131"/>
    </row>
    <row r="28" spans="2:16" ht="31.5">
      <c r="B28" s="31" t="s">
        <v>320</v>
      </c>
      <c r="C28" s="150">
        <f>parallex!D11</f>
        <v>357564.371089986</v>
      </c>
      <c r="D28" s="31"/>
    </row>
    <row r="29" spans="2:16" ht="18.75">
      <c r="B29" s="31"/>
      <c r="C29" s="31"/>
      <c r="D29" s="31"/>
      <c r="L29">
        <f>'monn full'!J133</f>
        <v>3</v>
      </c>
      <c r="M29">
        <v>31</v>
      </c>
      <c r="N29">
        <v>31</v>
      </c>
      <c r="O29">
        <f>(N29-15)+13</f>
        <v>29</v>
      </c>
      <c r="P29">
        <f>IF(L29=1,O29,IF(L29=2,O30,IF(L29=3,O31,IF(L29=4,O32,IF(L29=5,O33,IF(L29=6,O34,IF(L29=7,O35,IF(L29=8,O36,IF(L29=9,O37,IF(L29=10,O38,IF(L29=11,O39,IF(L29=12,O40,0))))))))))))</f>
        <v>88</v>
      </c>
    </row>
    <row r="30" spans="2:16" ht="18.75">
      <c r="B30" s="31" t="s">
        <v>154</v>
      </c>
      <c r="C30" s="31">
        <f>171.9179+335.9106046*C23-0.010025*C24^2-0.00001156*C24^3+0.000000055*C24^4</f>
        <v>68025.859796352743</v>
      </c>
      <c r="D30" s="31">
        <f>MOD(C30,360)</f>
        <v>345.85979635274271</v>
      </c>
      <c r="M30">
        <v>28</v>
      </c>
      <c r="N30">
        <f>N29+(M30)</f>
        <v>59</v>
      </c>
      <c r="O30">
        <f t="shared" ref="O30:O40" si="0">(N30-15)+13</f>
        <v>57</v>
      </c>
    </row>
    <row r="31" spans="2:16" ht="18.75">
      <c r="B31" s="31" t="s">
        <v>136</v>
      </c>
      <c r="C31" s="31">
        <f>347.3477+27.1577721*C23-0.0008323*C24^2-0.000001*C24^3</f>
        <v>5833.2176448683067</v>
      </c>
      <c r="D31" s="31">
        <f>MOD(C31,360)</f>
        <v>73.217644868306706</v>
      </c>
      <c r="M31">
        <v>31</v>
      </c>
      <c r="N31">
        <f t="shared" ref="N31:N40" si="1">N30+(M31)</f>
        <v>90</v>
      </c>
      <c r="O31">
        <f t="shared" si="0"/>
        <v>88</v>
      </c>
    </row>
    <row r="32" spans="2:16" ht="18.75">
      <c r="B32" s="31" t="s">
        <v>138</v>
      </c>
      <c r="C32" s="31">
        <f>316.6109+364.5287911*C23-0.0125131*C24^2-0.0000148*C24^3</f>
        <v>73951.426411561129</v>
      </c>
      <c r="D32" s="31">
        <f>MOD(C32,360)</f>
        <v>151.4264115611295</v>
      </c>
      <c r="M32">
        <v>30</v>
      </c>
      <c r="N32">
        <f t="shared" si="1"/>
        <v>120</v>
      </c>
      <c r="O32">
        <f t="shared" si="0"/>
        <v>118</v>
      </c>
    </row>
    <row r="33" spans="13:15">
      <c r="M33">
        <v>31</v>
      </c>
      <c r="N33">
        <f t="shared" si="1"/>
        <v>151</v>
      </c>
      <c r="O33">
        <f t="shared" si="0"/>
        <v>149</v>
      </c>
    </row>
    <row r="34" spans="13:15">
      <c r="M34">
        <v>30</v>
      </c>
      <c r="N34">
        <f t="shared" si="1"/>
        <v>181</v>
      </c>
      <c r="O34">
        <f t="shared" si="0"/>
        <v>179</v>
      </c>
    </row>
    <row r="35" spans="13:15">
      <c r="M35">
        <v>31</v>
      </c>
      <c r="N35">
        <f t="shared" si="1"/>
        <v>212</v>
      </c>
      <c r="O35">
        <f t="shared" si="0"/>
        <v>210</v>
      </c>
    </row>
    <row r="36" spans="13:15">
      <c r="M36">
        <v>31</v>
      </c>
      <c r="N36">
        <f t="shared" si="1"/>
        <v>243</v>
      </c>
      <c r="O36">
        <f t="shared" si="0"/>
        <v>241</v>
      </c>
    </row>
    <row r="37" spans="13:15">
      <c r="M37">
        <v>30</v>
      </c>
      <c r="N37">
        <f t="shared" si="1"/>
        <v>273</v>
      </c>
      <c r="O37">
        <f t="shared" si="0"/>
        <v>271</v>
      </c>
    </row>
    <row r="38" spans="13:15">
      <c r="M38">
        <v>31</v>
      </c>
      <c r="N38">
        <f t="shared" si="1"/>
        <v>304</v>
      </c>
      <c r="O38">
        <f t="shared" si="0"/>
        <v>302</v>
      </c>
    </row>
    <row r="39" spans="13:15">
      <c r="M39">
        <v>30</v>
      </c>
      <c r="N39">
        <f t="shared" si="1"/>
        <v>334</v>
      </c>
      <c r="O39">
        <f t="shared" si="0"/>
        <v>332</v>
      </c>
    </row>
    <row r="40" spans="13:15">
      <c r="M40">
        <v>31</v>
      </c>
      <c r="N40">
        <f t="shared" si="1"/>
        <v>365</v>
      </c>
      <c r="O40">
        <f t="shared" si="0"/>
        <v>363</v>
      </c>
    </row>
    <row r="41" spans="13:15">
      <c r="M41">
        <f>SUM(M29:M40)</f>
        <v>365</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dimension ref="C1:V49"/>
  <sheetViews>
    <sheetView zoomScale="83" zoomScaleNormal="83" workbookViewId="0">
      <selection activeCell="D46" sqref="D46"/>
    </sheetView>
  </sheetViews>
  <sheetFormatPr defaultRowHeight="15"/>
  <cols>
    <col min="4" max="4" width="15.28515625" customWidth="1"/>
    <col min="9" max="9" width="12.85546875" bestFit="1" customWidth="1"/>
    <col min="10" max="10" width="15.140625" customWidth="1"/>
    <col min="21" max="21" width="14.140625" bestFit="1" customWidth="1"/>
  </cols>
  <sheetData>
    <row r="1" spans="3:5">
      <c r="C1" t="str">
        <f>'prigee-'!B23</f>
        <v>k=</v>
      </c>
      <c r="D1">
        <f>'prigee-'!C23</f>
        <v>202</v>
      </c>
    </row>
    <row r="2" spans="3:5">
      <c r="C2" t="str">
        <f>'prigee-'!B24</f>
        <v>T=</v>
      </c>
      <c r="D2">
        <f>'prigee-'!C24</f>
        <v>0.15238957413903664</v>
      </c>
    </row>
    <row r="3" spans="3:5">
      <c r="C3" t="str">
        <f>'prigee-'!B25</f>
        <v>JDE=</v>
      </c>
      <c r="D3">
        <f>'prigee-'!C25</f>
        <v>2457100.688859765</v>
      </c>
    </row>
    <row r="5" spans="3:5">
      <c r="C5" t="str">
        <f>'prigee-'!B27</f>
        <v>JDE=</v>
      </c>
      <c r="D5">
        <f>'prigee-'!C27</f>
        <v>2457101.3189154156</v>
      </c>
    </row>
    <row r="8" spans="3:5">
      <c r="C8" t="str">
        <f>'prigee-'!B30</f>
        <v>D=</v>
      </c>
      <c r="D8" s="89">
        <f>'prigee-'!C30</f>
        <v>68025.859796352743</v>
      </c>
      <c r="E8">
        <f>'prigee-'!D30</f>
        <v>345.85979635274271</v>
      </c>
    </row>
    <row r="9" spans="3:5">
      <c r="C9" t="str">
        <f>'prigee-'!B31</f>
        <v>M=</v>
      </c>
      <c r="D9" s="89">
        <f>'prigee-'!C31</f>
        <v>5833.2176448683067</v>
      </c>
      <c r="E9">
        <f>'prigee-'!D31</f>
        <v>73.217644868306706</v>
      </c>
    </row>
    <row r="10" spans="3:5">
      <c r="C10" t="str">
        <f>'prigee-'!B32</f>
        <v>F=</v>
      </c>
      <c r="D10" s="89">
        <f>'prigee-'!C32</f>
        <v>73951.426411561129</v>
      </c>
      <c r="E10">
        <f>'prigee-'!D32</f>
        <v>151.4264115611295</v>
      </c>
    </row>
    <row r="14" spans="3:5">
      <c r="C14" t="s">
        <v>318</v>
      </c>
    </row>
    <row r="17" spans="7:22">
      <c r="G17">
        <v>1</v>
      </c>
      <c r="H17">
        <v>-1.6769000000000001</v>
      </c>
      <c r="I17">
        <f>H17*SIN(2*E8*PI()/180)</f>
        <v>0.79449358085668853</v>
      </c>
      <c r="J17">
        <f>H17*SIN(2*E8*PI()/180)</f>
        <v>0.79449358085668853</v>
      </c>
      <c r="U17">
        <f>V17*SIN((2*E8-2*E9)*PI()/180)</f>
        <v>2.4866403405304224E-4</v>
      </c>
      <c r="V17">
        <v>-2.7000000000000001E-3</v>
      </c>
    </row>
    <row r="18" spans="7:22">
      <c r="G18">
        <v>2</v>
      </c>
      <c r="H18">
        <v>0.45889999999999997</v>
      </c>
      <c r="I18">
        <f>H18*SIN(4*E8*PI()/180)</f>
        <v>-0.38293882740231105</v>
      </c>
      <c r="J18">
        <f>H18*SIN(4*E8*PI()/180)</f>
        <v>-0.38293882740231105</v>
      </c>
      <c r="U18">
        <f>V18*SIN((4*E8-2*E9)*PI()/180)</f>
        <v>9.3760449672813907E-4</v>
      </c>
      <c r="V18">
        <v>2.3999999999999998E-3</v>
      </c>
    </row>
    <row r="19" spans="7:22">
      <c r="G19">
        <v>3</v>
      </c>
      <c r="H19">
        <v>-0.18559999999999999</v>
      </c>
      <c r="I19">
        <f>H19*SIN(6*E8*PI()/180)</f>
        <v>0.1848481988335976</v>
      </c>
      <c r="J19">
        <f>H19*SIN(6*E8*PI()/180)</f>
        <v>0.1848481988335976</v>
      </c>
      <c r="U19">
        <f>V19*SIN((6*E8-2*E9)*PI()/180)</f>
        <v>-1.6383654500051548E-3</v>
      </c>
      <c r="V19">
        <v>-2.0999999999999999E-3</v>
      </c>
    </row>
    <row r="20" spans="7:22">
      <c r="G20">
        <v>4</v>
      </c>
      <c r="H20">
        <v>8.8300000000000003E-2</v>
      </c>
      <c r="I20">
        <f>H20*SIN(8*E8*PI()/180)</f>
        <v>-8.1207154542546817E-2</v>
      </c>
      <c r="J20">
        <f>H20*SIN(8*E8*PI()/180)</f>
        <v>-8.1207154542546817E-2</v>
      </c>
      <c r="U20">
        <f>V20*SIN(22*E8*PI()/180)</f>
        <v>-1.5828569998295355E-3</v>
      </c>
      <c r="V20">
        <v>-2.0999999999999999E-3</v>
      </c>
    </row>
    <row r="21" spans="7:22">
      <c r="G21">
        <v>5</v>
      </c>
      <c r="H21">
        <v>-7.7299999999999994E-2</v>
      </c>
      <c r="I21">
        <f>(H21+0.00019*D2)*SIN((2*E8-E9)*PI()/180)</f>
        <v>7.5720330588402329E-2</v>
      </c>
      <c r="J21">
        <f>(H21+0.00019*D2)*SIN((2*E8-E9)*PI()/180)</f>
        <v>7.5720330588402329E-2</v>
      </c>
      <c r="U21">
        <f>V21*SIN((18*E8-E9)*PI()/180)</f>
        <v>-1.120859823102906E-3</v>
      </c>
      <c r="V21">
        <v>-2.0999999999999999E-3</v>
      </c>
    </row>
    <row r="22" spans="7:22">
      <c r="G22">
        <v>6</v>
      </c>
      <c r="H22">
        <v>5.0200000000000002E-2</v>
      </c>
      <c r="I22">
        <f>(H22-0.00013*D2)*SIN(E9*PI()/180)</f>
        <v>4.8042937947189925E-2</v>
      </c>
      <c r="J22">
        <f>(H22-0.00013*D2)*SIN(E9*PI()/180)</f>
        <v>4.8042937947189925E-2</v>
      </c>
      <c r="U22">
        <f>V22*SIN((6*E8+E9)*PI()/180)</f>
        <v>-3.8281389228575545E-4</v>
      </c>
      <c r="V22">
        <v>1.9E-3</v>
      </c>
    </row>
    <row r="23" spans="7:22">
      <c r="G23">
        <v>7</v>
      </c>
      <c r="H23">
        <v>-4.5999999999999999E-2</v>
      </c>
      <c r="I23">
        <f>H23*SIN(10*E8*PI()/180)</f>
        <v>2.8697183656278061E-2</v>
      </c>
      <c r="J23">
        <f>H23*SIN(10*E8*PI()/180)</f>
        <v>2.8697183656278061E-2</v>
      </c>
      <c r="U23">
        <f>V23*SIN(11*E8*PI()/180)</f>
        <v>7.4524010405856796E-4</v>
      </c>
      <c r="V23">
        <v>-1.8E-3</v>
      </c>
    </row>
    <row r="24" spans="7:22">
      <c r="G24">
        <v>8</v>
      </c>
      <c r="H24">
        <v>4.2200000000000001E-2</v>
      </c>
      <c r="I24">
        <f>(H24-0.00011*D2)*SIN((4*E8-E9)*PI()/180)</f>
        <v>-3.2418835236801523E-2</v>
      </c>
      <c r="J24">
        <f>(H24-0.00011*D2)*SIN((4*E8-E9)*PI()/180)</f>
        <v>-3.2418835236801523E-2</v>
      </c>
      <c r="U24">
        <f>V24*SIN((8*E8+E9)*PI()/180)</f>
        <v>8.9810416942947896E-4</v>
      </c>
      <c r="V24">
        <v>-1.4E-3</v>
      </c>
    </row>
    <row r="25" spans="7:22">
      <c r="G25">
        <v>9</v>
      </c>
      <c r="H25">
        <v>-2.5600000000000001E-2</v>
      </c>
      <c r="I25">
        <f>H25*SIN((6*E8-E9)*PI()/180)</f>
        <v>9.5655370212751334E-3</v>
      </c>
      <c r="J25">
        <f>H25*SIN((6*E8-E9)*PI()/180)</f>
        <v>9.5655370212751334E-3</v>
      </c>
      <c r="U25">
        <f>V25*SIN((4*E8-2*E10)*PI()/180)</f>
        <v>-1.4327283471744574E-5</v>
      </c>
      <c r="V25">
        <v>-1.4E-3</v>
      </c>
    </row>
    <row r="26" spans="7:22">
      <c r="G26">
        <v>10</v>
      </c>
      <c r="H26">
        <v>2.53E-2</v>
      </c>
      <c r="I26">
        <f>H26*SIN(12*E8*PI()/180)</f>
        <v>-4.531323178262354E-3</v>
      </c>
      <c r="J26">
        <f>H26*SIN(12*E8*PI()/180)</f>
        <v>-4.531323178262354E-3</v>
      </c>
      <c r="U26">
        <f>V26*SIN((6*E8+2*E10)*PI()/180)</f>
        <v>8.6214942656366199E-4</v>
      </c>
      <c r="V26">
        <v>-1.4E-3</v>
      </c>
    </row>
    <row r="27" spans="7:22">
      <c r="G27">
        <v>11</v>
      </c>
      <c r="H27">
        <v>2.3699999999999999E-2</v>
      </c>
      <c r="I27">
        <f>H27*SIN(E8*PI()/180)</f>
        <v>-5.7898032880724787E-3</v>
      </c>
      <c r="J27">
        <f>H27*SIN(E8*PI()/180)</f>
        <v>-5.7898032880724787E-3</v>
      </c>
      <c r="U27">
        <f>V27*SIN((3*E8+E9)*PI()/180)</f>
        <v>7.1679775687120419E-4</v>
      </c>
      <c r="V27">
        <v>1.4E-3</v>
      </c>
    </row>
    <row r="28" spans="7:22">
      <c r="G28">
        <v>12</v>
      </c>
      <c r="H28">
        <v>1.6199999999999999E-2</v>
      </c>
      <c r="I28">
        <f>H28*SIN((8*E8-E9)*PI()/180)</f>
        <v>1.788732835758108E-3</v>
      </c>
      <c r="J28">
        <f>H28*SIN((8*E8-E9)*PI()/180)</f>
        <v>1.788732835758108E-3</v>
      </c>
      <c r="U28">
        <f>V28*SIN((5*E8+E9)*PI()/180)</f>
        <v>-6.1473018321216966E-5</v>
      </c>
      <c r="V28">
        <v>-1.4E-3</v>
      </c>
    </row>
    <row r="29" spans="7:22">
      <c r="G29">
        <v>13</v>
      </c>
      <c r="H29">
        <v>-1.4500000000000001E-2</v>
      </c>
      <c r="I29">
        <f>H29*SIN(14*E8*PI()/180)</f>
        <v>-4.4718042300267487E-3</v>
      </c>
      <c r="J29">
        <f>H29*SIN(14*E8*PI()/180)</f>
        <v>-4.4718042300267487E-3</v>
      </c>
      <c r="U29">
        <f>V29*SIN(13*E8*PI()/180)</f>
        <v>8.6668787584463742E-5</v>
      </c>
      <c r="V29">
        <v>1.2999999999999999E-3</v>
      </c>
    </row>
    <row r="30" spans="7:22">
      <c r="G30">
        <v>14</v>
      </c>
      <c r="H30">
        <v>1.29E-2</v>
      </c>
      <c r="I30">
        <f>H30*SIN(2*E10*PI()/180)</f>
        <v>-1.0836862046078685E-2</v>
      </c>
      <c r="J30">
        <f>H30*SIN(2*E10*PI()/180)</f>
        <v>-1.0836862046078685E-2</v>
      </c>
      <c r="U30">
        <f>V30*SIN((20*E8-E9)*PI()/180)</f>
        <v>9.0191848150563837E-5</v>
      </c>
      <c r="V30">
        <v>1.2999999999999999E-3</v>
      </c>
    </row>
    <row r="31" spans="7:22">
      <c r="G31">
        <v>15</v>
      </c>
      <c r="H31">
        <v>-1.12E-2</v>
      </c>
      <c r="I31">
        <f>H31*SIN(3*E8*PI()/180)</f>
        <v>7.5551614611142626E-3</v>
      </c>
      <c r="J31">
        <f>H31*SIN(3*E8*PI()/180)</f>
        <v>7.5551614611142626E-3</v>
      </c>
      <c r="U31">
        <f>V31*SIN((3*E8+2*E9)*PI()/180)</f>
        <v>1.0672570872316809E-3</v>
      </c>
      <c r="V31">
        <v>1.1000000000000001E-3</v>
      </c>
    </row>
    <row r="32" spans="7:22">
      <c r="G32">
        <v>16</v>
      </c>
      <c r="H32">
        <v>-1.04E-2</v>
      </c>
      <c r="I32">
        <f>H32*SIN((10*E8-E9)*PI()/180)</f>
        <v>-5.9085152083936804E-3</v>
      </c>
      <c r="J32">
        <f>H32*SIN((10*E8-E9)*PI()/180)</f>
        <v>-5.9085152083936804E-3</v>
      </c>
      <c r="U32">
        <f>V32*SIN((4*E8+2*E10-2*E9)*PI()/180)</f>
        <v>-1.0837628122570705E-3</v>
      </c>
      <c r="V32">
        <v>-1.1000000000000001E-3</v>
      </c>
    </row>
    <row r="33" spans="7:22">
      <c r="G33">
        <v>17</v>
      </c>
      <c r="H33">
        <v>8.6E-3</v>
      </c>
      <c r="I33">
        <f>H33*SIN(16*E8*PI()/180)</f>
        <v>6.2116302821556522E-3</v>
      </c>
      <c r="J33">
        <f>H33*SIN(16*E8*PI()/180)</f>
        <v>6.2116302821556522E-3</v>
      </c>
      <c r="U33">
        <f>V33*SIN((E8+2*E9)*PI()/180)</f>
        <v>-7.396888124496701E-4</v>
      </c>
      <c r="V33">
        <v>-1E-3</v>
      </c>
    </row>
    <row r="34" spans="7:22">
      <c r="G34">
        <v>18</v>
      </c>
      <c r="H34">
        <v>6.8999999999999999E-3</v>
      </c>
      <c r="I34">
        <f>H34*SIN((12*E8-E9)*PI()/180)</f>
        <v>6.1424732143678593E-3</v>
      </c>
      <c r="J34">
        <f>H34*SIN((12*E8-E9)*PI()/180)</f>
        <v>6.1424732143678593E-3</v>
      </c>
      <c r="U34">
        <f>V34*SIN((22*E8-E9)*PI()/180)</f>
        <v>3.7039334615007302E-4</v>
      </c>
      <c r="V34">
        <v>-8.9999999999999998E-4</v>
      </c>
    </row>
    <row r="35" spans="7:22">
      <c r="G35">
        <v>19</v>
      </c>
      <c r="H35">
        <v>6.6E-3</v>
      </c>
      <c r="I35">
        <f>H35*SIN(5*E8*PI()/180)</f>
        <v>-6.2291250462920191E-3</v>
      </c>
      <c r="J35">
        <f>H35*SIN(5*E8*PI()/180)</f>
        <v>-6.2291250462920191E-3</v>
      </c>
      <c r="U35">
        <f>V35*SIN(4*E10*PI()/180)</f>
        <v>7.2915506009738182E-4</v>
      </c>
      <c r="V35">
        <v>-8.0000000000000004E-4</v>
      </c>
    </row>
    <row r="36" spans="7:22">
      <c r="G36">
        <v>20</v>
      </c>
      <c r="H36">
        <v>-5.3E-3</v>
      </c>
      <c r="I36">
        <f>H36*SIN((2*E8+2*E10)*PI()/180)</f>
        <v>5.283132079431525E-3</v>
      </c>
      <c r="J36">
        <f>H36*SIN((2*E8+2*E10)*PI()/180)</f>
        <v>5.283132079431525E-3</v>
      </c>
      <c r="U36">
        <f>V36*SIN((6*E8-2*E10)*PI()/180)</f>
        <v>-3.7180001638929957E-4</v>
      </c>
      <c r="V36">
        <v>8.0000000000000004E-4</v>
      </c>
    </row>
    <row r="37" spans="7:22">
      <c r="G37">
        <v>21</v>
      </c>
      <c r="H37">
        <v>-5.1999999999999998E-3</v>
      </c>
      <c r="I37">
        <f>H37*SIN(18*E8*PI()/180)</f>
        <v>-5.0114519108461243E-3</v>
      </c>
      <c r="J37">
        <f>H37*SIN(18*E8*PI()/180)</f>
        <v>-5.0114519108461243E-3</v>
      </c>
      <c r="U37">
        <f>V37*SIN((2*E8-2*E10+E9)*PI()/180)</f>
        <v>7.8227217667450118E-4</v>
      </c>
      <c r="V37">
        <v>8.0000000000000004E-4</v>
      </c>
    </row>
    <row r="38" spans="7:22">
      <c r="G38">
        <v>22</v>
      </c>
      <c r="H38">
        <v>-4.5999999999999999E-3</v>
      </c>
      <c r="I38">
        <f>H38*SIN((14*E8-E9)*PI()/180)</f>
        <v>-4.5990236709853903E-3</v>
      </c>
      <c r="J38">
        <f>H38*SIN((14*E8-E9)*PI()/180)</f>
        <v>-4.5990236709853903E-3</v>
      </c>
      <c r="U38">
        <f>V38*SIN(2*E9*PI()/180)</f>
        <v>3.8701490079842173E-4</v>
      </c>
      <c r="V38">
        <v>6.9999999999999999E-4</v>
      </c>
    </row>
    <row r="39" spans="7:22">
      <c r="G39">
        <v>23</v>
      </c>
      <c r="H39">
        <v>-4.1000000000000003E-3</v>
      </c>
      <c r="I39">
        <f>H39*SIN(7*E8*PI()/180)</f>
        <v>4.0497299102536253E-3</v>
      </c>
      <c r="J39">
        <f>H39*SIN(7*E8*PI()/180)</f>
        <v>4.0497299102536253E-3</v>
      </c>
      <c r="U39">
        <f>V39*SIN((2*E10-E9)*PI()/180)</f>
        <v>-5.3335526598887568E-4</v>
      </c>
      <c r="V39">
        <v>6.9999999999999999E-4</v>
      </c>
    </row>
    <row r="40" spans="7:22">
      <c r="G40">
        <v>24</v>
      </c>
      <c r="H40">
        <v>4.0000000000000001E-3</v>
      </c>
      <c r="I40">
        <f>H40*SIN((2*E8+E9)*PI()/180)</f>
        <v>2.8253271382759366E-3</v>
      </c>
      <c r="J40">
        <f>H40*SIN((2*E8+E9)*PI()/180)</f>
        <v>2.8253271382759366E-3</v>
      </c>
      <c r="U40">
        <f>V40*SIN((2*E8+4*E10)*PI()/180)</f>
        <v>-4.2540800584115628E-4</v>
      </c>
      <c r="V40">
        <v>6.9999999999999999E-4</v>
      </c>
    </row>
    <row r="41" spans="7:22">
      <c r="G41">
        <v>25</v>
      </c>
      <c r="H41">
        <v>3.2000000000000002E-3</v>
      </c>
      <c r="I41">
        <f>H41*SIN(20*E8*PI()/180)</f>
        <v>3.1204275288898896E-3</v>
      </c>
      <c r="J41">
        <f>H41*SIN(20*E8*PI()/180)</f>
        <v>3.1204275288898896E-3</v>
      </c>
      <c r="U41">
        <f>V41*SIN((2*E10-2*E9)*PI()/180)</f>
        <v>-2.4004115567546192E-4</v>
      </c>
      <c r="V41">
        <v>-5.9999999999999995E-4</v>
      </c>
    </row>
    <row r="42" spans="7:22">
      <c r="G42">
        <v>26</v>
      </c>
      <c r="H42">
        <v>-3.2000000000000002E-3</v>
      </c>
      <c r="I42">
        <f>H42*SIN((E8+E9)*PI()/180)</f>
        <v>-2.7451604646641474E-3</v>
      </c>
      <c r="J42">
        <f>H42*SIN((E8+E9)*PI()/180)</f>
        <v>-2.7451604646641474E-3</v>
      </c>
      <c r="U42">
        <f>V42*SIN((2*E8-2*E10+2*E9)*PI()/180)</f>
        <v>-4.9141612514587596E-5</v>
      </c>
      <c r="V42">
        <v>-5.9999999999999995E-4</v>
      </c>
    </row>
    <row r="43" spans="7:22">
      <c r="G43">
        <v>27</v>
      </c>
      <c r="H43">
        <v>3.0999999999999999E-3</v>
      </c>
      <c r="I43">
        <f>H43*SIN((16*E8-E9)*PI()/180)</f>
        <v>2.6991436720047541E-3</v>
      </c>
      <c r="J43">
        <f>H43*SIN((16*E8-E9)*PI()/180)</f>
        <v>2.6991436720047541E-3</v>
      </c>
      <c r="U43">
        <f>V43*SIN(24*E8*PI()/180)</f>
        <v>2.1144913555307595E-4</v>
      </c>
      <c r="V43">
        <v>5.9999999999999995E-4</v>
      </c>
    </row>
    <row r="44" spans="7:22">
      <c r="G44">
        <v>28</v>
      </c>
      <c r="H44">
        <v>-2.8999999999999998E-3</v>
      </c>
      <c r="I44">
        <f>H44*SIN((4*E8+E9)*PI()/180)</f>
        <v>-8.3125241382522516E-4</v>
      </c>
      <c r="J44">
        <f>H44*SIN((4*E8+E9)*PI()/180)</f>
        <v>-8.3125241382522516E-4</v>
      </c>
      <c r="U44">
        <f>V44*SIN((4*E8-4*E10)*PI()/180)</f>
        <v>4.2278724081227397E-4</v>
      </c>
      <c r="V44">
        <v>5.0000000000000001E-4</v>
      </c>
    </row>
    <row r="45" spans="7:22">
      <c r="G45">
        <v>29</v>
      </c>
      <c r="H45">
        <v>2.7000000000000001E-3</v>
      </c>
      <c r="I45">
        <f>H45*SIN(9*E8*PI()/180)</f>
        <v>-2.1488678437849187E-3</v>
      </c>
      <c r="J45">
        <f>H45*SIN(9*E8*PI()/180)</f>
        <v>-2.1488678437849187E-3</v>
      </c>
      <c r="U45">
        <f>V45*SIN((2*E8+2*E9)*PI()/180)</f>
        <v>4.408376444289242E-4</v>
      </c>
      <c r="V45">
        <v>5.0000000000000001E-4</v>
      </c>
    </row>
    <row r="46" spans="7:22">
      <c r="G46">
        <v>30</v>
      </c>
      <c r="H46">
        <v>2.7000000000000001E-3</v>
      </c>
      <c r="I46">
        <f>H46*SIN((4*E8+2*E10)*PI()/180)</f>
        <v>-2.4721376088583749E-3</v>
      </c>
      <c r="J46">
        <f>H46*SIN((4*E8+2*E10)*PI()/180)</f>
        <v>-2.4721376088583749E-3</v>
      </c>
      <c r="U46">
        <f>V46*SIN((E8-E9)*PI()/180)</f>
        <v>3.9957477068632528E-4</v>
      </c>
      <c r="V46">
        <v>-4.0000000000000002E-4</v>
      </c>
    </row>
    <row r="48" spans="7:22">
      <c r="I48">
        <f>SUM(I17:I47)</f>
        <v>0.62890338293393377</v>
      </c>
      <c r="J48">
        <f>SUM(J17:J47)</f>
        <v>0.62890338293393377</v>
      </c>
      <c r="U48">
        <f>SUM(U17:U47)</f>
        <v>1.1522678377393456E-3</v>
      </c>
    </row>
    <row r="49" spans="10:10" ht="18.75">
      <c r="J49" s="181">
        <f>J48+U48</f>
        <v>0.63005565077167314</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C2:T75"/>
  <sheetViews>
    <sheetView zoomScale="93" zoomScaleNormal="93" workbookViewId="0">
      <selection activeCell="F6" sqref="F6"/>
    </sheetView>
  </sheetViews>
  <sheetFormatPr defaultRowHeight="15"/>
  <cols>
    <col min="4" max="4" width="32.7109375" customWidth="1"/>
    <col min="6" max="6" width="13.85546875" customWidth="1"/>
    <col min="8" max="8" width="23.140625" customWidth="1"/>
    <col min="14" max="14" width="24.140625" customWidth="1"/>
    <col min="20" max="20" width="18.7109375" bestFit="1" customWidth="1"/>
  </cols>
  <sheetData>
    <row r="2" spans="3:6" ht="21">
      <c r="C2" s="141"/>
      <c r="D2" s="141" t="s">
        <v>316</v>
      </c>
    </row>
    <row r="3" spans="3:6" ht="21">
      <c r="C3" s="139" t="str">
        <f>'prigee-'!B23</f>
        <v>k=</v>
      </c>
      <c r="D3" s="142">
        <f>INT((M20-1999.97)*13.2555)-0.5</f>
        <v>201.5</v>
      </c>
    </row>
    <row r="4" spans="3:6" ht="21">
      <c r="C4" s="139" t="str">
        <f>'prigee-'!B24</f>
        <v>T=</v>
      </c>
      <c r="D4" s="142">
        <f>(D3/1325.55)</f>
        <v>0.15201237222285091</v>
      </c>
    </row>
    <row r="5" spans="3:6" ht="21">
      <c r="C5" s="139" t="str">
        <f>'prigee-'!B25</f>
        <v>JDE=</v>
      </c>
      <c r="D5" s="127">
        <f>2451534.6698+27.55454988*D3-0.0006886*D4^2-0.000001098*D4^3+0.0000000052*D4^4</f>
        <v>2457086.911584904</v>
      </c>
    </row>
    <row r="6" spans="3:6" ht="21">
      <c r="C6" s="139"/>
      <c r="D6" s="143"/>
    </row>
    <row r="7" spans="3:6" ht="26.25">
      <c r="C7" s="139" t="str">
        <f>'prigee-'!B27</f>
        <v>JDE=</v>
      </c>
      <c r="D7" s="144">
        <f>D5+N75</f>
        <v>2457086.8165058536</v>
      </c>
    </row>
    <row r="8" spans="3:6" ht="28.5">
      <c r="C8" s="139" t="s">
        <v>320</v>
      </c>
      <c r="D8" s="149">
        <f>parallex!C46</f>
        <v>406368.26858164323</v>
      </c>
    </row>
    <row r="9" spans="3:6" ht="21">
      <c r="C9" s="139"/>
      <c r="D9" s="143"/>
    </row>
    <row r="10" spans="3:6" ht="21">
      <c r="C10" s="139" t="str">
        <f>'prigee-'!B30</f>
        <v>D=</v>
      </c>
      <c r="D10" s="31">
        <f>171.9179+335.9106046*D3-0.010025*D4^2-0.00001156*D4^3+0.000000055*D4^4</f>
        <v>67857.904495204129</v>
      </c>
      <c r="F10">
        <f>MOD(D10,360)</f>
        <v>177.90449520412949</v>
      </c>
    </row>
    <row r="11" spans="3:6" ht="21">
      <c r="C11" s="139" t="str">
        <f>'prigee-'!B31</f>
        <v>M=</v>
      </c>
      <c r="D11" s="31">
        <f>347.3477+27.1577721*D3-0.0008323*D4^2-0.000001*D4^3</f>
        <v>5819.6387589138976</v>
      </c>
      <c r="F11">
        <f t="shared" ref="F11:F12" si="0">MOD(D11,360)</f>
        <v>59.638758913897618</v>
      </c>
    </row>
    <row r="12" spans="3:6" ht="21">
      <c r="C12" s="139" t="str">
        <f>'prigee-'!B32</f>
        <v>F=</v>
      </c>
      <c r="D12" s="31">
        <f>316.6109+364.5287911*D3-0.0125131*D4^2-0.0000148*D4^3</f>
        <v>73769.162017448267</v>
      </c>
      <c r="F12">
        <f t="shared" si="0"/>
        <v>329.16201744826685</v>
      </c>
    </row>
    <row r="13" spans="3:6">
      <c r="D13" s="125"/>
    </row>
    <row r="20" spans="12:16">
      <c r="M20" s="84">
        <f>N23+N20</f>
        <v>2015.2410958904109</v>
      </c>
      <c r="N20">
        <f>P29/365</f>
        <v>0.24109589041095891</v>
      </c>
    </row>
    <row r="23" spans="12:16" ht="15.75">
      <c r="M23" t="s">
        <v>149</v>
      </c>
      <c r="N23" s="8">
        <f>D!G4</f>
        <v>2015</v>
      </c>
    </row>
    <row r="24" spans="12:16">
      <c r="M24" t="s">
        <v>148</v>
      </c>
      <c r="N24">
        <f>L29</f>
        <v>3</v>
      </c>
    </row>
    <row r="29" spans="12:16">
      <c r="L29">
        <f>'monn full'!J133</f>
        <v>3</v>
      </c>
      <c r="M29">
        <v>31</v>
      </c>
      <c r="N29">
        <v>31</v>
      </c>
      <c r="O29">
        <f>(N29-15)+13</f>
        <v>29</v>
      </c>
      <c r="P29">
        <f>IF(L29=1,O29,IF(L29=2,O30,IF(L29=3,O31,IF(L29=4,O32,IF(L29=5,O33,IF(L29=6,O34,IF(L29=7,O35,IF(L29=8,O36,IF(L29=9,O37,IF(L29=10,O38,IF(L29=11,O39,IF(L29=12,O40,0))))))))))))</f>
        <v>88</v>
      </c>
    </row>
    <row r="30" spans="12:16">
      <c r="M30">
        <v>28</v>
      </c>
      <c r="N30">
        <f>N29+(M30)</f>
        <v>59</v>
      </c>
      <c r="O30">
        <f t="shared" ref="O30:O40" si="1">(N30-15)+13</f>
        <v>57</v>
      </c>
    </row>
    <row r="31" spans="12:16">
      <c r="M31">
        <v>31</v>
      </c>
      <c r="N31">
        <f t="shared" ref="N31:N40" si="2">N30+(M31)</f>
        <v>90</v>
      </c>
      <c r="O31">
        <f t="shared" si="1"/>
        <v>88</v>
      </c>
    </row>
    <row r="32" spans="12:16">
      <c r="M32">
        <v>30</v>
      </c>
      <c r="N32">
        <f t="shared" si="2"/>
        <v>120</v>
      </c>
      <c r="O32">
        <f t="shared" si="1"/>
        <v>118</v>
      </c>
    </row>
    <row r="33" spans="13:15">
      <c r="M33">
        <v>31</v>
      </c>
      <c r="N33">
        <f t="shared" si="2"/>
        <v>151</v>
      </c>
      <c r="O33">
        <f t="shared" si="1"/>
        <v>149</v>
      </c>
    </row>
    <row r="34" spans="13:15">
      <c r="M34">
        <v>30</v>
      </c>
      <c r="N34">
        <f t="shared" si="2"/>
        <v>181</v>
      </c>
      <c r="O34">
        <f t="shared" si="1"/>
        <v>179</v>
      </c>
    </row>
    <row r="35" spans="13:15">
      <c r="M35">
        <v>31</v>
      </c>
      <c r="N35">
        <f t="shared" si="2"/>
        <v>212</v>
      </c>
      <c r="O35">
        <f t="shared" si="1"/>
        <v>210</v>
      </c>
    </row>
    <row r="36" spans="13:15">
      <c r="M36">
        <v>31</v>
      </c>
      <c r="N36">
        <f t="shared" si="2"/>
        <v>243</v>
      </c>
      <c r="O36">
        <f t="shared" si="1"/>
        <v>241</v>
      </c>
    </row>
    <row r="37" spans="13:15">
      <c r="M37">
        <v>30</v>
      </c>
      <c r="N37">
        <f t="shared" si="2"/>
        <v>273</v>
      </c>
      <c r="O37">
        <f t="shared" si="1"/>
        <v>271</v>
      </c>
    </row>
    <row r="38" spans="13:15">
      <c r="M38">
        <v>31</v>
      </c>
      <c r="N38">
        <f t="shared" si="2"/>
        <v>304</v>
      </c>
      <c r="O38">
        <f t="shared" si="1"/>
        <v>302</v>
      </c>
    </row>
    <row r="39" spans="13:15">
      <c r="M39">
        <v>30</v>
      </c>
      <c r="N39">
        <f t="shared" si="2"/>
        <v>334</v>
      </c>
      <c r="O39">
        <f t="shared" si="1"/>
        <v>332</v>
      </c>
    </row>
    <row r="40" spans="13:15">
      <c r="M40">
        <v>31</v>
      </c>
      <c r="N40">
        <f t="shared" si="2"/>
        <v>365</v>
      </c>
      <c r="O40">
        <f t="shared" si="1"/>
        <v>363</v>
      </c>
    </row>
    <row r="41" spans="13:15">
      <c r="M41">
        <f>SUM(M29:M40)</f>
        <v>365</v>
      </c>
    </row>
    <row r="53" spans="6:20">
      <c r="F53" s="125">
        <f>G53-H53</f>
        <v>0</v>
      </c>
      <c r="G53">
        <f>I53*SIN(2*D10*PI()/180)</f>
        <v>-3.2097485008519687E-2</v>
      </c>
      <c r="H53">
        <f>I53*SIN(2*D10*PI()/180)</f>
        <v>-3.2097485008519687E-2</v>
      </c>
      <c r="I53">
        <v>0.43919999999999998</v>
      </c>
      <c r="S53">
        <v>1.1000000000000001E-3</v>
      </c>
      <c r="T53">
        <f>S53*SIN((8*D10-D11)*PI()/180)</f>
        <v>-1.0691697274192882E-3</v>
      </c>
    </row>
    <row r="54" spans="6:20">
      <c r="F54" s="125">
        <f t="shared" ref="F54:F68" si="3">G54-H54</f>
        <v>0</v>
      </c>
      <c r="G54">
        <f>I54*SIN(4*D10*PI()/180)</f>
        <v>-9.9708433452981773E-3</v>
      </c>
      <c r="H54">
        <f>I54*SIN(4*D10*PI()/180)</f>
        <v>-9.9708433452981773E-3</v>
      </c>
      <c r="I54">
        <v>6.8400000000000002E-2</v>
      </c>
      <c r="S54">
        <v>1E-3</v>
      </c>
      <c r="T54">
        <f>S54*SIN((4*D10-2*D11)*PI()/180)</f>
        <v>-7.9165520359114519E-4</v>
      </c>
    </row>
    <row r="55" spans="6:20">
      <c r="F55" s="125">
        <f t="shared" si="3"/>
        <v>0</v>
      </c>
      <c r="G55">
        <f>(I55-0.00011*D4)*SIN(D11*PI()/180)</f>
        <v>3.9331795847470055E-2</v>
      </c>
      <c r="H55">
        <f>(I55-0.00011*D4)*SIN(D11*PI()/180)</f>
        <v>3.9331795847470055E-2</v>
      </c>
      <c r="I55">
        <v>4.5600000000000002E-2</v>
      </c>
      <c r="S55">
        <v>8.9999999999999998E-4</v>
      </c>
      <c r="T55">
        <f>S55*SIN(10*D10*PI()/180)</f>
        <v>-3.2187184957553833E-4</v>
      </c>
    </row>
    <row r="56" spans="6:20">
      <c r="F56" s="125">
        <f t="shared" si="3"/>
        <v>0</v>
      </c>
      <c r="G56">
        <f>(I56-0.00011*D4)*SIN((2*D10-D11)*PI()/180)</f>
        <v>-3.8217966106633326E-2</v>
      </c>
      <c r="H56">
        <f>(I56-0.00011*D4)*SIN((2*D10-D11)*PI()/180)</f>
        <v>-3.8217966106633326E-2</v>
      </c>
      <c r="I56">
        <v>4.2599999999999999E-2</v>
      </c>
      <c r="S56">
        <v>6.9999999999999999E-4</v>
      </c>
      <c r="T56">
        <f>S56*SIN((3*D10+D11)*PI()/180)</f>
        <v>-5.6162417413641095E-4</v>
      </c>
    </row>
    <row r="57" spans="6:20">
      <c r="F57" s="125">
        <f t="shared" si="3"/>
        <v>0</v>
      </c>
      <c r="G57">
        <f>I57*SIN(2*D12*PI()/180)</f>
        <v>-1.8661902115906973E-2</v>
      </c>
      <c r="H57">
        <f>I57*SIN(2*D12*PI()/180)</f>
        <v>-1.8661902115906973E-2</v>
      </c>
      <c r="I57">
        <v>2.12E-2</v>
      </c>
      <c r="S57">
        <v>5.9999999999999995E-4</v>
      </c>
      <c r="T57">
        <f>S57*SIN(2*D11*PI()/180)</f>
        <v>5.2335673983475021E-4</v>
      </c>
    </row>
    <row r="58" spans="6:20">
      <c r="F58" s="125">
        <f t="shared" si="3"/>
        <v>0</v>
      </c>
      <c r="G58">
        <f>I58*SIN(D10*PI()/180)</f>
        <v>-6.9108426776720447E-4</v>
      </c>
      <c r="H58">
        <f>I58*SIN(D10*PI()/180)</f>
        <v>-6.9108426776720447E-4</v>
      </c>
      <c r="I58">
        <v>-1.89E-2</v>
      </c>
      <c r="S58">
        <v>5.0000000000000001E-4</v>
      </c>
      <c r="T58">
        <f>S58*SIN((2*D10+D11)*PI()/180)</f>
        <v>4.1180465694713123E-4</v>
      </c>
    </row>
    <row r="59" spans="6:20">
      <c r="F59" s="125">
        <f t="shared" si="3"/>
        <v>0</v>
      </c>
      <c r="G59">
        <f>I59*SIN(6*D10*PI()/180)</f>
        <v>-3.1346469710178729E-3</v>
      </c>
      <c r="H59">
        <f>I59*SIN(6*D10*PI()/180)</f>
        <v>-3.1346469710178729E-3</v>
      </c>
      <c r="I59">
        <v>1.44E-2</v>
      </c>
      <c r="S59">
        <v>5.0000000000000001E-4</v>
      </c>
      <c r="T59">
        <f>S59*SIN((2*D10+2*D11)*PI()/180)</f>
        <v>4.5283433128046871E-4</v>
      </c>
    </row>
    <row r="60" spans="6:20">
      <c r="F60" s="125">
        <f t="shared" si="3"/>
        <v>0</v>
      </c>
      <c r="G60">
        <f>I60*SIN((4*D10-D11)*PI()/180)</f>
        <v>-1.047871196881279E-2</v>
      </c>
      <c r="H60">
        <f>I60*SIN((4*D10-D11)*PI()/180)</f>
        <v>-1.047871196881279E-2</v>
      </c>
      <c r="I60">
        <v>1.1299999999999999E-2</v>
      </c>
      <c r="S60">
        <v>4.0000000000000002E-4</v>
      </c>
      <c r="T60">
        <f>S60*SIN((6*D10+2*D12)*PI()/180)</f>
        <v>-3.8498018791030536E-4</v>
      </c>
    </row>
    <row r="61" spans="6:20">
      <c r="F61" s="125">
        <f t="shared" si="3"/>
        <v>0</v>
      </c>
      <c r="G61">
        <f>I61*SIN((2*D10+2*D12)*PI()/180)</f>
        <v>-4.2892137198866209E-3</v>
      </c>
      <c r="H61">
        <f>I61*SIN((2*D10+2*D12)*PI()/180)</f>
        <v>-4.2892137198866209E-3</v>
      </c>
      <c r="I61">
        <v>4.7000000000000002E-3</v>
      </c>
      <c r="S61">
        <v>4.0000000000000002E-4</v>
      </c>
      <c r="T61">
        <f>S61*SIN((6*D10-2*D11)*PI()/180)</f>
        <v>-2.9795507664760631E-4</v>
      </c>
    </row>
    <row r="62" spans="6:20">
      <c r="F62" s="125">
        <f t="shared" si="3"/>
        <v>0</v>
      </c>
      <c r="G62">
        <f>I62*SIN((D10+D11)*PI()/180)</f>
        <v>-3.0376685782954388E-3</v>
      </c>
      <c r="H62">
        <f>I62*SIN((D10+D11)*PI()/180)</f>
        <v>-3.0376685782954388E-3</v>
      </c>
      <c r="I62">
        <v>3.5999999999999999E-3</v>
      </c>
      <c r="S62">
        <v>4.0000000000000002E-4</v>
      </c>
      <c r="T62">
        <f>S62*SIN((10*D10-D11)*PI()/180)</f>
        <v>-3.946218007459176E-4</v>
      </c>
    </row>
    <row r="63" spans="6:20">
      <c r="F63" s="125">
        <f t="shared" si="3"/>
        <v>0</v>
      </c>
      <c r="G63">
        <f>I63*SIN(8*D10*PI()/180)</f>
        <v>-1.0095080783287594E-3</v>
      </c>
      <c r="H63">
        <f>I63*SIN(8*D10*PI()/180)</f>
        <v>-1.0095080783287594E-3</v>
      </c>
      <c r="I63">
        <v>3.5000000000000001E-3</v>
      </c>
      <c r="S63">
        <v>-4.0000000000000002E-4</v>
      </c>
      <c r="T63">
        <f>S63*SIN(5*D10*PI()/180)</f>
        <v>-7.2739919877052605E-5</v>
      </c>
    </row>
    <row r="64" spans="6:20">
      <c r="F64" s="125">
        <f t="shared" si="3"/>
        <v>0</v>
      </c>
      <c r="G64">
        <f>I64*SIN((6*D10-D11)*PI()/180)</f>
        <v>-3.2374536993180314E-3</v>
      </c>
      <c r="H64">
        <f>I64*SIN((6*D10-D11)*PI()/180)</f>
        <v>-3.2374536993180314E-3</v>
      </c>
      <c r="I64">
        <v>3.3999999999999998E-3</v>
      </c>
      <c r="S64">
        <v>-4.0000000000000002E-4</v>
      </c>
      <c r="T64">
        <f>S64*SIN((4*D10-2*D12)*PI()/180)</f>
        <v>-3.2068499701034511E-4</v>
      </c>
    </row>
    <row r="65" spans="6:20">
      <c r="F65" s="125">
        <f t="shared" si="3"/>
        <v>0</v>
      </c>
      <c r="G65">
        <f>I65*SIN((2*D10-2*D12)*PI()/180)</f>
        <v>-2.8670511384436804E-3</v>
      </c>
      <c r="H65">
        <f>I65*SIN((2*D10-2*D12)*PI()/180)</f>
        <v>-2.8670511384436804E-3</v>
      </c>
      <c r="I65">
        <v>-3.3999999999999998E-3</v>
      </c>
      <c r="S65">
        <v>2.9999999999999997E-4</v>
      </c>
      <c r="T65">
        <f>S65*SIN((2*D12+D11)*PI()/180)</f>
        <v>-1.0664539268987921E-5</v>
      </c>
    </row>
    <row r="66" spans="6:20">
      <c r="F66" s="125">
        <f t="shared" si="3"/>
        <v>0</v>
      </c>
      <c r="G66">
        <f>I66*SIN((2*D10-2*D11)*PI()/180)</f>
        <v>-1.8352155256993899E-3</v>
      </c>
      <c r="H66">
        <f>I66*SIN((2*D10-2*D11)*PI()/180)</f>
        <v>-1.8352155256993899E-3</v>
      </c>
      <c r="I66">
        <v>2.2000000000000001E-3</v>
      </c>
      <c r="S66">
        <v>2.9999999999999997E-4</v>
      </c>
      <c r="T66">
        <f>S66*SIN(12*D10*PI()/180)</f>
        <v>-1.2747816973023186E-4</v>
      </c>
    </row>
    <row r="67" spans="6:20">
      <c r="F67" s="125">
        <f t="shared" si="3"/>
        <v>0</v>
      </c>
      <c r="G67">
        <f>I67*SIN(3*D10*PI()/180)</f>
        <v>-1.8615061389673059E-4</v>
      </c>
      <c r="H67">
        <f>I67*SIN(3*D10*PI()/180)</f>
        <v>-1.8615061389673059E-4</v>
      </c>
      <c r="I67">
        <v>-1.6999999999999999E-3</v>
      </c>
      <c r="S67">
        <v>2.9999999999999997E-4</v>
      </c>
      <c r="T67">
        <f>S67*SIN((2*D10+2*D12-D11)*PI()/180)</f>
        <v>-2.4421722093826461E-4</v>
      </c>
    </row>
    <row r="68" spans="6:20">
      <c r="F68" s="125">
        <f t="shared" si="3"/>
        <v>0</v>
      </c>
      <c r="G68">
        <f>I68*SIN((4*D10+2*D12)*PI()/180)</f>
        <v>-1.2220497505122882E-3</v>
      </c>
      <c r="H68">
        <f>I68*SIN((4*D10+2*D12)*PI()/180)</f>
        <v>-1.2220497505122882E-3</v>
      </c>
      <c r="I68">
        <v>1.2999999999999999E-3</v>
      </c>
      <c r="S68">
        <v>-2.9999999999999997E-4</v>
      </c>
      <c r="T68">
        <f>S68*SIN((D10-D11)*PI()/180)</f>
        <v>-2.6422821231008041E-4</v>
      </c>
    </row>
    <row r="71" spans="6:20" ht="21">
      <c r="H71" s="139">
        <f>SUM(H53:H70)</f>
        <v>-9.1605155040866942E-2</v>
      </c>
      <c r="T71" s="139">
        <f>SUM(T53:T70)</f>
        <v>-3.4738953510988243E-3</v>
      </c>
    </row>
    <row r="75" spans="6:20" ht="23.25">
      <c r="N75" s="140">
        <f>H71+T71</f>
        <v>-9.5079050391965764E-2</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dimension ref="B2:W57"/>
  <sheetViews>
    <sheetView topLeftCell="A4" zoomScale="96" zoomScaleNormal="96" workbookViewId="0">
      <selection activeCell="E18" sqref="E18"/>
    </sheetView>
  </sheetViews>
  <sheetFormatPr defaultRowHeight="15"/>
  <cols>
    <col min="3" max="3" width="17.140625" customWidth="1"/>
    <col min="4" max="4" width="18.85546875" customWidth="1"/>
    <col min="5" max="5" width="18" customWidth="1"/>
    <col min="6" max="6" width="19.5703125" customWidth="1"/>
    <col min="7" max="7" width="18.7109375" customWidth="1"/>
    <col min="8" max="8" width="19" customWidth="1"/>
    <col min="15" max="15" width="24.140625" customWidth="1"/>
    <col min="20" max="20" width="14" customWidth="1"/>
    <col min="21" max="22" width="15.28515625" customWidth="1"/>
    <col min="23" max="23" width="14.140625" customWidth="1"/>
  </cols>
  <sheetData>
    <row r="2" spans="3:22">
      <c r="F2" t="s">
        <v>342</v>
      </c>
    </row>
    <row r="4" spans="3:22" ht="18.75">
      <c r="C4" s="100"/>
      <c r="D4" s="180" t="s">
        <v>341</v>
      </c>
    </row>
    <row r="5" spans="3:22">
      <c r="C5" s="138" t="str">
        <f>pr!C1</f>
        <v>k=</v>
      </c>
      <c r="D5" s="138">
        <f>pr!D1</f>
        <v>202</v>
      </c>
    </row>
    <row r="6" spans="3:22">
      <c r="C6" s="138" t="str">
        <f>pr!C2</f>
        <v>T=</v>
      </c>
      <c r="D6" s="138">
        <f>pr!D2</f>
        <v>0.15238957413903664</v>
      </c>
    </row>
    <row r="7" spans="3:22">
      <c r="C7" s="138" t="str">
        <f>pr!C3</f>
        <v>JDE=</v>
      </c>
      <c r="D7" s="138">
        <f>pr!D3</f>
        <v>2457100.688859765</v>
      </c>
    </row>
    <row r="8" spans="3:22">
      <c r="C8" s="138"/>
      <c r="D8" s="138"/>
    </row>
    <row r="9" spans="3:22">
      <c r="C9" s="138" t="str">
        <f>pr!C5</f>
        <v>JDE=</v>
      </c>
      <c r="D9" s="138">
        <f>pr!D5</f>
        <v>2457101.3189154156</v>
      </c>
      <c r="F9">
        <f>G9-H9</f>
        <v>0</v>
      </c>
      <c r="G9">
        <f>I9</f>
        <v>3629.2150000000001</v>
      </c>
      <c r="H9">
        <f>I9</f>
        <v>3629.2150000000001</v>
      </c>
      <c r="I9">
        <v>3629.2150000000001</v>
      </c>
      <c r="S9">
        <v>6.7000000000000004E-2</v>
      </c>
      <c r="T9">
        <f>S9*COS((10*D12-D13)*PI()/180)</f>
        <v>-5.5137064638686326E-2</v>
      </c>
      <c r="U9">
        <f>S9*COS((10*D12-D13)*PI()/180)</f>
        <v>-5.5137064638686326E-2</v>
      </c>
      <c r="V9">
        <f>U9-T9</f>
        <v>0</v>
      </c>
    </row>
    <row r="10" spans="3:22">
      <c r="C10" s="138" t="s">
        <v>317</v>
      </c>
      <c r="D10" s="138">
        <f>O36</f>
        <v>3679.2978207153919</v>
      </c>
      <c r="E10">
        <f>D10/3600</f>
        <v>1.0220271724209422</v>
      </c>
      <c r="F10">
        <f t="shared" ref="F10:F33" si="0">G10-H10</f>
        <v>0</v>
      </c>
      <c r="G10">
        <f>I10*COS(2*D12*PI()/180)</f>
        <v>55.677546684576697</v>
      </c>
      <c r="H10">
        <f>I10*COS(2*D12*PI()/180)</f>
        <v>55.677546684576697</v>
      </c>
      <c r="I10">
        <v>63.223999999999997</v>
      </c>
      <c r="S10">
        <v>5.3999999999999999E-2</v>
      </c>
      <c r="T10">
        <f>S10*COS((4*D12+D13)*PI()/180)</f>
        <v>5.1734091734056915E-2</v>
      </c>
      <c r="U10">
        <f>S10*COS((4*D12+D13)*PI()/180)</f>
        <v>5.1734091734056915E-2</v>
      </c>
      <c r="V10">
        <f t="shared" ref="V10:V33" si="1">U10-T10</f>
        <v>0</v>
      </c>
    </row>
    <row r="11" spans="3:22" ht="15.75">
      <c r="C11" s="137" t="s">
        <v>175</v>
      </c>
      <c r="D11" s="148">
        <f>6378.14/(E10*PI()/180)</f>
        <v>357564.371089986</v>
      </c>
      <c r="F11">
        <f t="shared" si="0"/>
        <v>0</v>
      </c>
      <c r="G11">
        <f>I11*COS(4*D12*PI()/180)</f>
        <v>-3.851850514906682</v>
      </c>
      <c r="H11">
        <f>I11*COS(4*D12*PI()/180)</f>
        <v>-3.851850514906682</v>
      </c>
      <c r="I11">
        <v>-6.99</v>
      </c>
      <c r="S11">
        <v>-3.7999999999999999E-2</v>
      </c>
      <c r="U11">
        <f>S11*COS((12*D12-D13)*PI()/180)</f>
        <v>1.731065414348118E-2</v>
      </c>
      <c r="V11">
        <f t="shared" si="1"/>
        <v>1.731065414348118E-2</v>
      </c>
    </row>
    <row r="12" spans="3:22">
      <c r="C12" s="138" t="s">
        <v>154</v>
      </c>
      <c r="D12" s="138">
        <f>pr!D8</f>
        <v>68025.859796352743</v>
      </c>
      <c r="E12" s="99">
        <f>MOD(D12,360)</f>
        <v>345.85979635274271</v>
      </c>
      <c r="F12">
        <f t="shared" si="0"/>
        <v>0</v>
      </c>
      <c r="G12">
        <f>I12*COS((2*D12-D13)*PI()/180)</f>
        <v>-0.56469864154076788</v>
      </c>
      <c r="H12">
        <f>I12*COS((2*D12-D13)*PI()/180)</f>
        <v>-0.56469864154076788</v>
      </c>
      <c r="I12">
        <f>2.834-0.0071*D6</f>
        <v>2.8329180340236131</v>
      </c>
      <c r="S12">
        <v>-3.7999999999999999E-2</v>
      </c>
      <c r="U12">
        <f>S12*COS((4*D12-2*D13)*PI()/180)</f>
        <v>3.4980193885895315E-2</v>
      </c>
      <c r="V12">
        <f t="shared" si="1"/>
        <v>3.4980193885895315E-2</v>
      </c>
    </row>
    <row r="13" spans="3:22">
      <c r="C13" s="138" t="s">
        <v>136</v>
      </c>
      <c r="D13" s="138">
        <f>pr!D9</f>
        <v>5833.2176448683067</v>
      </c>
      <c r="E13" s="99">
        <f t="shared" ref="E13:E14" si="2">MOD(D13,360)</f>
        <v>73.217644868306706</v>
      </c>
      <c r="S13">
        <v>3.6999999999999998E-2</v>
      </c>
      <c r="U13">
        <f>S13*COS(7*D12*PI()/180)</f>
        <v>-5.7762277104399847E-3</v>
      </c>
      <c r="V13">
        <f t="shared" si="1"/>
        <v>-5.7762277104399847E-3</v>
      </c>
    </row>
    <row r="14" spans="3:22">
      <c r="C14" s="138" t="s">
        <v>138</v>
      </c>
      <c r="D14" s="138">
        <f>pr!D10</f>
        <v>73951.426411561129</v>
      </c>
      <c r="E14" s="99">
        <f t="shared" si="2"/>
        <v>151.4264115611295</v>
      </c>
      <c r="F14">
        <f t="shared" si="0"/>
        <v>0</v>
      </c>
      <c r="G14">
        <f>I14*COS(6*D12*PI()/180)</f>
        <v>0.17326824802707444</v>
      </c>
      <c r="H14">
        <f>I14*COS(6*D12*PI()/180)</f>
        <v>0.17326824802707444</v>
      </c>
      <c r="I14">
        <v>1.927</v>
      </c>
      <c r="S14">
        <v>-3.6999999999999998E-2</v>
      </c>
      <c r="U14">
        <f>S14*COS((4*D12+2*D14)*PI()/180)</f>
        <v>1.4876793018652187E-2</v>
      </c>
      <c r="V14">
        <f t="shared" si="1"/>
        <v>1.4876793018652187E-2</v>
      </c>
    </row>
    <row r="15" spans="3:22">
      <c r="D15" s="100"/>
      <c r="F15">
        <f t="shared" si="0"/>
        <v>0</v>
      </c>
      <c r="G15">
        <f>I15*COS(D12*PI()/180)</f>
        <v>-1.2247321549675931</v>
      </c>
      <c r="H15">
        <f>I15*COS(D12*PI()/180)</f>
        <v>-1.2247321549675931</v>
      </c>
      <c r="I15">
        <v>-1.2629999999999999</v>
      </c>
      <c r="S15">
        <v>-3.5000000000000003E-2</v>
      </c>
      <c r="U15">
        <f>S15*COS(16*D12*PI()/180)</f>
        <v>2.4205931650073013E-2</v>
      </c>
      <c r="V15">
        <f t="shared" si="1"/>
        <v>2.4205931650073013E-2</v>
      </c>
    </row>
    <row r="16" spans="3:22">
      <c r="F16">
        <f t="shared" si="0"/>
        <v>0</v>
      </c>
      <c r="G16">
        <f>I16*COS(8*D12*PI()/180)</f>
        <v>0.2756643937605866</v>
      </c>
      <c r="H16">
        <f>I16*COS(8*D12*PI()/180)</f>
        <v>0.2756643937605866</v>
      </c>
      <c r="I16">
        <v>-0.70199999999999996</v>
      </c>
      <c r="S16">
        <v>-0.03</v>
      </c>
      <c r="U16">
        <f>S16*COS((3*D12+D13)*PI()/180)</f>
        <v>-2.5769592092566729E-2</v>
      </c>
      <c r="V16">
        <f t="shared" si="1"/>
        <v>-2.5769592092566729E-2</v>
      </c>
    </row>
    <row r="17" spans="4:22">
      <c r="F17">
        <f t="shared" si="0"/>
        <v>0</v>
      </c>
      <c r="G17">
        <f>I17*COS(D13*PI()/180)</f>
        <v>0.20088612756911595</v>
      </c>
      <c r="H17">
        <f>I17*COS(D13*PI()/180)</f>
        <v>0.20088612756911595</v>
      </c>
      <c r="I17">
        <f>0.696-0.0017*D6</f>
        <v>0.69574093772396362</v>
      </c>
      <c r="S17">
        <v>2.9000000000000001E-2</v>
      </c>
      <c r="U17">
        <f>S17*COS((D12-D13)*PI()/180)</f>
        <v>1.3368391186048896E-3</v>
      </c>
      <c r="V17">
        <f t="shared" si="1"/>
        <v>1.3368391186048896E-3</v>
      </c>
    </row>
    <row r="18" spans="4:22" ht="21">
      <c r="D18" s="182">
        <f>ASIN((0.272481*SIN(E10*PI()/180))*180/PI())*3600</f>
        <v>1015.9159443021091</v>
      </c>
      <c r="E18" s="182">
        <f>6378.14/SIN(E10*PI()/180)</f>
        <v>357583.33372689382</v>
      </c>
      <c r="S18">
        <v>-2.5000000000000001E-2</v>
      </c>
      <c r="U18">
        <f>S18*COS((6*D12+D13)*PI()/180)</f>
        <v>-2.4487310594917624E-2</v>
      </c>
      <c r="V18">
        <f t="shared" si="1"/>
        <v>-2.4487310594917624E-2</v>
      </c>
    </row>
    <row r="19" spans="4:22">
      <c r="D19" s="184">
        <f>358473400/D18</f>
        <v>352857.34219503362</v>
      </c>
      <c r="E19" s="184"/>
      <c r="F19">
        <f t="shared" si="0"/>
        <v>0</v>
      </c>
      <c r="G19">
        <f>I19*COS(2*D14*PI()/180)</f>
        <v>-0.37431322152636509</v>
      </c>
      <c r="H19">
        <f>I19*COS(2*D14*PI()/180)</f>
        <v>-0.37431322152636509</v>
      </c>
      <c r="I19">
        <v>-0.69</v>
      </c>
      <c r="S19">
        <v>2.3E-2</v>
      </c>
      <c r="U19">
        <f>S19*COS(2*D13*PI()/180)</f>
        <v>-1.9165024362008523E-2</v>
      </c>
      <c r="V19">
        <f t="shared" si="1"/>
        <v>-1.9165024362008523E-2</v>
      </c>
    </row>
    <row r="20" spans="4:22">
      <c r="D20" s="184"/>
      <c r="E20" s="184"/>
      <c r="F20">
        <f t="shared" si="0"/>
        <v>0</v>
      </c>
      <c r="G20">
        <f>I20*COS((4*D12-D13)*PI()/180)</f>
        <v>0.40229128968879324</v>
      </c>
      <c r="H20">
        <f>I20*COS((4*D12-D13)*PI()/180)</f>
        <v>0.40229128968879324</v>
      </c>
      <c r="I20">
        <f>-0.629+0.0016*D6</f>
        <v>-0.62875617668137751</v>
      </c>
      <c r="S20">
        <v>2.3E-2</v>
      </c>
      <c r="U20">
        <f>S20*COS((14*D12-D13)*PI()/180)</f>
        <v>4.7384791116707051E-4</v>
      </c>
      <c r="V20">
        <f t="shared" si="1"/>
        <v>4.7384791116707051E-4</v>
      </c>
    </row>
    <row r="21" spans="4:22">
      <c r="D21" s="184"/>
      <c r="E21" s="184"/>
      <c r="S21">
        <v>-2.3E-2</v>
      </c>
      <c r="U21">
        <f>S21*COS((2*D12+2*D13)*PI()/180)</f>
        <v>1.0852702629948462E-2</v>
      </c>
      <c r="V21">
        <f t="shared" si="1"/>
        <v>1.0852702629948462E-2</v>
      </c>
    </row>
    <row r="22" spans="4:22">
      <c r="D22" s="184"/>
      <c r="E22" s="184"/>
      <c r="F22">
        <f t="shared" si="0"/>
        <v>0</v>
      </c>
      <c r="G22">
        <f>I22*COS((2*D12-2*D14)*PI()/180)</f>
        <v>-0.34329191218723587</v>
      </c>
      <c r="H22">
        <f>I22*COS((2*D12-2*D14)*PI()/180)</f>
        <v>-0.34329191218723587</v>
      </c>
      <c r="I22">
        <v>-0.39200000000000002</v>
      </c>
      <c r="S22">
        <v>2.1999999999999999E-2</v>
      </c>
      <c r="U22">
        <f>S22*COS((6*D12-2*D13)*PI()/180)</f>
        <v>-1.376237589964395E-2</v>
      </c>
      <c r="V22">
        <f t="shared" si="1"/>
        <v>-1.376237589964395E-2</v>
      </c>
    </row>
    <row r="23" spans="4:22">
      <c r="D23" s="184"/>
      <c r="E23" s="184"/>
      <c r="F23">
        <f t="shared" si="0"/>
        <v>0</v>
      </c>
      <c r="G23">
        <f>I23*COS(10*D12*PI()/180)</f>
        <v>-0.23211816603216345</v>
      </c>
      <c r="H23">
        <f>I23*COS(10*D12*PI()/180)</f>
        <v>-0.23211816603216345</v>
      </c>
      <c r="I23">
        <v>0.29699999999999999</v>
      </c>
      <c r="S23">
        <v>-2.1000000000000001E-2</v>
      </c>
      <c r="U23">
        <f>S23*COS((2*D12-2*D14-D13)*PI()/180)</f>
        <v>-1.5016518298228454E-2</v>
      </c>
      <c r="V23">
        <f t="shared" si="1"/>
        <v>-1.5016518298228454E-2</v>
      </c>
    </row>
    <row r="24" spans="4:22">
      <c r="F24">
        <f t="shared" si="0"/>
        <v>0</v>
      </c>
      <c r="G24">
        <f>I24*COS((6*D12-D13)*PI()/180)</f>
        <v>-0.2411677431626979</v>
      </c>
      <c r="H24">
        <f>I24*COS((6*D12-D13)*PI()/180)</f>
        <v>-0.2411677431626979</v>
      </c>
      <c r="I24">
        <v>0.26</v>
      </c>
      <c r="S24">
        <v>-0.02</v>
      </c>
      <c r="U24">
        <f>S24*COS(9*D12*PI()/180)</f>
        <v>1.2109167337416198E-2</v>
      </c>
      <c r="V24">
        <f t="shared" si="1"/>
        <v>1.2109167337416198E-2</v>
      </c>
    </row>
    <row r="25" spans="4:22">
      <c r="F25">
        <f t="shared" si="0"/>
        <v>0</v>
      </c>
      <c r="G25">
        <f>I25*COS(3*D12*PI()/180)</f>
        <v>0.14838075809988746</v>
      </c>
      <c r="H25">
        <f>I25*COS(3*D12*PI()/180)</f>
        <v>0.14838075809988746</v>
      </c>
      <c r="I25">
        <v>0.20100000000000001</v>
      </c>
      <c r="S25">
        <v>1.9E-2</v>
      </c>
      <c r="U25">
        <f>S25*COS(18*D12*PI()/180)</f>
        <v>-5.0699663074730058E-3</v>
      </c>
      <c r="V25">
        <f t="shared" si="1"/>
        <v>-5.0699663074730058E-3</v>
      </c>
    </row>
    <row r="26" spans="4:22">
      <c r="F26">
        <f t="shared" si="0"/>
        <v>0</v>
      </c>
      <c r="G26">
        <f>I26*COS((2*D12+D13)*PI()/180)</f>
        <v>-0.11396882962198858</v>
      </c>
      <c r="H26">
        <f>I26*COS((2*D12+D13)*PI()/180)</f>
        <v>-0.11396882962198858</v>
      </c>
      <c r="I26">
        <v>-0.161</v>
      </c>
      <c r="S26">
        <v>1.7000000000000001E-2</v>
      </c>
      <c r="U26">
        <f>S26*COS((6*D12+2*D14)*PI()/180)</f>
        <v>-1.3394063333371833E-2</v>
      </c>
      <c r="V26">
        <f t="shared" si="1"/>
        <v>-1.3394063333371833E-2</v>
      </c>
    </row>
    <row r="27" spans="4:22">
      <c r="F27">
        <f t="shared" si="0"/>
        <v>0</v>
      </c>
      <c r="G27">
        <f>I27*COS((D12+D13)*PI()/180)</f>
        <v>8.0679011450153021E-2</v>
      </c>
      <c r="H27">
        <f>I27*COS((D12+D13)*PI()/180)</f>
        <v>8.0679011450153021E-2</v>
      </c>
      <c r="I27">
        <v>0.157</v>
      </c>
      <c r="S27">
        <v>1.4E-2</v>
      </c>
      <c r="U27">
        <f>S27*COS((2*D14-D13)*PI()/180)</f>
        <v>-9.0671309738443902E-3</v>
      </c>
      <c r="V27">
        <f t="shared" si="1"/>
        <v>-9.0671309738443902E-3</v>
      </c>
    </row>
    <row r="28" spans="4:22">
      <c r="F28">
        <f t="shared" si="0"/>
        <v>0</v>
      </c>
      <c r="G28">
        <f>I28*COS(12*D12*PI()/180)</f>
        <v>0.13576856818404009</v>
      </c>
      <c r="H28">
        <f>I28*COS(12*D12*PI()/180)</f>
        <v>0.13576856818404009</v>
      </c>
      <c r="I28">
        <v>-0.13800000000000001</v>
      </c>
      <c r="S28">
        <v>-1.4E-2</v>
      </c>
      <c r="U28">
        <f>S28*COS((16*D12-D13)*PI()/180)</f>
        <v>-6.8856136034471877E-3</v>
      </c>
      <c r="V28">
        <f t="shared" si="1"/>
        <v>-6.8856136034471877E-3</v>
      </c>
    </row>
    <row r="29" spans="4:22">
      <c r="F29">
        <f t="shared" si="0"/>
        <v>0</v>
      </c>
      <c r="G29">
        <f>I29*COS((8*D12-D13)*PI()/180)</f>
        <v>0.12622345892093881</v>
      </c>
      <c r="H29">
        <f>I29*COS((8*D12-D13)*PI()/180)</f>
        <v>0.12622345892093881</v>
      </c>
      <c r="I29">
        <v>-0.127</v>
      </c>
      <c r="S29">
        <v>1.2999999999999999E-2</v>
      </c>
      <c r="U29">
        <f>S29*COS((4*D12-2*D14)*PI()/180)</f>
        <v>1.2999319236340772E-2</v>
      </c>
      <c r="V29">
        <f t="shared" si="1"/>
        <v>1.2999319236340772E-2</v>
      </c>
    </row>
    <row r="30" spans="4:22">
      <c r="F30">
        <f t="shared" si="0"/>
        <v>0</v>
      </c>
      <c r="G30">
        <f>I30*COS((2*D12+2*D14)*PI()/180)</f>
        <v>8.2907792433477186E-3</v>
      </c>
      <c r="H30">
        <f>I30*COS((2*D12+2*D14)*PI()/180)</f>
        <v>8.2907792433477186E-3</v>
      </c>
      <c r="I30">
        <v>0.104</v>
      </c>
      <c r="S30">
        <v>1.2E-2</v>
      </c>
      <c r="U30">
        <f>S30*COS((8*D12+D13)*PI()/180)</f>
        <v>9.2054465278427946E-3</v>
      </c>
      <c r="V30">
        <f t="shared" si="1"/>
        <v>9.2054465278427946E-3</v>
      </c>
    </row>
    <row r="31" spans="4:22">
      <c r="F31">
        <f t="shared" si="0"/>
        <v>0</v>
      </c>
      <c r="G31">
        <f>I31*COS((2*D12-2*D13)*PI()/180)</f>
        <v>-0.10355799657973994</v>
      </c>
      <c r="H31">
        <f>I31*COS((2*D12-2*D13)*PI()/180)</f>
        <v>-0.10355799657973994</v>
      </c>
      <c r="I31">
        <v>0.104</v>
      </c>
      <c r="S31">
        <v>1.0999999999999999E-2</v>
      </c>
      <c r="U31">
        <f>S31*COS(11*D12*PI()/180)</f>
        <v>-1.0012934222689455E-2</v>
      </c>
      <c r="V31">
        <f t="shared" si="1"/>
        <v>-1.0012934222689455E-2</v>
      </c>
    </row>
    <row r="32" spans="4:22">
      <c r="F32">
        <f t="shared" si="0"/>
        <v>0</v>
      </c>
      <c r="G32">
        <f>I32*COS(5*D12*PI()/180)</f>
        <v>-2.610931196659801E-2</v>
      </c>
      <c r="H32">
        <f>I32*COS(5*D12*PI()/180)</f>
        <v>-2.610931196659801E-2</v>
      </c>
      <c r="I32">
        <v>-7.9000000000000001E-2</v>
      </c>
      <c r="S32">
        <v>0.01</v>
      </c>
      <c r="U32">
        <f>S32*COS((5*D12+D13)*PI()/180)</f>
        <v>9.9903552163017259E-3</v>
      </c>
      <c r="V32">
        <f t="shared" si="1"/>
        <v>9.9903552163017259E-3</v>
      </c>
    </row>
    <row r="33" spans="2:23">
      <c r="F33">
        <f t="shared" si="0"/>
        <v>0</v>
      </c>
      <c r="G33">
        <f>I33*COS(14*D12*PI()/180)</f>
        <v>-6.4685453840359203E-2</v>
      </c>
      <c r="H33">
        <f>I33*COS(14*D12*PI()/180)</f>
        <v>-6.4685453840359203E-2</v>
      </c>
      <c r="I33">
        <v>6.8000000000000005E-2</v>
      </c>
      <c r="S33">
        <v>-0.01</v>
      </c>
      <c r="U33">
        <f>S33*COS(20*D12*PI()/180)</f>
        <v>-2.2161781682447372E-3</v>
      </c>
      <c r="V33">
        <f t="shared" si="1"/>
        <v>-2.2161781682447372E-3</v>
      </c>
    </row>
    <row r="36" spans="2:23" ht="20.25" customHeight="1">
      <c r="G36">
        <f>SUM(G9:G35)</f>
        <v>3679.3035053731878</v>
      </c>
      <c r="H36" s="135">
        <f>SUM(H9:H35)</f>
        <v>3679.3035053731878</v>
      </c>
      <c r="O36" s="136">
        <f>H36+U36</f>
        <v>3679.2978207153919</v>
      </c>
      <c r="U36" s="31">
        <f>SUM(U9:U35)</f>
        <v>-5.6846577957816776E-3</v>
      </c>
    </row>
    <row r="38" spans="2:23">
      <c r="O38">
        <f>H36+U36</f>
        <v>3679.2978207153919</v>
      </c>
    </row>
    <row r="39" spans="2:23" ht="15.75">
      <c r="B39" s="126"/>
      <c r="C39" s="126" t="str">
        <f>apogee!D2</f>
        <v>Apogee</v>
      </c>
      <c r="O39">
        <f>O38/3600</f>
        <v>1.0220271724209422</v>
      </c>
    </row>
    <row r="40" spans="2:23" ht="15.75">
      <c r="B40" s="137" t="str">
        <f>apogee!C3</f>
        <v>k=</v>
      </c>
      <c r="C40" s="137">
        <f>apogee!D3</f>
        <v>201.5</v>
      </c>
      <c r="O40">
        <f>6378.14/(SIN(O39*PI()/180))</f>
        <v>357583.33372689382</v>
      </c>
    </row>
    <row r="41" spans="2:23" ht="15.75">
      <c r="B41" s="137" t="str">
        <f>apogee!C4</f>
        <v>T=</v>
      </c>
      <c r="C41" s="137">
        <f>apogee!D4</f>
        <v>0.15201237222285091</v>
      </c>
    </row>
    <row r="42" spans="2:23" ht="15.75">
      <c r="B42" s="137" t="str">
        <f>apogee!C5</f>
        <v>JDE=</v>
      </c>
      <c r="C42" s="137">
        <f>apogee!D5</f>
        <v>2457086.911584904</v>
      </c>
    </row>
    <row r="43" spans="2:23" ht="15.75">
      <c r="B43" s="137"/>
      <c r="C43" s="137"/>
      <c r="F43">
        <f>6378.14/(SIN((C45/3600)*PI()/180))</f>
        <v>406384.95370948612</v>
      </c>
    </row>
    <row r="44" spans="2:23" ht="15.75">
      <c r="B44" s="137" t="str">
        <f>apogee!C7</f>
        <v>JDE=</v>
      </c>
      <c r="C44" s="137">
        <f>apogee!D7</f>
        <v>2457086.8165058536</v>
      </c>
    </row>
    <row r="45" spans="2:23" ht="21">
      <c r="B45" s="137" t="s">
        <v>317</v>
      </c>
      <c r="C45" s="137">
        <f>O57</f>
        <v>3237.4225869275556</v>
      </c>
      <c r="D45">
        <f>C45/3600</f>
        <v>0.89928405192432104</v>
      </c>
      <c r="E45">
        <v>3245.2510000000002</v>
      </c>
      <c r="F45" s="183">
        <f>6378.14/SIN(D45*PI()/180)</f>
        <v>406384.95370948612</v>
      </c>
      <c r="G45">
        <f>H45</f>
        <v>3245.2510000000002</v>
      </c>
      <c r="H45">
        <f>I45</f>
        <v>3245.2510000000002</v>
      </c>
      <c r="I45">
        <v>3245.2510000000002</v>
      </c>
    </row>
    <row r="46" spans="2:23" ht="15.75">
      <c r="B46" s="137" t="s">
        <v>175</v>
      </c>
      <c r="C46" s="137">
        <f>6378.14/(D45*PI()/180)</f>
        <v>406368.26858164323</v>
      </c>
      <c r="E46">
        <v>-9.1450348078677681</v>
      </c>
      <c r="G46">
        <f>I46*COS(2*D47*PI()/180)</f>
        <v>-9.1225405279036149</v>
      </c>
      <c r="H46">
        <f>I46*COS(2*C47*PI()/180)</f>
        <v>-9.1225405279036096</v>
      </c>
      <c r="I46">
        <v>-9.1470000000000002</v>
      </c>
      <c r="T46">
        <f>U46*COS(6*D47*PI()/180)</f>
        <v>5.0753005775214986E-2</v>
      </c>
      <c r="U46">
        <v>5.1999999999999998E-2</v>
      </c>
      <c r="V46">
        <f>U46*COS(6*C47*PI()/180)</f>
        <v>5.0753005775214709E-2</v>
      </c>
      <c r="W46">
        <f>T46-V46</f>
        <v>2.7755575615628914E-16</v>
      </c>
    </row>
    <row r="47" spans="2:23" ht="15.75">
      <c r="B47" s="137" t="str">
        <f>apogee!C10</f>
        <v>D=</v>
      </c>
      <c r="C47" s="137">
        <f>apogee!D10</f>
        <v>67857.904495204129</v>
      </c>
      <c r="D47">
        <f>MOD(C47,360)</f>
        <v>177.90449520412949</v>
      </c>
      <c r="E47">
        <v>-0.84095482751255302</v>
      </c>
      <c r="G47">
        <f>I47*COS(D47*PI()/180)</f>
        <v>0.84043759439144594</v>
      </c>
      <c r="H47">
        <f>I47*COS(C47*PI()/180)</f>
        <v>0.84043759439144572</v>
      </c>
      <c r="I47">
        <v>-0.84099999999999997</v>
      </c>
      <c r="T47">
        <f>U47*COS((2*D47+D48)*PI()/180)</f>
        <v>2.4387775087641558E-2</v>
      </c>
      <c r="U47">
        <v>4.2999999999999997E-2</v>
      </c>
      <c r="V47">
        <f>U47*COS((2*C47+C48)*PI()/180)</f>
        <v>2.4387775087637346E-2</v>
      </c>
      <c r="W47">
        <f t="shared" ref="W47:W54" si="3">T47-V47</f>
        <v>4.2119085996716876E-15</v>
      </c>
    </row>
    <row r="48" spans="2:23" ht="15.75">
      <c r="B48" s="137" t="str">
        <f>apogee!C11</f>
        <v>M=</v>
      </c>
      <c r="C48" s="137">
        <f>apogee!D11</f>
        <v>5819.6387589138976</v>
      </c>
      <c r="D48">
        <f t="shared" ref="D48:D49" si="4">MOD(C48,360)</f>
        <v>59.638758913897618</v>
      </c>
      <c r="E48">
        <v>-0.69391554577341574</v>
      </c>
      <c r="G48">
        <f>I48*COS(2*D49*PI()/180)</f>
        <v>0.33069688940335473</v>
      </c>
      <c r="H48">
        <f>I48*COS(2*C49*PI()/180)</f>
        <v>0.33069688940316039</v>
      </c>
      <c r="I48">
        <v>0.69699999999999995</v>
      </c>
      <c r="T48">
        <f>U48*COS((2*D47+2*D49)*PI()/180)</f>
        <v>1.2674553062995675E-2</v>
      </c>
      <c r="U48">
        <v>3.1E-2</v>
      </c>
      <c r="V48">
        <f>U48*COS((2*C47+2*C49)*PI()/180)</f>
        <v>1.2674553062973555E-2</v>
      </c>
      <c r="W48">
        <f t="shared" si="3"/>
        <v>2.2119459042180267E-14</v>
      </c>
    </row>
    <row r="49" spans="2:23" ht="15.75">
      <c r="B49" s="137" t="str">
        <f>apogee!C12</f>
        <v>F=</v>
      </c>
      <c r="C49" s="137">
        <f>apogee!D12</f>
        <v>73769.162017448267</v>
      </c>
      <c r="D49">
        <f t="shared" si="4"/>
        <v>329.16201744826685</v>
      </c>
      <c r="E49">
        <v>-0.65594000540100239</v>
      </c>
      <c r="G49">
        <f>I49*COS(D48*PI()/180)</f>
        <v>-0.33157532017209196</v>
      </c>
      <c r="H49">
        <f>I49*COS(C48*PI()/180)</f>
        <v>-0.33157532017209218</v>
      </c>
      <c r="I49">
        <v>-0.65600000000000003</v>
      </c>
      <c r="T49">
        <f>U49*COS((2*D47-2*D49)*PI()/180)</f>
        <v>-1.2362984013187618E-2</v>
      </c>
      <c r="U49">
        <v>-2.3E-2</v>
      </c>
      <c r="V49">
        <f>U49*COS((2*C47-2*C49)*PI()/180)</f>
        <v>-1.2362984013187157E-2</v>
      </c>
      <c r="W49">
        <f t="shared" si="3"/>
        <v>-4.6143644460983069E-16</v>
      </c>
    </row>
    <row r="50" spans="2:23">
      <c r="E50">
        <v>4.2564195471655828E-3</v>
      </c>
      <c r="G50">
        <f>I50*C41*COS(D48*PI()/180)</f>
        <v>1.2293549021929516E-4</v>
      </c>
      <c r="H50">
        <f>I50*C41*COS(C48*PI()/180)</f>
        <v>1.2293549021929524E-4</v>
      </c>
      <c r="I50">
        <v>1.6000000000000001E-3</v>
      </c>
      <c r="T50">
        <f>U50*COS((2*D47-2*D48)*PI()/180)</f>
        <v>-1.2132534666056974E-2</v>
      </c>
      <c r="U50">
        <v>2.1999999999999999E-2</v>
      </c>
      <c r="V50">
        <f>U50*COS((2*C47-2*C48)*PI()/180)</f>
        <v>-1.2132534666061798E-2</v>
      </c>
      <c r="W50">
        <f t="shared" si="3"/>
        <v>4.8242659866915005E-15</v>
      </c>
    </row>
    <row r="51" spans="2:23">
      <c r="E51">
        <v>0.35469495210924784</v>
      </c>
      <c r="G51">
        <f>I51*COS(4*D47*PI()/180)</f>
        <v>0.35120793567918523</v>
      </c>
      <c r="H51">
        <f>I51*COS(4*C47*PI()/180)</f>
        <v>0.35120793567918429</v>
      </c>
      <c r="I51">
        <v>0.35499999999999998</v>
      </c>
      <c r="T51">
        <f>U51*COS((2*D47+2*D48)*PI()/180)</f>
        <v>-8.0557372592095292E-3</v>
      </c>
      <c r="U51">
        <v>1.9E-2</v>
      </c>
      <c r="V51">
        <f>U51*COS((2*C47+2*C48)*PI()/180)</f>
        <v>-8.0557372592137706E-3</v>
      </c>
      <c r="W51">
        <f t="shared" si="3"/>
        <v>4.2413988987632933E-15</v>
      </c>
    </row>
    <row r="52" spans="2:23">
      <c r="E52">
        <v>0.1589067294055945</v>
      </c>
      <c r="G52">
        <f>I52*COS((2*D47-D48)*PI()/180)</f>
        <v>7.0125298795575705E-2</v>
      </c>
      <c r="H52">
        <f>I52*COS((2*C47-C48)*PI()/180)</f>
        <v>7.0125298795556276E-2</v>
      </c>
      <c r="I52">
        <v>0.159</v>
      </c>
      <c r="T52">
        <f>U52*COS(2*D48*PI()/180)</f>
        <v>7.8246435940492777E-3</v>
      </c>
      <c r="U52">
        <v>-1.6E-2</v>
      </c>
      <c r="V52">
        <f>U52*COS(2*C48*PI()/180)</f>
        <v>7.8246435940492673E-3</v>
      </c>
      <c r="W52">
        <f t="shared" si="3"/>
        <v>0</v>
      </c>
    </row>
    <row r="53" spans="2:23">
      <c r="E53">
        <v>0.1269993659720412</v>
      </c>
      <c r="G53">
        <f>I53*COS((D47+D48)*PI()/180)</f>
        <v>-6.8156170077529249E-2</v>
      </c>
      <c r="H53">
        <f>I53*COS((C47+C48)*PI()/180)</f>
        <v>-6.8156170077516037E-2</v>
      </c>
      <c r="I53">
        <v>0.127</v>
      </c>
      <c r="T53">
        <f>U53*COS((6*D47-D48)*PI()/180)</f>
        <v>4.2769917836728124E-3</v>
      </c>
      <c r="U53">
        <v>1.4E-2</v>
      </c>
      <c r="V53">
        <f>U53*COS((6*C47-C48)*PI()/180)</f>
        <v>4.2769917836707905E-3</v>
      </c>
      <c r="W53">
        <f t="shared" si="3"/>
        <v>2.0218202112509687E-15</v>
      </c>
    </row>
    <row r="54" spans="2:23">
      <c r="E54">
        <v>6.4901772074246356E-2</v>
      </c>
      <c r="G54">
        <f>I54*COS((4*D47-D48)*PI()/180)</f>
        <v>2.4327571390089973E-2</v>
      </c>
      <c r="H54">
        <f>I54*COS((4*C47-C48)*PI()/180)</f>
        <v>2.4327571390081244E-2</v>
      </c>
      <c r="I54">
        <v>6.5000000000000002E-2</v>
      </c>
      <c r="T54">
        <f>U54*COS(8*D47*PI()/180)</f>
        <v>9.5750071944510559E-3</v>
      </c>
      <c r="U54">
        <v>0.01</v>
      </c>
      <c r="V54">
        <f>U54*COS(8*C47*PI()/180)</f>
        <v>9.5750071944509553E-3</v>
      </c>
      <c r="W54">
        <f t="shared" si="3"/>
        <v>1.0061396160665481E-16</v>
      </c>
    </row>
    <row r="56" spans="2:23" ht="18.75">
      <c r="F56">
        <f>G56-H56</f>
        <v>0</v>
      </c>
      <c r="G56">
        <f>SUM(G45:G55)</f>
        <v>3237.3456462069967</v>
      </c>
      <c r="H56" s="133">
        <f>SUM(H45:H55)</f>
        <v>3237.3456462069962</v>
      </c>
      <c r="T56">
        <f>SUM(T46:T55)</f>
        <v>7.6940720559571241E-2</v>
      </c>
      <c r="V56" s="133">
        <f>SUM(V46:V54)</f>
        <v>7.6940720559533896E-2</v>
      </c>
      <c r="W56">
        <f>T56-V56</f>
        <v>3.7345126990828703E-14</v>
      </c>
    </row>
    <row r="57" spans="2:23" ht="18.75">
      <c r="H57" s="134"/>
      <c r="O57" s="133">
        <f>H56+V56</f>
        <v>3237.4225869275556</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dimension ref="B7:N159"/>
  <sheetViews>
    <sheetView topLeftCell="A127" zoomScale="81" zoomScaleNormal="81" workbookViewId="0">
      <selection activeCell="F146" sqref="F146:F149"/>
    </sheetView>
  </sheetViews>
  <sheetFormatPr defaultRowHeight="15"/>
  <cols>
    <col min="3" max="3" width="24.85546875" customWidth="1"/>
    <col min="4" max="4" width="46.85546875" customWidth="1"/>
    <col min="5" max="5" width="26.7109375" customWidth="1"/>
    <col min="6" max="6" width="22.7109375" customWidth="1"/>
    <col min="7" max="7" width="20" customWidth="1"/>
    <col min="8" max="8" width="17.28515625" customWidth="1"/>
    <col min="9" max="9" width="29.85546875" customWidth="1"/>
    <col min="10" max="10" width="29.7109375" customWidth="1"/>
    <col min="11" max="11" width="62.42578125" customWidth="1"/>
    <col min="12" max="12" width="19.5703125" customWidth="1"/>
    <col min="14" max="14" width="13.7109375" bestFit="1" customWidth="1"/>
  </cols>
  <sheetData>
    <row r="7" spans="3:11">
      <c r="C7" t="s">
        <v>152</v>
      </c>
      <c r="D7">
        <f>'monn full'!G132</f>
        <v>0.15240328253223917</v>
      </c>
    </row>
    <row r="8" spans="3:11">
      <c r="C8" t="s">
        <v>300</v>
      </c>
      <c r="D8" s="125">
        <f>'monn full'!G133</f>
        <v>2457116.6136518954</v>
      </c>
    </row>
    <row r="9" spans="3:11">
      <c r="C9" t="str">
        <f>'Moon new'!K129</f>
        <v>M=</v>
      </c>
      <c r="D9">
        <f>'monn full'!L129</f>
        <v>5488.9131355582676</v>
      </c>
      <c r="E9">
        <f>MOD(D9,360)</f>
        <v>88.913135558267641</v>
      </c>
    </row>
    <row r="10" spans="3:11">
      <c r="C10" t="str">
        <f>'Moon new'!K130</f>
        <v>M"=</v>
      </c>
      <c r="D10">
        <f>'monn full'!L130</f>
        <v>72928.056849867498</v>
      </c>
      <c r="E10">
        <f t="shared" ref="E10:E12" si="0">MOD(D10,360)</f>
        <v>208.05684986749839</v>
      </c>
    </row>
    <row r="11" spans="3:11" ht="31.5">
      <c r="C11" t="str">
        <f>'Moon new'!K131</f>
        <v>F=</v>
      </c>
      <c r="D11">
        <f>'monn full'!L131</f>
        <v>73802.100528527124</v>
      </c>
      <c r="E11">
        <f t="shared" si="0"/>
        <v>2.10052852712397</v>
      </c>
      <c r="F11">
        <f>MOD(D11,180)</f>
        <v>2.10052852712397</v>
      </c>
      <c r="G11" s="31" t="str">
        <f>IF(F11&gt;21,"no eclipse",IF(F11&lt;13.9,"clipse","furtherinvistigationarerequird"))</f>
        <v>clipse</v>
      </c>
      <c r="H11" s="31" t="str">
        <f>IF(ABS(E11-360)&gt;21,"no eclipse",IF(ABS(E11-360)&lt;13.9,"clipse","furtherinvistigationarerequird"))</f>
        <v>no eclipse</v>
      </c>
      <c r="I11" s="195" t="str">
        <f>IF(ABS(F11-180)&gt;21,"no eclipse",IF(ABS(F11-180)&lt;13.9,"clipse","furtherinvistigationarerequird"))</f>
        <v>no eclipse</v>
      </c>
      <c r="J11" s="195" t="str">
        <f>IF(ABS(SIN(E11*PI()/180))&gt;0.36,"no eclipse","further invistigation")</f>
        <v>further invistigation</v>
      </c>
      <c r="K11" s="198" t="str">
        <f>IF(ABS(E11-360)&lt;13.9," clipse",IF(ABS(E11-180)&lt;13.9,"clipse",IF(ABS(E11-180)&lt;21,"further invistigations are requird",IF(ABS(E11-360)&lt;21,"further invistigations are requird","no clips "))))</f>
        <v xml:space="preserve">no clips </v>
      </c>
    </row>
    <row r="12" spans="3:11">
      <c r="C12" t="str">
        <f>'Moon new'!K132</f>
        <v>OMEGA=</v>
      </c>
      <c r="D12" s="109">
        <f>D19</f>
        <v>-169.72410021219676</v>
      </c>
      <c r="E12">
        <f t="shared" si="0"/>
        <v>190.27589978780324</v>
      </c>
      <c r="F12" s="109">
        <f>125.044555-1934.1361849*D7+0.0020762*D7^2+D7^3/467410-D7^4/60616000</f>
        <v>-169.72410021217726</v>
      </c>
    </row>
    <row r="13" spans="3:11">
      <c r="C13" t="str">
        <f>'Moon new'!K133</f>
        <v>W=</v>
      </c>
      <c r="D13">
        <f>'monn full'!N133</f>
        <v>2.842626389236041E-3</v>
      </c>
    </row>
    <row r="14" spans="3:11">
      <c r="C14" t="str">
        <f>'Moon new'!K134</f>
        <v>E=</v>
      </c>
      <c r="D14">
        <f>'monn full'!L134</f>
        <v>0.99961638146312093</v>
      </c>
      <c r="E14">
        <f>1-0.002516*D7-0.0000074*D7^2</f>
        <v>0.99961638146312093</v>
      </c>
    </row>
    <row r="15" spans="3:11">
      <c r="C15" t="s">
        <v>125</v>
      </c>
      <c r="D15">
        <f>'monn full'!H131</f>
        <v>188.5</v>
      </c>
    </row>
    <row r="17" spans="2:14">
      <c r="C17" t="s">
        <v>301</v>
      </c>
      <c r="D17">
        <f>D11-0.02665*SIN(D12*PI()/180)</f>
        <v>73802.105282576638</v>
      </c>
      <c r="E17">
        <f>MOD(D17,360)</f>
        <v>2.1052825766382739</v>
      </c>
      <c r="F17" s="109">
        <f>123.9767-1.44098949*D15+0.0020625*D7^2+0.00000214*D7^3-0.000000016*D7^4</f>
        <v>-147.64977095223981</v>
      </c>
    </row>
    <row r="18" spans="2:14">
      <c r="C18" t="s">
        <v>156</v>
      </c>
      <c r="D18">
        <f>299.77+0.107408*D15-0.009173*D7^2</f>
        <v>320.01619494092563</v>
      </c>
    </row>
    <row r="19" spans="2:14">
      <c r="D19">
        <f>125.044555-1934.1361849*D7+0.0020762*D7^2+D7^3/467410-D7^4/18999000</f>
        <v>-169.72410021219676</v>
      </c>
    </row>
    <row r="21" spans="2:14">
      <c r="B21">
        <f t="shared" ref="B21:B36" si="1">C21-E21</f>
        <v>0</v>
      </c>
      <c r="C21">
        <f>D21*SIN(D10*PI()/180)</f>
        <v>0.19119622114129237</v>
      </c>
      <c r="D21">
        <v>-0.40649999999999997</v>
      </c>
      <c r="E21">
        <f>D21*SIN(D10*PI()/180)</f>
        <v>0.19119622114129237</v>
      </c>
      <c r="I21">
        <v>-0.40749999999999997</v>
      </c>
    </row>
    <row r="22" spans="2:14">
      <c r="B22">
        <f t="shared" si="1"/>
        <v>0</v>
      </c>
      <c r="C22">
        <f>D22*D14*SIN(D9*PI()/180)</f>
        <v>0.17260269002784018</v>
      </c>
      <c r="D22">
        <v>0.17269999999999999</v>
      </c>
      <c r="E22">
        <f>D22*D14*SIN(D9*PI()/180)</f>
        <v>0.17260269002784018</v>
      </c>
      <c r="I22">
        <v>0.1721</v>
      </c>
    </row>
    <row r="23" spans="2:14">
      <c r="B23">
        <f t="shared" si="1"/>
        <v>0</v>
      </c>
      <c r="C23">
        <f>D23*SIN(2*D10*PI()/180)</f>
        <v>1.3365344502619232E-2</v>
      </c>
      <c r="D23">
        <v>1.61E-2</v>
      </c>
      <c r="E23">
        <f>D23*SIN(2*D10*PI()/180)</f>
        <v>1.3365344502619232E-2</v>
      </c>
      <c r="I23">
        <v>1.61E-2</v>
      </c>
    </row>
    <row r="24" spans="2:14">
      <c r="B24">
        <f t="shared" si="1"/>
        <v>0</v>
      </c>
      <c r="C24">
        <f>D24*SIN(2*D17*PI()/180)</f>
        <v>-7.1219434468786764E-4</v>
      </c>
      <c r="D24">
        <v>-9.7000000000000003E-3</v>
      </c>
      <c r="E24">
        <f>D24*SIN(2*D17*PI()/180)</f>
        <v>-7.1219434468786764E-4</v>
      </c>
      <c r="I24">
        <v>-9.7000000000000003E-3</v>
      </c>
    </row>
    <row r="25" spans="2:14">
      <c r="B25">
        <f t="shared" si="1"/>
        <v>0</v>
      </c>
      <c r="C25">
        <f>D25*D14*SIN((D10-D9)*PI()/180)</f>
        <v>6.3733807940789915E-3</v>
      </c>
      <c r="D25">
        <v>7.3000000000000001E-3</v>
      </c>
      <c r="E25">
        <f>D25*D14*SIN((D10-D9)*PI()/180)</f>
        <v>6.3733807940789915E-3</v>
      </c>
      <c r="I25">
        <v>7.3000000000000001E-3</v>
      </c>
    </row>
    <row r="26" spans="2:14">
      <c r="B26">
        <f t="shared" si="1"/>
        <v>0</v>
      </c>
      <c r="C26">
        <f>D26*D14*SIN((D9+D10)*PI()/180)</f>
        <v>4.4545116423308287E-3</v>
      </c>
      <c r="D26" s="110">
        <v>-5.0000000000000001E-3</v>
      </c>
      <c r="E26">
        <f>D26*D14*SIN((D10+D9)*PI()/180)</f>
        <v>4.4545116423308287E-3</v>
      </c>
      <c r="I26" s="110">
        <v>-5.0000000000000001E-3</v>
      </c>
    </row>
    <row r="27" spans="2:14">
      <c r="B27">
        <f t="shared" si="1"/>
        <v>-4.2056202270712717E-16</v>
      </c>
      <c r="C27">
        <f>D27*SIN((D10-2*E17)*PI()/180)</f>
        <v>9.2985386221564091E-4</v>
      </c>
      <c r="D27">
        <v>-2.3E-3</v>
      </c>
      <c r="E27">
        <f>D27*SIN((D10-2*D17)*PI()/180)</f>
        <v>9.2985386221606148E-4</v>
      </c>
      <c r="I27">
        <v>-2.3E-3</v>
      </c>
    </row>
    <row r="28" spans="2:14">
      <c r="B28">
        <f t="shared" si="1"/>
        <v>0</v>
      </c>
      <c r="C28">
        <f>D28*D14*SIN(2*D9*PI()/180)</f>
        <v>7.9621657594167882E-5</v>
      </c>
      <c r="D28">
        <v>2.0999999999999999E-3</v>
      </c>
      <c r="E28">
        <f>D28*D14*SIN(2*D9*PI()/180)</f>
        <v>7.9621657594167882E-5</v>
      </c>
      <c r="I28">
        <v>2.0999999999999999E-3</v>
      </c>
    </row>
    <row r="29" spans="2:14">
      <c r="B29">
        <f t="shared" si="1"/>
        <v>2.5858221813779281E-16</v>
      </c>
      <c r="C29">
        <f>D29*SIN((D10+2*E17)*PI()/180)</f>
        <v>-6.40645859724435E-4</v>
      </c>
      <c r="D29">
        <v>1.1999999999999999E-3</v>
      </c>
      <c r="E29">
        <f>D29*SIN((D10+2*D17)*PI()/180)</f>
        <v>-6.4064585972469358E-4</v>
      </c>
      <c r="I29">
        <v>1.1999999999999999E-3</v>
      </c>
    </row>
    <row r="30" spans="2:14">
      <c r="B30">
        <f t="shared" si="1"/>
        <v>0</v>
      </c>
      <c r="C30">
        <f>D30*D14*SIN((2*D10+D9)*PI()/180)</f>
        <v>3.43783694756084E-4</v>
      </c>
      <c r="D30">
        <v>5.9999999999999995E-4</v>
      </c>
      <c r="E30">
        <f>D30*D14*SIN((2*D10+D9)*PI()/180)</f>
        <v>3.43783694756084E-4</v>
      </c>
      <c r="I30">
        <v>5.9999999999999995E-4</v>
      </c>
    </row>
    <row r="31" spans="2:14">
      <c r="B31">
        <f t="shared" si="1"/>
        <v>0</v>
      </c>
      <c r="C31">
        <f>D31*SIN(3*D10*PI()/180)</f>
        <v>3.9793145352889263E-4</v>
      </c>
      <c r="D31">
        <v>-4.0000000000000002E-4</v>
      </c>
      <c r="E31">
        <f>D31*SIN(3*D10*PI()/180)</f>
        <v>3.9793145352889263E-4</v>
      </c>
      <c r="I31">
        <v>-4.0000000000000002E-4</v>
      </c>
    </row>
    <row r="32" spans="2:14">
      <c r="B32">
        <f t="shared" si="1"/>
        <v>-2.9815559743351372E-18</v>
      </c>
      <c r="C32">
        <f>D32*D14*SIN((D9+2*E17)*PI()/180)</f>
        <v>-2.9943934990159639E-4</v>
      </c>
      <c r="D32">
        <v>-2.9999999999999997E-4</v>
      </c>
      <c r="E32">
        <f>D32*D14*SIN((D9+2*D17)*PI()/180)</f>
        <v>-2.9943934990159341E-4</v>
      </c>
      <c r="I32">
        <v>-2.9999999999999997E-4</v>
      </c>
      <c r="N32" s="125"/>
    </row>
    <row r="33" spans="2:9">
      <c r="B33">
        <f t="shared" si="1"/>
        <v>0</v>
      </c>
      <c r="C33">
        <f>D33*SIN(D18*PI()/180)</f>
        <v>-1.9277131730649171E-4</v>
      </c>
      <c r="D33">
        <v>2.9999999999999997E-4</v>
      </c>
      <c r="E33">
        <f>D33*SIN(D18*PI()/180)</f>
        <v>-1.9277131730649171E-4</v>
      </c>
      <c r="I33">
        <v>2.9999999999999997E-4</v>
      </c>
    </row>
    <row r="34" spans="2:9">
      <c r="B34">
        <f t="shared" si="1"/>
        <v>5.2583805365546965E-18</v>
      </c>
      <c r="C34">
        <f>D34*D14*SIN((D9-2*E17)*PI()/180)</f>
        <v>-1.9906937221470173E-4</v>
      </c>
      <c r="D34">
        <v>-2.0000000000000001E-4</v>
      </c>
      <c r="E34">
        <f>D34*D14*SIN((D9-2*D17)*PI()/180)</f>
        <v>-1.9906937221470699E-4</v>
      </c>
      <c r="I34">
        <v>-2.0000000000000001E-4</v>
      </c>
    </row>
    <row r="35" spans="2:9">
      <c r="B35">
        <f t="shared" si="1"/>
        <v>0</v>
      </c>
      <c r="C35">
        <f>D35*D14*SIN((2*D10-D9)*PI()/180)</f>
        <v>1.082984254557355E-4</v>
      </c>
      <c r="D35">
        <v>-2.0000000000000001E-4</v>
      </c>
      <c r="E35">
        <f>D35*D14*SIN((2*D10-D9)*PI()/180)</f>
        <v>1.082984254557355E-4</v>
      </c>
      <c r="I35">
        <v>-2.0000000000000001E-4</v>
      </c>
    </row>
    <row r="36" spans="2:9">
      <c r="B36">
        <f t="shared" si="1"/>
        <v>-5.4210108624275222E-20</v>
      </c>
      <c r="C36">
        <f>D36*SIN(E12*PI()/180)</f>
        <v>3.5677669932571465E-5</v>
      </c>
      <c r="D36">
        <v>-2.0000000000000001E-4</v>
      </c>
      <c r="E36">
        <f>D36*SIN(D12*PI()/180)</f>
        <v>3.5677669932571519E-5</v>
      </c>
      <c r="I36">
        <v>-2.0000000000000001E-4</v>
      </c>
    </row>
    <row r="37" spans="2:9">
      <c r="B37">
        <f>C37-E37</f>
        <v>0</v>
      </c>
      <c r="C37">
        <f>SUM(C21:C36)</f>
        <v>0.38784319462780958</v>
      </c>
      <c r="E37">
        <f>SUM(E21:E36)</f>
        <v>0.38784319462780975</v>
      </c>
    </row>
    <row r="38" spans="2:9" ht="21">
      <c r="C38" s="161" t="s">
        <v>344</v>
      </c>
      <c r="E38" s="127">
        <f>D8+E37</f>
        <v>2457117.0014950898</v>
      </c>
    </row>
    <row r="40" spans="2:9">
      <c r="C40" t="s">
        <v>302</v>
      </c>
      <c r="D40">
        <v>0.20699999999999999</v>
      </c>
      <c r="E40">
        <f>D40*D14*SIN(D9*PI()/180)</f>
        <v>0.20688336326440598</v>
      </c>
    </row>
    <row r="41" spans="2:9">
      <c r="D41">
        <v>2.3999999999999998E-3</v>
      </c>
      <c r="E41">
        <f>D41*D14*SIN(2*D9*PI()/180)</f>
        <v>9.0996180107620449E-5</v>
      </c>
    </row>
    <row r="42" spans="2:9">
      <c r="D42">
        <v>-3.9199999999999999E-2</v>
      </c>
      <c r="E42">
        <f>D42*SIN(D10*PI()/180)</f>
        <v>1.843761837328084E-2</v>
      </c>
    </row>
    <row r="43" spans="2:9">
      <c r="D43">
        <v>1.1599999999999999E-2</v>
      </c>
      <c r="E43">
        <f>D43*SIN(2*D10*PI()/180)</f>
        <v>9.6296892068560933E-3</v>
      </c>
    </row>
    <row r="44" spans="2:9">
      <c r="D44">
        <v>-7.3000000000000001E-3</v>
      </c>
      <c r="E44">
        <f>D44*D14*SIN((D9+D10)*PI()/180)</f>
        <v>6.5035869978030091E-3</v>
      </c>
    </row>
    <row r="45" spans="2:9">
      <c r="D45">
        <v>6.7000000000000002E-3</v>
      </c>
      <c r="E45">
        <f>D45*D14*SIN((D10-D9)*PI()/180)</f>
        <v>5.8495412767574301E-3</v>
      </c>
    </row>
    <row r="46" spans="2:9">
      <c r="D46">
        <v>1.18E-2</v>
      </c>
      <c r="E46">
        <f>D46*SIN(2*D17*PI()/180)</f>
        <v>8.6638074920792143E-4</v>
      </c>
    </row>
    <row r="47" spans="2:9" ht="15.75">
      <c r="C47" t="s">
        <v>302</v>
      </c>
      <c r="E47" s="126">
        <f>SUM(E40:E46)</f>
        <v>0.24826117604841891</v>
      </c>
    </row>
    <row r="51" spans="3:5">
      <c r="C51" t="s">
        <v>340</v>
      </c>
      <c r="D51">
        <v>5.2206999999999999</v>
      </c>
      <c r="E51">
        <f>D51</f>
        <v>5.2206999999999999</v>
      </c>
    </row>
    <row r="52" spans="3:5">
      <c r="D52">
        <v>-4.7999999999999996E-3</v>
      </c>
      <c r="E52">
        <f>D52*D14*COS(D9*PI()/180)</f>
        <v>-9.1012554446767919E-5</v>
      </c>
    </row>
    <row r="53" spans="3:5">
      <c r="D53">
        <v>2E-3</v>
      </c>
      <c r="E53">
        <f>D53*D14*COS(2*D9*PI()/180)</f>
        <v>-1.9977941407199771E-3</v>
      </c>
    </row>
    <row r="54" spans="3:5">
      <c r="D54">
        <v>-0.32990000000000003</v>
      </c>
      <c r="E54">
        <f>D54*COS(D10*PI()/180)</f>
        <v>0.29113059422059673</v>
      </c>
    </row>
    <row r="55" spans="3:5">
      <c r="D55">
        <v>-6.0000000000000001E-3</v>
      </c>
      <c r="E55">
        <f>D55*D14*COS((D9+D10)*PI()/180)</f>
        <v>-2.720098204849886E-3</v>
      </c>
    </row>
    <row r="56" spans="3:5">
      <c r="D56">
        <v>4.1000000000000003E-3</v>
      </c>
      <c r="E56">
        <f>D56*D14*COS((D10-D9)*PI()/180)</f>
        <v>-1.9959417784378799E-3</v>
      </c>
    </row>
    <row r="57" spans="3:5" ht="15.75">
      <c r="C57" t="s">
        <v>340</v>
      </c>
      <c r="E57" s="126">
        <f>SUM(E51:E56)</f>
        <v>5.5050257475421427</v>
      </c>
    </row>
    <row r="60" spans="3:5">
      <c r="C60" t="s">
        <v>304</v>
      </c>
      <c r="D60">
        <v>5.8999999999999999E-3</v>
      </c>
      <c r="E60">
        <f>D60</f>
        <v>5.8999999999999999E-3</v>
      </c>
    </row>
    <row r="61" spans="3:5">
      <c r="D61">
        <v>4.5999999999999999E-3</v>
      </c>
      <c r="E61">
        <f>D61*D14*COS(D9*PI()/180)</f>
        <v>8.7220364678152607E-5</v>
      </c>
    </row>
    <row r="62" spans="3:5">
      <c r="D62">
        <v>-1.8200000000000001E-2</v>
      </c>
      <c r="E62">
        <f>D62*COS(D10*PI()/180)</f>
        <v>1.6061160396528829E-2</v>
      </c>
    </row>
    <row r="63" spans="3:5">
      <c r="D63">
        <v>4.0000000000000002E-4</v>
      </c>
      <c r="E63">
        <f>D63*COS(2*D10*PI()/180)</f>
        <v>2.2301865302022954E-4</v>
      </c>
    </row>
    <row r="64" spans="3:5">
      <c r="D64">
        <v>-5.0000000000000001E-4</v>
      </c>
      <c r="E64">
        <f>D64*COS((D9+D10)*PI()/180)</f>
        <v>-2.2676184044961043E-4</v>
      </c>
    </row>
    <row r="65" spans="3:5" ht="15.75">
      <c r="C65" t="s">
        <v>304</v>
      </c>
      <c r="E65" s="126">
        <f>SUM(E60:E64)</f>
        <v>2.2044637573777601E-2</v>
      </c>
    </row>
    <row r="68" spans="3:5" ht="15.75">
      <c r="C68" t="s">
        <v>129</v>
      </c>
      <c r="D68" s="126">
        <f>ABS(COS(D17*PI()/180))</f>
        <v>0.99932501104157223</v>
      </c>
    </row>
    <row r="69" spans="3:5" ht="15.75">
      <c r="C69" t="s">
        <v>249</v>
      </c>
      <c r="D69" s="126">
        <f>(E47*COS(D17*PI()/180)+E57*SIN(D17*PI()/180))*(1-0.0048*D68)</f>
        <v>0.44816527222625807</v>
      </c>
    </row>
    <row r="71" spans="3:5">
      <c r="C71" t="s">
        <v>305</v>
      </c>
      <c r="D71">
        <f>1.2848+E65</f>
        <v>1.3068446375737774</v>
      </c>
    </row>
    <row r="72" spans="3:5">
      <c r="C72" t="s">
        <v>306</v>
      </c>
      <c r="D72">
        <f>0.7403-E65</f>
        <v>0.71825536242622234</v>
      </c>
    </row>
    <row r="77" spans="3:5">
      <c r="C77" t="s">
        <v>307</v>
      </c>
      <c r="D77">
        <f>(1.5573+E65-ABS(D69))/0.545</f>
        <v>2.0755584685275581</v>
      </c>
    </row>
    <row r="78" spans="3:5">
      <c r="C78" t="s">
        <v>308</v>
      </c>
      <c r="D78">
        <f>(1.0128-E65-ABS(D69))/0.545</f>
        <v>0.99557814715589776</v>
      </c>
    </row>
    <row r="80" spans="3:5">
      <c r="C80" t="s">
        <v>309</v>
      </c>
      <c r="D80">
        <f>1.0128-E65</f>
        <v>0.99075536242622231</v>
      </c>
    </row>
    <row r="81" spans="2:5">
      <c r="C81" t="s">
        <v>152</v>
      </c>
      <c r="D81">
        <f>0.4678-E65</f>
        <v>0.44575536242622238</v>
      </c>
    </row>
    <row r="82" spans="2:5">
      <c r="C82" t="s">
        <v>310</v>
      </c>
      <c r="D82">
        <f>0.5458+0.04*COS(D10*PI()/180)</f>
        <v>0.51050074638125531</v>
      </c>
    </row>
    <row r="83" spans="2:5">
      <c r="C83" t="s">
        <v>313</v>
      </c>
      <c r="D83">
        <f>1.5573+E65</f>
        <v>1.5793446375737774</v>
      </c>
    </row>
    <row r="84" spans="2:5" ht="18.75">
      <c r="B84" s="185" t="s">
        <v>345</v>
      </c>
      <c r="C84" s="181" t="s">
        <v>343</v>
      </c>
      <c r="D84" s="181">
        <f>(1.5573+E65-ABS(D69))/(0.545)</f>
        <v>2.0755584685275581</v>
      </c>
    </row>
    <row r="85" spans="2:5" ht="18.75">
      <c r="B85" s="187" t="s">
        <v>346</v>
      </c>
      <c r="C85" s="186" t="s">
        <v>343</v>
      </c>
      <c r="D85" s="186">
        <f>(1.0128-E65-ABS(D69))/(0.545)</f>
        <v>0.99557814715589776</v>
      </c>
    </row>
    <row r="86" spans="2:5" ht="28.5">
      <c r="D86" s="197" t="str">
        <f>IF(D85&gt;1,"total",IF(D85&gt;0,"partial",IF(D84&gt;0,"penumbral","no clips")))</f>
        <v>partial</v>
      </c>
    </row>
    <row r="89" spans="2:5">
      <c r="D89" s="188" t="s">
        <v>352</v>
      </c>
      <c r="E89" s="188" t="s">
        <v>351</v>
      </c>
    </row>
    <row r="90" spans="2:5">
      <c r="C90" s="90" t="s">
        <v>349</v>
      </c>
      <c r="D90">
        <f>(60/D82)*SQRT(D80^2-D69^2)</f>
        <v>103.85064975135232</v>
      </c>
      <c r="E90" s="102" t="e">
        <f>(60/D82)*SQRT(D81^2-D69^2)</f>
        <v>#NUM!</v>
      </c>
    </row>
    <row r="91" spans="2:5">
      <c r="C91" s="90" t="s">
        <v>350</v>
      </c>
      <c r="D91">
        <f>(60/D82)*SQRT((1.5573+E65)^2-D69^2)</f>
        <v>177.9926622613531</v>
      </c>
    </row>
    <row r="95" spans="2:5" ht="18.75">
      <c r="C95" s="187" t="s">
        <v>353</v>
      </c>
      <c r="D95">
        <f>-(D91/(24*60))+E38</f>
        <v>2457116.8778890744</v>
      </c>
      <c r="E95" s="191">
        <f>G146</f>
        <v>0.3778819444444444</v>
      </c>
    </row>
    <row r="96" spans="2:5" ht="18.75">
      <c r="C96" s="187" t="s">
        <v>354</v>
      </c>
      <c r="D96">
        <f>-(D90/(24*60))+E38</f>
        <v>2457116.9293765831</v>
      </c>
      <c r="E96" s="192">
        <f>H146</f>
        <v>0.42937500000000001</v>
      </c>
    </row>
    <row r="97" spans="3:5" ht="18.75">
      <c r="C97" s="187" t="s">
        <v>355</v>
      </c>
      <c r="D97" s="125" t="e">
        <f>E38-(E90/(24*60))</f>
        <v>#NUM!</v>
      </c>
      <c r="E97" s="191" t="e">
        <f>I146</f>
        <v>#NUM!</v>
      </c>
    </row>
    <row r="98" spans="3:5" ht="18.75">
      <c r="C98" s="187" t="s">
        <v>356</v>
      </c>
      <c r="D98" t="e">
        <f>(E90/(24*60))+E38</f>
        <v>#NUM!</v>
      </c>
      <c r="E98" s="193" t="e">
        <f>J146</f>
        <v>#NUM!</v>
      </c>
    </row>
    <row r="99" spans="3:5" ht="18.75">
      <c r="C99" s="187" t="s">
        <v>357</v>
      </c>
      <c r="D99">
        <f>(D90/(24*60))+E38</f>
        <v>2457117.0736135966</v>
      </c>
      <c r="E99" s="191">
        <f>K146</f>
        <v>0.57361111111111118</v>
      </c>
    </row>
    <row r="100" spans="3:5" ht="18.75">
      <c r="C100" s="187" t="s">
        <v>358</v>
      </c>
      <c r="D100">
        <f>(D91/(24*60))+E38</f>
        <v>2457117.1251011053</v>
      </c>
      <c r="E100" s="194">
        <f>L146</f>
        <v>0.62509259259259264</v>
      </c>
    </row>
    <row r="115" spans="5:12" ht="21">
      <c r="F115" s="171" t="s">
        <v>347</v>
      </c>
      <c r="G115" s="190" t="s">
        <v>353</v>
      </c>
      <c r="H115" s="189" t="s">
        <v>354</v>
      </c>
      <c r="I115" s="189" t="s">
        <v>355</v>
      </c>
      <c r="J115" s="189" t="s">
        <v>356</v>
      </c>
      <c r="K115" s="189" t="s">
        <v>357</v>
      </c>
      <c r="L115" s="189" t="s">
        <v>358</v>
      </c>
    </row>
    <row r="116" spans="5:12">
      <c r="E116" t="s">
        <v>128</v>
      </c>
      <c r="F116" s="164">
        <f>E38</f>
        <v>2457117.0014950898</v>
      </c>
      <c r="G116" s="164">
        <f>D95</f>
        <v>2457116.8778890744</v>
      </c>
      <c r="H116" s="164">
        <f>D96</f>
        <v>2457116.9293765831</v>
      </c>
      <c r="I116" s="164" t="e">
        <f>D97</f>
        <v>#NUM!</v>
      </c>
      <c r="J116" s="164" t="e">
        <f>D98</f>
        <v>#NUM!</v>
      </c>
      <c r="K116" s="164">
        <f>D99</f>
        <v>2457117.0736135966</v>
      </c>
      <c r="L116" s="164">
        <f>D100</f>
        <v>2457117.1251011053</v>
      </c>
    </row>
    <row r="117" spans="5:12">
      <c r="E117" t="s">
        <v>348</v>
      </c>
      <c r="F117" s="164">
        <f>F116+0.5</f>
        <v>2457117.5014950898</v>
      </c>
      <c r="G117" s="152">
        <f>G116+0.5</f>
        <v>2457117.3778890744</v>
      </c>
      <c r="H117" s="152">
        <f t="shared" ref="H117:L117" si="2">H116+0.5</f>
        <v>2457117.4293765831</v>
      </c>
      <c r="I117" s="152" t="e">
        <f t="shared" si="2"/>
        <v>#NUM!</v>
      </c>
      <c r="J117" s="152" t="e">
        <f t="shared" si="2"/>
        <v>#NUM!</v>
      </c>
      <c r="K117" s="152">
        <f t="shared" si="2"/>
        <v>2457117.5736135966</v>
      </c>
      <c r="L117" s="152">
        <f t="shared" si="2"/>
        <v>2457117.6251011053</v>
      </c>
    </row>
    <row r="118" spans="5:12">
      <c r="E118" t="s">
        <v>322</v>
      </c>
      <c r="F118" s="152">
        <f t="shared" ref="F118:L118" si="3">TRUNC(F117)</f>
        <v>2457117</v>
      </c>
      <c r="G118" s="152">
        <f t="shared" si="3"/>
        <v>2457117</v>
      </c>
      <c r="H118" s="152">
        <f t="shared" si="3"/>
        <v>2457117</v>
      </c>
      <c r="I118" s="152" t="e">
        <f t="shared" si="3"/>
        <v>#NUM!</v>
      </c>
      <c r="J118" s="152" t="e">
        <f t="shared" si="3"/>
        <v>#NUM!</v>
      </c>
      <c r="K118" s="152">
        <f t="shared" si="3"/>
        <v>2457117</v>
      </c>
      <c r="L118" s="152">
        <f t="shared" si="3"/>
        <v>2457117</v>
      </c>
    </row>
    <row r="119" spans="5:12">
      <c r="E119" t="s">
        <v>138</v>
      </c>
      <c r="F119" s="152">
        <f t="shared" ref="F119:L119" si="4">F117-F118</f>
        <v>0.5014950898475945</v>
      </c>
      <c r="G119" s="152">
        <f t="shared" si="4"/>
        <v>0.37788907438516617</v>
      </c>
      <c r="H119" s="152">
        <f t="shared" si="4"/>
        <v>0.42937658308073878</v>
      </c>
      <c r="I119" s="152" t="e">
        <f t="shared" si="4"/>
        <v>#NUM!</v>
      </c>
      <c r="J119" s="152" t="e">
        <f t="shared" si="4"/>
        <v>#NUM!</v>
      </c>
      <c r="K119" s="152">
        <f t="shared" si="4"/>
        <v>0.57361359661445022</v>
      </c>
      <c r="L119" s="152">
        <f t="shared" si="4"/>
        <v>0.62510110531002283</v>
      </c>
    </row>
    <row r="120" spans="5:12">
      <c r="F120" s="102"/>
      <c r="G120" s="102"/>
      <c r="H120" s="102"/>
      <c r="I120" s="102"/>
      <c r="J120" s="102"/>
      <c r="K120" s="102"/>
      <c r="L120" s="102"/>
    </row>
    <row r="121" spans="5:12">
      <c r="E121" t="s">
        <v>323</v>
      </c>
      <c r="F121" s="102">
        <f t="shared" ref="F121:L121" si="5">INT((F118-1867216.25)/36524.25)</f>
        <v>16</v>
      </c>
      <c r="G121" s="102">
        <f t="shared" si="5"/>
        <v>16</v>
      </c>
      <c r="H121" s="102">
        <f t="shared" si="5"/>
        <v>16</v>
      </c>
      <c r="I121" s="102" t="e">
        <f t="shared" si="5"/>
        <v>#NUM!</v>
      </c>
      <c r="J121" s="102" t="e">
        <f t="shared" si="5"/>
        <v>#NUM!</v>
      </c>
      <c r="K121" s="102">
        <f t="shared" si="5"/>
        <v>16</v>
      </c>
      <c r="L121" s="102">
        <f t="shared" si="5"/>
        <v>16</v>
      </c>
    </row>
    <row r="122" spans="5:12">
      <c r="E122" t="s">
        <v>259</v>
      </c>
      <c r="F122" s="102">
        <f t="shared" ref="F122:L122" si="6">F118+1+F121-INT(F121/4)</f>
        <v>2457130</v>
      </c>
      <c r="G122" s="102">
        <f t="shared" si="6"/>
        <v>2457130</v>
      </c>
      <c r="H122" s="102">
        <f t="shared" si="6"/>
        <v>2457130</v>
      </c>
      <c r="I122" s="102" t="e">
        <f t="shared" si="6"/>
        <v>#NUM!</v>
      </c>
      <c r="J122" s="102" t="e">
        <f t="shared" si="6"/>
        <v>#NUM!</v>
      </c>
      <c r="K122" s="102">
        <f t="shared" si="6"/>
        <v>2457130</v>
      </c>
      <c r="L122" s="102">
        <f t="shared" si="6"/>
        <v>2457130</v>
      </c>
    </row>
    <row r="123" spans="5:12">
      <c r="E123" t="s">
        <v>259</v>
      </c>
      <c r="F123" s="102">
        <f t="shared" ref="F123:L123" si="7">IF(F118&lt;2299161,F118,F122)</f>
        <v>2457130</v>
      </c>
      <c r="G123" s="102">
        <f t="shared" si="7"/>
        <v>2457130</v>
      </c>
      <c r="H123" s="102">
        <f t="shared" si="7"/>
        <v>2457130</v>
      </c>
      <c r="I123" s="102" t="e">
        <f t="shared" si="7"/>
        <v>#NUM!</v>
      </c>
      <c r="J123" s="102" t="e">
        <f t="shared" si="7"/>
        <v>#NUM!</v>
      </c>
      <c r="K123" s="102">
        <f t="shared" si="7"/>
        <v>2457130</v>
      </c>
      <c r="L123" s="102">
        <f t="shared" si="7"/>
        <v>2457130</v>
      </c>
    </row>
    <row r="124" spans="5:12">
      <c r="F124" s="102"/>
      <c r="G124" s="102"/>
      <c r="H124" s="102"/>
      <c r="I124" s="102"/>
      <c r="J124" s="102"/>
      <c r="K124" s="102"/>
      <c r="L124" s="102"/>
    </row>
    <row r="125" spans="5:12">
      <c r="E125" t="s">
        <v>260</v>
      </c>
      <c r="F125" s="102">
        <f t="shared" ref="F125:L125" si="8">F123+1524</f>
        <v>2458654</v>
      </c>
      <c r="G125" s="102">
        <f t="shared" si="8"/>
        <v>2458654</v>
      </c>
      <c r="H125" s="102">
        <f t="shared" si="8"/>
        <v>2458654</v>
      </c>
      <c r="I125" s="102" t="e">
        <f t="shared" si="8"/>
        <v>#NUM!</v>
      </c>
      <c r="J125" s="102" t="e">
        <f t="shared" si="8"/>
        <v>#NUM!</v>
      </c>
      <c r="K125" s="102">
        <f t="shared" si="8"/>
        <v>2458654</v>
      </c>
      <c r="L125" s="102">
        <f t="shared" si="8"/>
        <v>2458654</v>
      </c>
    </row>
    <row r="126" spans="5:12">
      <c r="E126" t="s">
        <v>324</v>
      </c>
      <c r="F126" s="102">
        <f t="shared" ref="F126:L126" si="9">INT((F125-122.1)/365.25)</f>
        <v>6731</v>
      </c>
      <c r="G126" s="102">
        <f t="shared" si="9"/>
        <v>6731</v>
      </c>
      <c r="H126" s="102">
        <f t="shared" si="9"/>
        <v>6731</v>
      </c>
      <c r="I126" s="102" t="e">
        <f t="shared" si="9"/>
        <v>#NUM!</v>
      </c>
      <c r="J126" s="102" t="e">
        <f t="shared" si="9"/>
        <v>#NUM!</v>
      </c>
      <c r="K126" s="102">
        <f t="shared" si="9"/>
        <v>6731</v>
      </c>
      <c r="L126" s="102">
        <f t="shared" si="9"/>
        <v>6731</v>
      </c>
    </row>
    <row r="127" spans="5:12">
      <c r="E127" t="s">
        <v>154</v>
      </c>
      <c r="F127" s="102">
        <f t="shared" ref="F127:L127" si="10">INT(365.25*F126)</f>
        <v>2458497</v>
      </c>
      <c r="G127" s="102">
        <f t="shared" si="10"/>
        <v>2458497</v>
      </c>
      <c r="H127" s="102">
        <f t="shared" si="10"/>
        <v>2458497</v>
      </c>
      <c r="I127" s="102" t="e">
        <f t="shared" si="10"/>
        <v>#NUM!</v>
      </c>
      <c r="J127" s="102" t="e">
        <f t="shared" si="10"/>
        <v>#NUM!</v>
      </c>
      <c r="K127" s="102">
        <f t="shared" si="10"/>
        <v>2458497</v>
      </c>
      <c r="L127" s="102">
        <f t="shared" si="10"/>
        <v>2458497</v>
      </c>
    </row>
    <row r="128" spans="5:12">
      <c r="E128" t="s">
        <v>143</v>
      </c>
      <c r="F128" s="102">
        <f t="shared" ref="F128:L128" si="11">INT((F125-F127)/30.6001)</f>
        <v>5</v>
      </c>
      <c r="G128" s="102">
        <f t="shared" si="11"/>
        <v>5</v>
      </c>
      <c r="H128" s="102">
        <f t="shared" si="11"/>
        <v>5</v>
      </c>
      <c r="I128" s="102" t="e">
        <f t="shared" si="11"/>
        <v>#NUM!</v>
      </c>
      <c r="J128" s="102" t="e">
        <f t="shared" si="11"/>
        <v>#NUM!</v>
      </c>
      <c r="K128" s="102">
        <f t="shared" si="11"/>
        <v>5</v>
      </c>
      <c r="L128" s="102">
        <f t="shared" si="11"/>
        <v>5</v>
      </c>
    </row>
    <row r="131" spans="6:12">
      <c r="F131" s="152">
        <f t="shared" ref="F131:L131" si="12">F125-F127-INT(30.6001*F128)+F119</f>
        <v>4.5014950898475945</v>
      </c>
      <c r="G131" s="152">
        <f t="shared" si="12"/>
        <v>4.3778890743851662</v>
      </c>
      <c r="H131" s="152">
        <f t="shared" si="12"/>
        <v>4.4293765830807388</v>
      </c>
      <c r="I131" s="152" t="e">
        <f t="shared" si="12"/>
        <v>#NUM!</v>
      </c>
      <c r="J131" s="152" t="e">
        <f t="shared" si="12"/>
        <v>#NUM!</v>
      </c>
      <c r="K131" s="152">
        <f t="shared" si="12"/>
        <v>4.5736135966144502</v>
      </c>
      <c r="L131" s="152">
        <f t="shared" si="12"/>
        <v>4.6251011053100228</v>
      </c>
    </row>
    <row r="132" spans="6:12">
      <c r="F132" s="152">
        <f t="shared" ref="F132:L132" si="13">TRUNC(F131)</f>
        <v>4</v>
      </c>
      <c r="G132" s="152">
        <f t="shared" si="13"/>
        <v>4</v>
      </c>
      <c r="H132" s="152">
        <f t="shared" si="13"/>
        <v>4</v>
      </c>
      <c r="I132" s="152" t="e">
        <f t="shared" si="13"/>
        <v>#NUM!</v>
      </c>
      <c r="J132" s="152" t="e">
        <f t="shared" si="13"/>
        <v>#NUM!</v>
      </c>
      <c r="K132" s="152">
        <f t="shared" si="13"/>
        <v>4</v>
      </c>
      <c r="L132" s="152">
        <f t="shared" si="13"/>
        <v>4</v>
      </c>
    </row>
    <row r="133" spans="6:12">
      <c r="F133" s="152">
        <f t="shared" ref="F133:L133" si="14">(F131-F132)*24</f>
        <v>12.035882156342268</v>
      </c>
      <c r="G133" s="152">
        <f t="shared" si="14"/>
        <v>9.069337785243988</v>
      </c>
      <c r="H133" s="152">
        <f t="shared" si="14"/>
        <v>10.305037993937731</v>
      </c>
      <c r="I133" s="152" t="e">
        <f t="shared" si="14"/>
        <v>#NUM!</v>
      </c>
      <c r="J133" s="152" t="e">
        <f t="shared" si="14"/>
        <v>#NUM!</v>
      </c>
      <c r="K133" s="152">
        <f t="shared" si="14"/>
        <v>13.766726318746805</v>
      </c>
      <c r="L133" s="152">
        <f t="shared" si="14"/>
        <v>15.002426527440548</v>
      </c>
    </row>
    <row r="134" spans="6:12">
      <c r="F134" s="153">
        <f t="shared" ref="F134:L134" si="15">TRUNC(F133)</f>
        <v>12</v>
      </c>
      <c r="G134" s="153">
        <f t="shared" si="15"/>
        <v>9</v>
      </c>
      <c r="H134" s="153">
        <f t="shared" si="15"/>
        <v>10</v>
      </c>
      <c r="I134" s="153" t="e">
        <f t="shared" si="15"/>
        <v>#NUM!</v>
      </c>
      <c r="J134" s="153" t="e">
        <f t="shared" si="15"/>
        <v>#NUM!</v>
      </c>
      <c r="K134" s="153">
        <f t="shared" si="15"/>
        <v>13</v>
      </c>
      <c r="L134" s="153">
        <f t="shared" si="15"/>
        <v>15</v>
      </c>
    </row>
    <row r="135" spans="6:12">
      <c r="F135" s="153">
        <f t="shared" ref="F135:L135" si="16">(F133-F134)*60.00001</f>
        <v>2.152929739357643</v>
      </c>
      <c r="G135" s="153">
        <f t="shared" si="16"/>
        <v>4.1602678080171351</v>
      </c>
      <c r="H135" s="153">
        <f t="shared" si="16"/>
        <v>18.302282686643789</v>
      </c>
      <c r="I135" s="153" t="e">
        <f t="shared" si="16"/>
        <v>#NUM!</v>
      </c>
      <c r="J135" s="153" t="e">
        <f t="shared" si="16"/>
        <v>#NUM!</v>
      </c>
      <c r="K135" s="153">
        <f t="shared" si="16"/>
        <v>46.003586792071502</v>
      </c>
      <c r="L135" s="153">
        <f t="shared" si="16"/>
        <v>0.14559167069815099</v>
      </c>
    </row>
    <row r="136" spans="6:12">
      <c r="F136" s="153">
        <f t="shared" ref="F136:L136" si="17">TRUNC(F135)</f>
        <v>2</v>
      </c>
      <c r="G136" s="153">
        <f t="shared" si="17"/>
        <v>4</v>
      </c>
      <c r="H136" s="153">
        <f t="shared" si="17"/>
        <v>18</v>
      </c>
      <c r="I136" s="153" t="e">
        <f t="shared" si="17"/>
        <v>#NUM!</v>
      </c>
      <c r="J136" s="153" t="e">
        <f t="shared" si="17"/>
        <v>#NUM!</v>
      </c>
      <c r="K136" s="153">
        <f t="shared" si="17"/>
        <v>46</v>
      </c>
      <c r="L136" s="153">
        <f t="shared" si="17"/>
        <v>0</v>
      </c>
    </row>
    <row r="137" spans="6:12">
      <c r="F137" s="153">
        <f t="shared" ref="F137:L137" si="18">(F135-F136)*60</f>
        <v>9.1757843614585788</v>
      </c>
      <c r="G137" s="153">
        <f t="shared" si="18"/>
        <v>9.6160684810281083</v>
      </c>
      <c r="H137" s="153">
        <f t="shared" si="18"/>
        <v>18.136961198627333</v>
      </c>
      <c r="I137" s="153" t="e">
        <f t="shared" si="18"/>
        <v>#NUM!</v>
      </c>
      <c r="J137" s="153" t="e">
        <f t="shared" si="18"/>
        <v>#NUM!</v>
      </c>
      <c r="K137" s="153">
        <f t="shared" si="18"/>
        <v>0.21520752429012191</v>
      </c>
      <c r="L137" s="153">
        <f t="shared" si="18"/>
        <v>8.7355002418890599</v>
      </c>
    </row>
    <row r="138" spans="6:12">
      <c r="F138" s="102"/>
      <c r="G138" s="102"/>
      <c r="H138" s="102"/>
      <c r="I138" s="102"/>
      <c r="J138" s="102"/>
      <c r="K138" s="102"/>
      <c r="L138" s="102"/>
    </row>
    <row r="139" spans="6:12">
      <c r="F139" s="102"/>
      <c r="G139" s="102"/>
      <c r="H139" s="102"/>
      <c r="I139" s="102"/>
      <c r="J139" s="102"/>
      <c r="K139" s="102"/>
      <c r="L139" s="102"/>
    </row>
    <row r="140" spans="6:12">
      <c r="F140" s="102">
        <f t="shared" ref="F140:L140" si="19">IF(F128&lt;14,F128-1,IF(F128=14,F128-13, IF(F128=15,F128-13)))</f>
        <v>4</v>
      </c>
      <c r="G140" s="102">
        <f t="shared" si="19"/>
        <v>4</v>
      </c>
      <c r="H140" s="102">
        <f t="shared" si="19"/>
        <v>4</v>
      </c>
      <c r="I140" s="102" t="e">
        <f t="shared" si="19"/>
        <v>#NUM!</v>
      </c>
      <c r="J140" s="102" t="e">
        <f t="shared" si="19"/>
        <v>#NUM!</v>
      </c>
      <c r="K140" s="102">
        <f t="shared" si="19"/>
        <v>4</v>
      </c>
      <c r="L140" s="102">
        <f t="shared" si="19"/>
        <v>4</v>
      </c>
    </row>
    <row r="141" spans="6:12">
      <c r="F141" s="102"/>
      <c r="G141" s="102"/>
      <c r="H141" s="102"/>
      <c r="I141" s="102"/>
      <c r="J141" s="102"/>
      <c r="K141" s="102"/>
      <c r="L141" s="102"/>
    </row>
    <row r="142" spans="6:12">
      <c r="F142" s="102"/>
      <c r="G142" s="102"/>
      <c r="H142" s="102"/>
      <c r="I142" s="102"/>
      <c r="J142" s="102"/>
      <c r="K142" s="102"/>
      <c r="L142" s="102"/>
    </row>
    <row r="143" spans="6:12">
      <c r="F143" s="102">
        <f t="shared" ref="F143:L143" si="20">IF(F140&gt;2,F126-4716,IF(F140=2,F126-4715,IF(F140=1,F126-4715)))</f>
        <v>2015</v>
      </c>
      <c r="G143" s="102">
        <f t="shared" si="20"/>
        <v>2015</v>
      </c>
      <c r="H143" s="102">
        <f t="shared" si="20"/>
        <v>2015</v>
      </c>
      <c r="I143" s="102" t="e">
        <f t="shared" si="20"/>
        <v>#NUM!</v>
      </c>
      <c r="J143" s="102" t="e">
        <f t="shared" si="20"/>
        <v>#NUM!</v>
      </c>
      <c r="K143" s="102">
        <f t="shared" si="20"/>
        <v>2015</v>
      </c>
      <c r="L143" s="102">
        <f t="shared" si="20"/>
        <v>2015</v>
      </c>
    </row>
    <row r="146" spans="5:12" ht="18.75">
      <c r="E146" s="154" t="s">
        <v>328</v>
      </c>
      <c r="F146" s="155">
        <f t="shared" ref="F146:L146" si="21">TIME(F134,F136,F137)</f>
        <v>0.50149305555555557</v>
      </c>
      <c r="G146" s="155">
        <f t="shared" si="21"/>
        <v>0.3778819444444444</v>
      </c>
      <c r="H146" s="155">
        <f t="shared" si="21"/>
        <v>0.42937500000000001</v>
      </c>
      <c r="I146" s="155" t="e">
        <f t="shared" si="21"/>
        <v>#NUM!</v>
      </c>
      <c r="J146" s="155" t="e">
        <f t="shared" si="21"/>
        <v>#NUM!</v>
      </c>
      <c r="K146" s="155">
        <f t="shared" si="21"/>
        <v>0.57361111111111118</v>
      </c>
      <c r="L146" s="155">
        <f t="shared" si="21"/>
        <v>0.62509259259259264</v>
      </c>
    </row>
    <row r="147" spans="5:12" ht="18.75">
      <c r="E147" s="156" t="s">
        <v>329</v>
      </c>
      <c r="F147" s="177">
        <f t="shared" ref="F147:L147" si="22">F132</f>
        <v>4</v>
      </c>
      <c r="G147" s="177">
        <f t="shared" si="22"/>
        <v>4</v>
      </c>
      <c r="H147" s="177">
        <f t="shared" si="22"/>
        <v>4</v>
      </c>
      <c r="I147" s="177" t="e">
        <f t="shared" si="22"/>
        <v>#NUM!</v>
      </c>
      <c r="J147" s="177" t="e">
        <f t="shared" si="22"/>
        <v>#NUM!</v>
      </c>
      <c r="K147" s="177">
        <f t="shared" si="22"/>
        <v>4</v>
      </c>
      <c r="L147" s="177">
        <f t="shared" si="22"/>
        <v>4</v>
      </c>
    </row>
    <row r="148" spans="5:12" ht="18.75">
      <c r="E148" s="158" t="s">
        <v>296</v>
      </c>
      <c r="F148" s="159">
        <f t="shared" ref="F148:L148" si="23">F140</f>
        <v>4</v>
      </c>
      <c r="G148" s="159">
        <f t="shared" si="23"/>
        <v>4</v>
      </c>
      <c r="H148" s="159">
        <f t="shared" si="23"/>
        <v>4</v>
      </c>
      <c r="I148" s="159" t="e">
        <f t="shared" si="23"/>
        <v>#NUM!</v>
      </c>
      <c r="J148" s="159" t="e">
        <f t="shared" si="23"/>
        <v>#NUM!</v>
      </c>
      <c r="K148" s="159">
        <f t="shared" si="23"/>
        <v>4</v>
      </c>
      <c r="L148" s="159">
        <f t="shared" si="23"/>
        <v>4</v>
      </c>
    </row>
    <row r="149" spans="5:12" ht="18.75">
      <c r="E149" s="160" t="s">
        <v>330</v>
      </c>
      <c r="F149" s="161">
        <f t="shared" ref="F149:L149" si="24">F143</f>
        <v>2015</v>
      </c>
      <c r="G149" s="161">
        <f t="shared" si="24"/>
        <v>2015</v>
      </c>
      <c r="H149" s="161">
        <f t="shared" si="24"/>
        <v>2015</v>
      </c>
      <c r="I149" s="161" t="e">
        <f t="shared" si="24"/>
        <v>#NUM!</v>
      </c>
      <c r="J149" s="161" t="e">
        <f t="shared" si="24"/>
        <v>#NUM!</v>
      </c>
      <c r="K149" s="161">
        <f t="shared" si="24"/>
        <v>2015</v>
      </c>
      <c r="L149" s="161">
        <f t="shared" si="24"/>
        <v>2015</v>
      </c>
    </row>
    <row r="153" spans="5:12">
      <c r="E153" s="102" t="s">
        <v>128</v>
      </c>
      <c r="F153" s="152">
        <f t="shared" ref="F153:L153" si="25">F116</f>
        <v>2457117.0014950898</v>
      </c>
      <c r="G153" s="152">
        <f t="shared" si="25"/>
        <v>2457116.8778890744</v>
      </c>
      <c r="H153" s="152">
        <f t="shared" si="25"/>
        <v>2457116.9293765831</v>
      </c>
      <c r="I153" s="152" t="e">
        <f t="shared" si="25"/>
        <v>#NUM!</v>
      </c>
      <c r="J153" s="152" t="e">
        <f t="shared" si="25"/>
        <v>#NUM!</v>
      </c>
      <c r="K153" s="152">
        <f t="shared" si="25"/>
        <v>2457117.0736135966</v>
      </c>
      <c r="L153" s="152">
        <f t="shared" si="25"/>
        <v>2457117.1251011053</v>
      </c>
    </row>
    <row r="154" spans="5:12">
      <c r="E154" s="102" t="s">
        <v>331</v>
      </c>
      <c r="F154" s="152">
        <f t="shared" ref="F154:L154" si="26">F153+1.5</f>
        <v>2457118.5014950898</v>
      </c>
      <c r="G154" s="152">
        <f t="shared" si="26"/>
        <v>2457118.3778890744</v>
      </c>
      <c r="H154" s="152">
        <f t="shared" si="26"/>
        <v>2457118.4293765831</v>
      </c>
      <c r="I154" s="152" t="e">
        <f t="shared" si="26"/>
        <v>#NUM!</v>
      </c>
      <c r="J154" s="152" t="e">
        <f t="shared" si="26"/>
        <v>#NUM!</v>
      </c>
      <c r="K154" s="152">
        <f t="shared" si="26"/>
        <v>2457118.5736135966</v>
      </c>
      <c r="L154" s="152">
        <f t="shared" si="26"/>
        <v>2457118.6251011053</v>
      </c>
    </row>
    <row r="155" spans="5:12">
      <c r="E155" s="102"/>
      <c r="F155" s="102">
        <f t="shared" ref="F155:L155" si="27">F154/7</f>
        <v>351016.92878501286</v>
      </c>
      <c r="G155" s="102">
        <f t="shared" si="27"/>
        <v>351016.91112701065</v>
      </c>
      <c r="H155" s="102">
        <f t="shared" si="27"/>
        <v>351016.91848236899</v>
      </c>
      <c r="I155" s="102" t="e">
        <f t="shared" si="27"/>
        <v>#NUM!</v>
      </c>
      <c r="J155" s="102" t="e">
        <f t="shared" si="27"/>
        <v>#NUM!</v>
      </c>
      <c r="K155" s="102">
        <f t="shared" si="27"/>
        <v>351016.93908765668</v>
      </c>
      <c r="L155" s="102">
        <f t="shared" si="27"/>
        <v>351016.94644301507</v>
      </c>
    </row>
    <row r="156" spans="5:12">
      <c r="E156" s="102"/>
      <c r="F156" s="102">
        <f t="shared" ref="F156:L156" si="28">TRUNC(F155)</f>
        <v>351016</v>
      </c>
      <c r="G156" s="102">
        <f t="shared" si="28"/>
        <v>351016</v>
      </c>
      <c r="H156" s="102">
        <f t="shared" si="28"/>
        <v>351016</v>
      </c>
      <c r="I156" s="102" t="e">
        <f t="shared" si="28"/>
        <v>#NUM!</v>
      </c>
      <c r="J156" s="102" t="e">
        <f t="shared" si="28"/>
        <v>#NUM!</v>
      </c>
      <c r="K156" s="102">
        <f t="shared" si="28"/>
        <v>351016</v>
      </c>
      <c r="L156" s="102">
        <f t="shared" si="28"/>
        <v>351016</v>
      </c>
    </row>
    <row r="157" spans="5:12">
      <c r="E157" s="102"/>
      <c r="F157" s="102">
        <f t="shared" ref="F157:L157" si="29">F155-F156</f>
        <v>0.92878501286031678</v>
      </c>
      <c r="G157" s="102">
        <f t="shared" si="29"/>
        <v>0.91112701065139845</v>
      </c>
      <c r="H157" s="102">
        <f t="shared" si="29"/>
        <v>0.91848236898658797</v>
      </c>
      <c r="I157" s="102" t="e">
        <f t="shared" si="29"/>
        <v>#NUM!</v>
      </c>
      <c r="J157" s="102" t="e">
        <f t="shared" si="29"/>
        <v>#NUM!</v>
      </c>
      <c r="K157" s="102">
        <f t="shared" si="29"/>
        <v>0.93908765667583793</v>
      </c>
      <c r="L157" s="102">
        <f t="shared" si="29"/>
        <v>0.94644301506923512</v>
      </c>
    </row>
    <row r="158" spans="5:12">
      <c r="E158" s="102"/>
      <c r="F158" s="102">
        <f t="shared" ref="F158:L158" si="30">TRUNC(F157*7.001)</f>
        <v>6</v>
      </c>
      <c r="G158" s="102">
        <f t="shared" si="30"/>
        <v>6</v>
      </c>
      <c r="H158" s="102">
        <f t="shared" si="30"/>
        <v>6</v>
      </c>
      <c r="I158" s="102" t="e">
        <f t="shared" si="30"/>
        <v>#NUM!</v>
      </c>
      <c r="J158" s="102" t="e">
        <f t="shared" si="30"/>
        <v>#NUM!</v>
      </c>
      <c r="K158" s="102">
        <f t="shared" si="30"/>
        <v>6</v>
      </c>
      <c r="L158" s="102">
        <f t="shared" si="30"/>
        <v>6</v>
      </c>
    </row>
    <row r="159" spans="5:12" ht="23.25">
      <c r="E159" s="162" t="s">
        <v>329</v>
      </c>
      <c r="F159" s="163" t="str">
        <f t="shared" ref="F159:L159" si="31">IF(F158=0,"Sunday",IF(F158=1,"Monday",IF(F158=2,"Tuesday",IF(F158=3,"Wedenesday",IF(F158=4,"Thursday",IF(F158=5,"Friday",IF(F158=6,"Saturday")))))))</f>
        <v>Saturday</v>
      </c>
      <c r="G159" s="163" t="str">
        <f t="shared" si="31"/>
        <v>Saturday</v>
      </c>
      <c r="H159" s="163" t="str">
        <f t="shared" si="31"/>
        <v>Saturday</v>
      </c>
      <c r="I159" s="163" t="e">
        <f t="shared" si="31"/>
        <v>#NUM!</v>
      </c>
      <c r="J159" s="163" t="e">
        <f t="shared" si="31"/>
        <v>#NUM!</v>
      </c>
      <c r="K159" s="163" t="str">
        <f t="shared" si="31"/>
        <v>Saturday</v>
      </c>
      <c r="L159" s="163" t="str">
        <f t="shared" si="31"/>
        <v>Saturday</v>
      </c>
    </row>
  </sheetData>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dimension ref="B2:BK51"/>
  <sheetViews>
    <sheetView tabSelected="1" topLeftCell="I1" zoomScale="66" zoomScaleNormal="66" workbookViewId="0">
      <selection activeCell="Z17" sqref="Z17"/>
    </sheetView>
  </sheetViews>
  <sheetFormatPr defaultRowHeight="15"/>
  <cols>
    <col min="2" max="2" width="10.7109375" customWidth="1"/>
    <col min="3" max="3" width="14.28515625" customWidth="1"/>
    <col min="4" max="4" width="19.7109375" customWidth="1"/>
    <col min="7" max="7" width="8.85546875" customWidth="1"/>
    <col min="8" max="8" width="16.28515625" customWidth="1"/>
    <col min="9" max="9" width="17.7109375" customWidth="1"/>
    <col min="14" max="14" width="24.140625" customWidth="1"/>
    <col min="19" max="19" width="19.7109375" customWidth="1"/>
    <col min="20" max="20" width="14.28515625" customWidth="1"/>
    <col min="21" max="21" width="28.5703125" customWidth="1"/>
    <col min="22" max="22" width="40" customWidth="1"/>
    <col min="23" max="23" width="43.42578125" customWidth="1"/>
    <col min="24" max="24" width="22" customWidth="1"/>
    <col min="25" max="25" width="28.28515625" customWidth="1"/>
    <col min="26" max="26" width="19.5703125" customWidth="1"/>
    <col min="27" max="27" width="14.140625" customWidth="1"/>
    <col min="28" max="28" width="17.28515625" customWidth="1"/>
    <col min="29" max="29" width="15.7109375" customWidth="1"/>
    <col min="30" max="30" width="17.28515625" customWidth="1"/>
    <col min="31" max="31" width="19.140625" customWidth="1"/>
    <col min="36" max="36" width="12.28515625" customWidth="1"/>
    <col min="37" max="37" width="34.28515625" customWidth="1"/>
    <col min="42" max="42" width="12.7109375" customWidth="1"/>
    <col min="43" max="43" width="40.7109375" customWidth="1"/>
    <col min="44" max="44" width="26" customWidth="1"/>
    <col min="45" max="45" width="21.85546875" customWidth="1"/>
    <col min="46" max="46" width="7" customWidth="1"/>
    <col min="47" max="47" width="34.140625" customWidth="1"/>
    <col min="48" max="48" width="35.42578125" customWidth="1"/>
    <col min="51" max="51" width="19.28515625" customWidth="1"/>
    <col min="56" max="56" width="16.7109375" customWidth="1"/>
    <col min="57" max="57" width="17.5703125" customWidth="1"/>
    <col min="60" max="60" width="16.28515625" customWidth="1"/>
    <col min="61" max="61" width="13.140625" customWidth="1"/>
    <col min="62" max="62" width="17.28515625" customWidth="1"/>
    <col min="63" max="63" width="10.5703125" customWidth="1"/>
  </cols>
  <sheetData>
    <row r="2" spans="3:63" ht="21">
      <c r="S2" s="115" t="s">
        <v>407</v>
      </c>
      <c r="T2" s="115" t="s">
        <v>252</v>
      </c>
      <c r="U2" s="115" t="s">
        <v>253</v>
      </c>
      <c r="V2" s="115" t="s">
        <v>159</v>
      </c>
      <c r="W2" s="115"/>
      <c r="X2" s="115" t="s">
        <v>257</v>
      </c>
      <c r="Y2" s="115" t="s">
        <v>32</v>
      </c>
      <c r="Z2" s="115" t="s">
        <v>258</v>
      </c>
      <c r="AA2" s="116" t="s">
        <v>255</v>
      </c>
      <c r="AB2" s="116" t="s">
        <v>256</v>
      </c>
      <c r="AC2" s="116" t="s">
        <v>289</v>
      </c>
    </row>
    <row r="3" spans="3:63" ht="21">
      <c r="S3" s="117" t="str">
        <f>day!E6</f>
        <v>Thursday</v>
      </c>
      <c r="T3" s="117">
        <v>2015</v>
      </c>
      <c r="U3" s="117">
        <v>3</v>
      </c>
      <c r="V3" s="117">
        <v>19</v>
      </c>
      <c r="W3" s="117">
        <f>V3+X4+Y4+Z4</f>
        <v>19.82210648148148</v>
      </c>
      <c r="X3" s="117">
        <v>19</v>
      </c>
      <c r="Y3" s="117">
        <v>43</v>
      </c>
      <c r="Z3" s="117">
        <v>50</v>
      </c>
      <c r="AA3" s="172">
        <v>35</v>
      </c>
      <c r="AB3" s="172">
        <v>32</v>
      </c>
      <c r="AC3" s="172">
        <f>2+IF(U3=1,0,IF(U3=2,0,IF(U3=3,0,IF(U3=4,1,IF(U3=5,1,IF(U3=6,1,IF(U3=7,1,IF(U3=8,1,IF(U3=9,1,IF(U3=10,0,IF(U3=11,0,IF(U3=12,0))))))))))))</f>
        <v>2</v>
      </c>
    </row>
    <row r="4" spans="3:63" ht="21">
      <c r="U4" s="134"/>
      <c r="X4" s="260">
        <f>X3/24</f>
        <v>0.79166666666666663</v>
      </c>
      <c r="Y4" s="260">
        <f>Y3/(24*60)</f>
        <v>2.9861111111111113E-2</v>
      </c>
      <c r="Z4" s="260">
        <f>Z3/(60*24*60)</f>
        <v>5.7870370370370367E-4</v>
      </c>
      <c r="BH4" s="259" t="s">
        <v>420</v>
      </c>
      <c r="BI4" s="259"/>
      <c r="BJ4" s="259"/>
      <c r="BK4" s="253"/>
    </row>
    <row r="5" spans="3:63" ht="27" thickBot="1">
      <c r="D5" s="170" t="s">
        <v>26</v>
      </c>
      <c r="I5" s="169" t="s">
        <v>27</v>
      </c>
      <c r="N5" s="169" t="s">
        <v>335</v>
      </c>
      <c r="S5" s="169" t="s">
        <v>336</v>
      </c>
      <c r="V5" s="210" t="s">
        <v>361</v>
      </c>
      <c r="W5" s="211" t="s">
        <v>362</v>
      </c>
      <c r="X5" s="113" t="str">
        <f>'Eclipse FM'!C95</f>
        <v>Fisrt Contact Penumb</v>
      </c>
      <c r="Y5" s="252">
        <f>'Eclipse FM'!D95</f>
        <v>2457116.8778890744</v>
      </c>
      <c r="Z5" s="191">
        <f>'Eclipse FM'!E95</f>
        <v>0.3778819444444444</v>
      </c>
      <c r="AA5" s="155">
        <f>'Eclipse FM'!F146</f>
        <v>0.50149305555555557</v>
      </c>
      <c r="AE5" s="167" t="s">
        <v>333</v>
      </c>
      <c r="AK5" s="171" t="s">
        <v>334</v>
      </c>
      <c r="AQ5" s="171" t="s">
        <v>347</v>
      </c>
      <c r="AR5" s="201" t="str">
        <f>'Eclipse FM'!K11</f>
        <v xml:space="preserve">no clips </v>
      </c>
      <c r="AS5" s="202" t="str">
        <f>'Eclipse FM'!D86</f>
        <v>partial</v>
      </c>
      <c r="AU5" s="171" t="s">
        <v>359</v>
      </c>
      <c r="AV5" s="196" t="str">
        <f>'Solar Eclips'!K11</f>
        <v>clipse</v>
      </c>
      <c r="AY5" s="171" t="s">
        <v>382</v>
      </c>
      <c r="BD5" s="243" t="s">
        <v>410</v>
      </c>
      <c r="BE5" s="243"/>
      <c r="BH5" s="254" t="s">
        <v>421</v>
      </c>
      <c r="BI5" s="254"/>
      <c r="BJ5" s="254" t="s">
        <v>422</v>
      </c>
    </row>
    <row r="6" spans="3:63" ht="31.5">
      <c r="C6" t="s">
        <v>128</v>
      </c>
      <c r="D6" s="152">
        <f>'Moon new'!G2</f>
        <v>2457101.900819269</v>
      </c>
      <c r="H6" t="s">
        <v>128</v>
      </c>
      <c r="I6" s="102">
        <f>'Moon new'!G4</f>
        <v>2457117.0047252281</v>
      </c>
      <c r="M6" t="s">
        <v>128</v>
      </c>
      <c r="N6" s="102">
        <f>'Moon new'!G3</f>
        <v>2457108.8217340363</v>
      </c>
      <c r="R6" t="s">
        <v>128</v>
      </c>
      <c r="S6" s="102">
        <f>'Moon new'!G5</f>
        <v>2457124.6564552528</v>
      </c>
      <c r="T6" s="205" t="s">
        <v>402</v>
      </c>
      <c r="U6" s="205" t="s">
        <v>403</v>
      </c>
      <c r="V6" s="235" t="str">
        <f>AV5</f>
        <v>clipse</v>
      </c>
      <c r="W6" s="246" t="str">
        <f>'Eclipse FM'!K11</f>
        <v xml:space="preserve">no clips </v>
      </c>
      <c r="X6" s="113" t="str">
        <f>'Eclipse FM'!C96</f>
        <v>First Contact Umbr</v>
      </c>
      <c r="Y6" s="252">
        <f>'Eclipse FM'!D96</f>
        <v>2457116.9293765831</v>
      </c>
      <c r="Z6" s="192">
        <f>'Eclipse FM'!E96</f>
        <v>0.42937500000000001</v>
      </c>
      <c r="AA6" s="177">
        <f>'Eclipse FM'!F147</f>
        <v>4</v>
      </c>
      <c r="AB6" s="206"/>
      <c r="AC6" s="207"/>
      <c r="AD6" t="s">
        <v>128</v>
      </c>
      <c r="AE6" s="164">
        <f>apogee!D7</f>
        <v>2457086.8165058536</v>
      </c>
      <c r="AJ6" t="s">
        <v>128</v>
      </c>
      <c r="AK6" s="164">
        <f>'prigee-'!C27</f>
        <v>2457101.3189154156</v>
      </c>
      <c r="AP6" t="s">
        <v>348</v>
      </c>
      <c r="AQ6" s="164">
        <f>'Eclipse FM'!E38</f>
        <v>2457117.0014950898</v>
      </c>
      <c r="AR6" s="199" t="str">
        <f>'Eclipse FM'!C85</f>
        <v>Magnitude=</v>
      </c>
      <c r="AS6" s="199">
        <f>IF(AS5="partial",'Eclipse FM'!D85,IF(AS5="total",'Eclipse FM'!D85,IF(AS5="penumbral",'Eclipse FM'!D84,"no clips")))</f>
        <v>0.99557814715589776</v>
      </c>
      <c r="AU6" s="102">
        <f>'Solar Eclips'!E38</f>
        <v>2457101.9078963147</v>
      </c>
      <c r="AY6" s="200">
        <f>Hijri!F28</f>
        <v>1436</v>
      </c>
      <c r="BD6" s="160" t="s">
        <v>330</v>
      </c>
      <c r="BE6" s="202">
        <f>'Max-Dec'!X40</f>
        <v>2015</v>
      </c>
      <c r="BH6" s="160" t="str">
        <f>'node-Ac'!M89</f>
        <v>Hour =</v>
      </c>
      <c r="BI6" s="191">
        <f>'node-Ac'!N89</f>
        <v>0.77512731481481489</v>
      </c>
      <c r="BJ6" s="191">
        <f>'node-Dec'!N89</f>
        <v>9.752314814814815E-2</v>
      </c>
    </row>
    <row r="7" spans="3:63" ht="27" thickBot="1">
      <c r="C7" t="s">
        <v>321</v>
      </c>
      <c r="D7" s="152">
        <f>D6+0.5</f>
        <v>2457102.400819269</v>
      </c>
      <c r="H7" t="s">
        <v>321</v>
      </c>
      <c r="I7" s="152">
        <f>I6+0.5</f>
        <v>2457117.5047252281</v>
      </c>
      <c r="M7" t="s">
        <v>321</v>
      </c>
      <c r="N7" s="152">
        <f>N6+0.5</f>
        <v>2457109.3217340363</v>
      </c>
      <c r="R7" t="s">
        <v>321</v>
      </c>
      <c r="S7" s="152">
        <f>S6+0.5</f>
        <v>2457125.1564552528</v>
      </c>
      <c r="T7" s="117">
        <f>DN!P6</f>
        <v>2576</v>
      </c>
      <c r="U7" s="117">
        <f>DN!H6</f>
        <v>1436</v>
      </c>
      <c r="V7" s="114" t="str">
        <f>'Solar Eclips'!E73</f>
        <v xml:space="preserve"> Central check for TOTAL</v>
      </c>
      <c r="W7" s="247" t="str">
        <f>'Eclipse FM'!D86</f>
        <v>partial</v>
      </c>
      <c r="X7" s="113" t="str">
        <f>'Eclipse FM'!C97</f>
        <v>Beg Toatl Eclips</v>
      </c>
      <c r="Y7" s="252" t="e">
        <f>'Eclipse FM'!D97</f>
        <v>#NUM!</v>
      </c>
      <c r="Z7" s="191" t="e">
        <f>'Eclipse FM'!E97</f>
        <v>#NUM!</v>
      </c>
      <c r="AA7" s="159">
        <f>'Eclipse FM'!F148</f>
        <v>4</v>
      </c>
      <c r="AB7" s="208"/>
      <c r="AC7" s="209"/>
      <c r="AD7" t="s">
        <v>321</v>
      </c>
      <c r="AE7" s="152">
        <f>AE6+0.5</f>
        <v>2457087.3165058536</v>
      </c>
      <c r="AJ7" t="s">
        <v>321</v>
      </c>
      <c r="AK7" s="152">
        <f>AK6+0.5</f>
        <v>2457101.8189154156</v>
      </c>
      <c r="AP7" t="s">
        <v>321</v>
      </c>
      <c r="AQ7" s="152">
        <f>AQ6+0.5</f>
        <v>2457117.5014950898</v>
      </c>
      <c r="AU7" s="152">
        <f>AU6+0.5</f>
        <v>2457102.4078963147</v>
      </c>
      <c r="AY7" s="202">
        <f>Hijri!F32+1</f>
        <v>5</v>
      </c>
      <c r="BD7" s="26" t="s">
        <v>414</v>
      </c>
      <c r="BE7" s="176">
        <f>'Max-Dec'!X39</f>
        <v>3</v>
      </c>
      <c r="BH7" s="156" t="str">
        <f>'node-Ac'!M90</f>
        <v>Day=</v>
      </c>
      <c r="BI7" s="157">
        <f>'node-Ac'!N90</f>
        <v>21</v>
      </c>
      <c r="BJ7" s="157">
        <f>'node-Dec'!N90</f>
        <v>21</v>
      </c>
    </row>
    <row r="8" spans="3:63" ht="21">
      <c r="C8" t="s">
        <v>322</v>
      </c>
      <c r="D8" s="152">
        <f>TRUNC(D7)</f>
        <v>2457102</v>
      </c>
      <c r="H8" t="s">
        <v>322</v>
      </c>
      <c r="I8" s="152">
        <f>TRUNC(I7)</f>
        <v>2457117</v>
      </c>
      <c r="M8" t="s">
        <v>322</v>
      </c>
      <c r="N8" s="152">
        <f>TRUNC(N7)</f>
        <v>2457109</v>
      </c>
      <c r="R8" t="s">
        <v>322</v>
      </c>
      <c r="S8" s="152">
        <f>TRUNC(S7)</f>
        <v>2457125</v>
      </c>
      <c r="T8" s="212">
        <f>DN!P7</f>
        <v>10</v>
      </c>
      <c r="U8" s="212">
        <f>DN!H7</f>
        <v>5</v>
      </c>
      <c r="V8" s="117" t="str">
        <f>'Solar Eclips'!E83</f>
        <v>check for CENTRAL</v>
      </c>
      <c r="W8" s="117">
        <f>AS6</f>
        <v>0.99557814715589776</v>
      </c>
      <c r="X8" s="245" t="str">
        <f>'Eclipse FM'!C98</f>
        <v>End Total Phase</v>
      </c>
      <c r="Y8" s="252" t="e">
        <f>'Eclipse FM'!D98</f>
        <v>#NUM!</v>
      </c>
      <c r="Z8" s="193" t="e">
        <f>'Eclipse FM'!E98</f>
        <v>#NUM!</v>
      </c>
      <c r="AA8" s="161">
        <f>'Eclipse FM'!F149</f>
        <v>2015</v>
      </c>
      <c r="AD8" t="s">
        <v>322</v>
      </c>
      <c r="AE8" s="152">
        <f>TRUNC(AE7)</f>
        <v>2457087</v>
      </c>
      <c r="AJ8" t="s">
        <v>322</v>
      </c>
      <c r="AK8" s="152">
        <f>TRUNC(AK7)</f>
        <v>2457101</v>
      </c>
      <c r="AP8" t="s">
        <v>322</v>
      </c>
      <c r="AQ8" s="152">
        <f>TRUNC(AQ7)</f>
        <v>2457117</v>
      </c>
      <c r="AU8" s="152">
        <f>TRUNC(AU7)</f>
        <v>2457102</v>
      </c>
      <c r="AY8" s="171">
        <f>Hijri!F35</f>
        <v>29</v>
      </c>
      <c r="BD8" s="169" t="s">
        <v>329</v>
      </c>
      <c r="BE8" s="171">
        <f>'Max-Dec'!X38</f>
        <v>26</v>
      </c>
      <c r="BH8" s="158" t="str">
        <f>'node-Ac'!M91</f>
        <v>Month</v>
      </c>
      <c r="BI8" s="159">
        <f>'node-Ac'!N91</f>
        <v>3</v>
      </c>
      <c r="BJ8" s="159">
        <f>'node-Dec'!N91</f>
        <v>3</v>
      </c>
    </row>
    <row r="9" spans="3:63" ht="26.25">
      <c r="C9" t="s">
        <v>138</v>
      </c>
      <c r="D9" s="152">
        <f>D7-D8</f>
        <v>0.4008192690089345</v>
      </c>
      <c r="H9" t="s">
        <v>138</v>
      </c>
      <c r="I9" s="152">
        <f>I7-I8</f>
        <v>0.50472522806376219</v>
      </c>
      <c r="M9" t="s">
        <v>138</v>
      </c>
      <c r="N9" s="152">
        <f>N7-N8</f>
        <v>0.32173403631895781</v>
      </c>
      <c r="R9" t="s">
        <v>138</v>
      </c>
      <c r="S9" s="152">
        <f>S7-S8</f>
        <v>0.15645525278523564</v>
      </c>
      <c r="T9" s="115">
        <f>DN!P18</f>
        <v>14</v>
      </c>
      <c r="U9" s="115">
        <f>DN!H8</f>
        <v>29</v>
      </c>
      <c r="V9" s="151" t="str">
        <f>'Solar Eclips'!E85</f>
        <v>Total</v>
      </c>
      <c r="X9" s="245" t="str">
        <f>'Eclipse FM'!C99</f>
        <v>Last Contact Umbra</v>
      </c>
      <c r="Y9" s="252">
        <f>'Eclipse FM'!D99</f>
        <v>2457117.0736135966</v>
      </c>
      <c r="Z9" s="191">
        <f>'Eclipse FM'!E99</f>
        <v>0.57361111111111118</v>
      </c>
      <c r="AA9" s="108"/>
      <c r="AD9" t="s">
        <v>138</v>
      </c>
      <c r="AE9" s="152">
        <f>AE7-AE8</f>
        <v>0.31650585355237126</v>
      </c>
      <c r="AJ9" t="s">
        <v>138</v>
      </c>
      <c r="AK9" s="152">
        <f>AK7-AK8</f>
        <v>0.81891541555523872</v>
      </c>
      <c r="AP9" t="s">
        <v>138</v>
      </c>
      <c r="AQ9" s="152">
        <f>AQ7-AQ8</f>
        <v>0.5014950898475945</v>
      </c>
      <c r="AU9" s="152">
        <f>AU7-AU8</f>
        <v>0.40789631474763155</v>
      </c>
      <c r="AY9" s="192" t="str">
        <f>Hijri!J32</f>
        <v>Jamadee Awal</v>
      </c>
      <c r="BD9" s="238" t="s">
        <v>328</v>
      </c>
      <c r="BE9" s="239">
        <f>'Max-Dec'!X37</f>
        <v>0.60431712962962958</v>
      </c>
      <c r="BH9" s="160" t="str">
        <f>'node-Ac'!M92</f>
        <v>Year=</v>
      </c>
      <c r="BI9" s="161">
        <f>'node-Ac'!N92</f>
        <v>2015</v>
      </c>
      <c r="BJ9" s="161">
        <f>'node-Dec'!N92</f>
        <v>2015</v>
      </c>
    </row>
    <row r="10" spans="3:63" ht="69.75" customHeight="1">
      <c r="D10" s="102"/>
      <c r="I10" s="102"/>
      <c r="N10" s="102"/>
      <c r="S10" s="102"/>
      <c r="U10" s="257" t="str">
        <f>Hijri!J32</f>
        <v>Jamadee Awal</v>
      </c>
      <c r="V10" s="212" t="str">
        <f>'Solar Eclips'!E82</f>
        <v>Central</v>
      </c>
      <c r="X10" s="245" t="str">
        <f>'Eclipse FM'!C100</f>
        <v>Last Contact Penumb</v>
      </c>
      <c r="Y10" s="252">
        <f>'Eclipse FM'!D100</f>
        <v>2457117.1251011053</v>
      </c>
      <c r="Z10" s="194">
        <f>'Eclipse FM'!E100</f>
        <v>0.62509259259259264</v>
      </c>
      <c r="AE10" s="102"/>
      <c r="AK10" s="102"/>
      <c r="AQ10" s="102"/>
      <c r="AU10" s="102"/>
      <c r="AY10" s="199" t="str">
        <f>day!E6</f>
        <v>Thursday</v>
      </c>
      <c r="BD10" s="234" t="str">
        <f>'Max-Dec'!W50</f>
        <v>Day=</v>
      </c>
      <c r="BE10" s="240" t="str">
        <f>'Max-Dec'!X50</f>
        <v>Thursday</v>
      </c>
    </row>
    <row r="11" spans="3:63" ht="30" customHeight="1">
      <c r="C11" t="s">
        <v>323</v>
      </c>
      <c r="D11" s="102">
        <f>INT((D8-1867216.25)/36524.25)</f>
        <v>16</v>
      </c>
      <c r="H11" t="s">
        <v>323</v>
      </c>
      <c r="I11" s="102">
        <f>INT((I8-1867216.25)/36524.25)</f>
        <v>16</v>
      </c>
      <c r="M11" t="s">
        <v>323</v>
      </c>
      <c r="N11" s="102">
        <f>INT((N8-1867216.25)/36524.25)</f>
        <v>16</v>
      </c>
      <c r="R11" t="s">
        <v>323</v>
      </c>
      <c r="S11" s="102">
        <f>INT((S8-1867216.25)/36524.25)</f>
        <v>16</v>
      </c>
      <c r="T11" s="256" t="str">
        <f>day!D6</f>
        <v>Day=</v>
      </c>
      <c r="U11" s="229" t="str">
        <f>day!E6</f>
        <v>Thursday</v>
      </c>
      <c r="V11" s="212" t="str">
        <f>'Solar Eclips'!E87</f>
        <v>annular-Total</v>
      </c>
      <c r="AD11" t="s">
        <v>323</v>
      </c>
      <c r="AE11" s="102">
        <f>INT((AE8-1867216.25)/36524.25)</f>
        <v>16</v>
      </c>
      <c r="AJ11" t="s">
        <v>323</v>
      </c>
      <c r="AK11" s="102">
        <f>INT((AK8-1867216.25)/36524.25)</f>
        <v>16</v>
      </c>
      <c r="AP11" t="s">
        <v>323</v>
      </c>
      <c r="AQ11" s="102">
        <f>INT((AQ8-1867216.25)/36524.25)</f>
        <v>16</v>
      </c>
      <c r="AU11" s="102">
        <f>INT((AU8-1867216.25)/36524.25)</f>
        <v>16</v>
      </c>
      <c r="BD11" s="202" t="s">
        <v>412</v>
      </c>
      <c r="BE11" s="241">
        <f>'Max-Dec'!K24</f>
        <v>18</v>
      </c>
    </row>
    <row r="12" spans="3:63" ht="30" customHeight="1">
      <c r="C12" t="s">
        <v>259</v>
      </c>
      <c r="D12" s="102">
        <f>D8+1+D11-INT(D11/4)</f>
        <v>2457115</v>
      </c>
      <c r="H12" t="s">
        <v>259</v>
      </c>
      <c r="I12" s="102">
        <f>I8+1+I11-INT(I11/4)</f>
        <v>2457130</v>
      </c>
      <c r="M12" t="s">
        <v>259</v>
      </c>
      <c r="N12" s="102">
        <f>N8+1+N11-INT(N11/4)</f>
        <v>2457122</v>
      </c>
      <c r="R12" t="s">
        <v>259</v>
      </c>
      <c r="S12" s="102">
        <f>S8+1+S11-INT(S11/4)</f>
        <v>2457138</v>
      </c>
      <c r="V12" s="155">
        <f>AU36</f>
        <v>0.40789351851851857</v>
      </c>
      <c r="W12" s="155">
        <f>AQ36</f>
        <v>0.50149305555555557</v>
      </c>
      <c r="X12" s="244" t="s">
        <v>363</v>
      </c>
      <c r="Z12" s="218">
        <f>(Y10-Y5)*24*60</f>
        <v>355.98532453179359</v>
      </c>
      <c r="AD12" t="s">
        <v>259</v>
      </c>
      <c r="AE12" s="102">
        <f>AE8+1+AE11-INT(AE11/4)</f>
        <v>2457100</v>
      </c>
      <c r="AJ12" t="s">
        <v>259</v>
      </c>
      <c r="AK12" s="102">
        <f>AK8+1+AK11-INT(AK11/4)</f>
        <v>2457114</v>
      </c>
      <c r="AP12" t="s">
        <v>259</v>
      </c>
      <c r="AQ12" s="102">
        <f>AQ8+1+AQ11-INT(AQ11/4)</f>
        <v>2457130</v>
      </c>
      <c r="AU12" s="102">
        <f>AU8+1+AU11-INT(AU11/4)</f>
        <v>2457115</v>
      </c>
      <c r="BD12" s="171" t="s">
        <v>413</v>
      </c>
      <c r="BE12" s="242">
        <f>'Max-Dec'!K26</f>
        <v>14</v>
      </c>
    </row>
    <row r="13" spans="3:63" ht="28.15" customHeight="1">
      <c r="C13" t="s">
        <v>259</v>
      </c>
      <c r="D13" s="102">
        <f>IF(D8&lt;2299161,D8,D12)</f>
        <v>2457115</v>
      </c>
      <c r="H13" t="s">
        <v>259</v>
      </c>
      <c r="I13" s="102">
        <f>IF(I8&lt;2299161,I8,I12)</f>
        <v>2457130</v>
      </c>
      <c r="M13" t="s">
        <v>259</v>
      </c>
      <c r="N13" s="102">
        <f>IF(N8&lt;2299161,N8,N12)</f>
        <v>2457122</v>
      </c>
      <c r="R13" t="s">
        <v>259</v>
      </c>
      <c r="S13" s="102">
        <f>IF(S8&lt;2299161,S8,S12)</f>
        <v>2457138</v>
      </c>
      <c r="V13" s="177">
        <f>AU37</f>
        <v>20</v>
      </c>
      <c r="W13" s="177">
        <f t="shared" ref="W13:W14" si="0">AQ37</f>
        <v>4</v>
      </c>
      <c r="X13" s="244" t="s">
        <v>364</v>
      </c>
      <c r="Z13" s="218">
        <f>(Y9-Y6)*24*60</f>
        <v>207.70129948854446</v>
      </c>
      <c r="AD13" t="s">
        <v>259</v>
      </c>
      <c r="AE13" s="102">
        <f>IF(AE8&lt;2299161,AE8,AE12)</f>
        <v>2457100</v>
      </c>
      <c r="AJ13" t="s">
        <v>259</v>
      </c>
      <c r="AK13" s="102">
        <f>IF(AK8&lt;2299161,AK8,AK12)</f>
        <v>2457114</v>
      </c>
      <c r="AP13" t="s">
        <v>259</v>
      </c>
      <c r="AQ13" s="102">
        <f>IF(AQ8&lt;2299161,AQ8,AQ12)</f>
        <v>2457130</v>
      </c>
      <c r="AU13" s="102">
        <f>IF(AU8&lt;2299161,AU8,AU12)</f>
        <v>2457115</v>
      </c>
      <c r="BD13" s="202" t="s">
        <v>411</v>
      </c>
      <c r="BE13" s="251">
        <f>'Max-Dec'!K27</f>
        <v>28</v>
      </c>
    </row>
    <row r="14" spans="3:63" ht="18.75">
      <c r="D14" s="102"/>
      <c r="I14" s="102"/>
      <c r="N14" s="102"/>
      <c r="S14" s="102"/>
      <c r="V14" s="159">
        <f t="shared" ref="V14:V15" si="1">AU38</f>
        <v>3</v>
      </c>
      <c r="W14" s="159">
        <f t="shared" si="0"/>
        <v>4</v>
      </c>
      <c r="X14" s="244" t="s">
        <v>365</v>
      </c>
      <c r="Z14" s="218" t="e">
        <f>(Y8-Y7)*24*60</f>
        <v>#NUM!</v>
      </c>
      <c r="AE14" s="102"/>
      <c r="AK14" s="102"/>
      <c r="AQ14" s="102"/>
      <c r="AU14" s="102"/>
    </row>
    <row r="15" spans="3:63" ht="18.75">
      <c r="C15" t="s">
        <v>260</v>
      </c>
      <c r="D15" s="102">
        <f>D13+1524</f>
        <v>2458639</v>
      </c>
      <c r="H15" t="s">
        <v>260</v>
      </c>
      <c r="I15" s="102">
        <f>I13+1524</f>
        <v>2458654</v>
      </c>
      <c r="M15" t="s">
        <v>260</v>
      </c>
      <c r="N15" s="102">
        <f>N13+1524</f>
        <v>2458646</v>
      </c>
      <c r="R15" t="s">
        <v>260</v>
      </c>
      <c r="S15" s="102">
        <f>S13+1524</f>
        <v>2458662</v>
      </c>
      <c r="V15" s="161">
        <f t="shared" si="1"/>
        <v>2015</v>
      </c>
      <c r="W15" s="161">
        <f>AQ39</f>
        <v>2015</v>
      </c>
      <c r="AD15" t="s">
        <v>260</v>
      </c>
      <c r="AE15" s="102">
        <f>AE13+1524</f>
        <v>2458624</v>
      </c>
      <c r="AJ15" t="s">
        <v>260</v>
      </c>
      <c r="AK15" s="102">
        <f>AK13+1524</f>
        <v>2458638</v>
      </c>
      <c r="AP15" t="s">
        <v>260</v>
      </c>
      <c r="AQ15" s="102">
        <f>AQ13+1524</f>
        <v>2458654</v>
      </c>
      <c r="AU15" s="102">
        <f>AU13+1524</f>
        <v>2458639</v>
      </c>
    </row>
    <row r="16" spans="3:63" ht="26.25">
      <c r="C16" t="s">
        <v>324</v>
      </c>
      <c r="D16" s="102">
        <f>INT((D15-122.1)/365.25)</f>
        <v>6731</v>
      </c>
      <c r="H16" t="s">
        <v>324</v>
      </c>
      <c r="I16" s="102">
        <f>INT((I15-122.1)/365.25)</f>
        <v>6731</v>
      </c>
      <c r="M16" t="s">
        <v>324</v>
      </c>
      <c r="N16" s="102">
        <f>INT((N15-122.1)/365.25)</f>
        <v>6731</v>
      </c>
      <c r="R16" t="s">
        <v>324</v>
      </c>
      <c r="S16" s="102">
        <f>INT((S15-122.1)/365.25)</f>
        <v>6731</v>
      </c>
      <c r="V16" s="114" t="str">
        <f>AU49</f>
        <v>Friday</v>
      </c>
      <c r="W16" s="217" t="str">
        <f>AQ49</f>
        <v>Saturday</v>
      </c>
      <c r="AD16" t="s">
        <v>324</v>
      </c>
      <c r="AE16" s="102">
        <f>INT((AE15-122.1)/365.25)</f>
        <v>6731</v>
      </c>
      <c r="AJ16" t="s">
        <v>324</v>
      </c>
      <c r="AK16" s="102">
        <f>INT((AK15-122.1)/365.25)</f>
        <v>6731</v>
      </c>
      <c r="AP16" t="s">
        <v>324</v>
      </c>
      <c r="AQ16" s="102">
        <f>INT((AQ15-122.1)/365.25)</f>
        <v>6731</v>
      </c>
      <c r="AU16" s="102">
        <f>INT((AU15-122.1)/365.25)</f>
        <v>6731</v>
      </c>
    </row>
    <row r="17" spans="2:47">
      <c r="C17" t="s">
        <v>154</v>
      </c>
      <c r="D17" s="102">
        <f>INT(365.25*D16)</f>
        <v>2458497</v>
      </c>
      <c r="H17" t="s">
        <v>154</v>
      </c>
      <c r="I17" s="102">
        <f>INT(365.25*I16)</f>
        <v>2458497</v>
      </c>
      <c r="M17" t="s">
        <v>154</v>
      </c>
      <c r="N17" s="102">
        <f>INT(365.25*N16)</f>
        <v>2458497</v>
      </c>
      <c r="R17" t="s">
        <v>154</v>
      </c>
      <c r="S17" s="102">
        <f>INT(365.25*S16)</f>
        <v>2458497</v>
      </c>
      <c r="AD17" t="s">
        <v>154</v>
      </c>
      <c r="AE17" s="102">
        <f>INT(365.25*AE16)</f>
        <v>2458497</v>
      </c>
      <c r="AJ17" t="s">
        <v>154</v>
      </c>
      <c r="AK17" s="102">
        <f>INT(365.25*AK16)</f>
        <v>2458497</v>
      </c>
      <c r="AP17" t="s">
        <v>154</v>
      </c>
      <c r="AQ17" s="102">
        <f>INT(365.25*AQ16)</f>
        <v>2458497</v>
      </c>
      <c r="AU17" s="102">
        <f>INT(365.25*AU16)</f>
        <v>2458497</v>
      </c>
    </row>
    <row r="18" spans="2:47">
      <c r="C18" t="s">
        <v>143</v>
      </c>
      <c r="D18" s="102">
        <f>INT((D15-D17)/30.6001)</f>
        <v>4</v>
      </c>
      <c r="H18" t="s">
        <v>143</v>
      </c>
      <c r="I18" s="102">
        <f>INT((I15-I17)/30.6001)</f>
        <v>5</v>
      </c>
      <c r="M18" t="s">
        <v>143</v>
      </c>
      <c r="N18" s="102">
        <f>INT((N15-N17)/30.6001)</f>
        <v>4</v>
      </c>
      <c r="R18" t="s">
        <v>143</v>
      </c>
      <c r="S18" s="102">
        <f>INT((S15-S17)/30.6001)</f>
        <v>5</v>
      </c>
      <c r="AD18" t="s">
        <v>143</v>
      </c>
      <c r="AE18" s="102">
        <f>INT((AE15-AE17)/30.6001)</f>
        <v>4</v>
      </c>
      <c r="AJ18" t="s">
        <v>143</v>
      </c>
      <c r="AK18" s="102">
        <f>INT((AK15-AK17)/30.6001)</f>
        <v>4</v>
      </c>
      <c r="AP18" t="s">
        <v>143</v>
      </c>
      <c r="AQ18" s="102">
        <f>INT((AQ15-AQ17)/30.6001)</f>
        <v>5</v>
      </c>
      <c r="AU18" s="102">
        <f>INT((AU15-AU17)/30.6001)</f>
        <v>4</v>
      </c>
    </row>
    <row r="19" spans="2:47" ht="26.25">
      <c r="D19" s="102"/>
      <c r="V19" s="113" t="str">
        <f>D!F16</f>
        <v>Moon Rise =</v>
      </c>
      <c r="W19" s="114">
        <f>D!G16</f>
        <v>0.42645833333333333</v>
      </c>
      <c r="X19" s="151">
        <f>D!H16</f>
        <v>0.42025462962962962</v>
      </c>
      <c r="Y19" s="256" t="s">
        <v>423</v>
      </c>
    </row>
    <row r="20" spans="2:47" ht="26.25">
      <c r="D20" s="102"/>
      <c r="V20" s="113" t="str">
        <f>D!F17</f>
        <v>Moon Merridian =</v>
      </c>
      <c r="W20" s="114">
        <f>D!G17</f>
        <v>0.6759722222222222</v>
      </c>
      <c r="X20" s="151">
        <f>D!H17</f>
        <v>0.66531249999999997</v>
      </c>
      <c r="Y20" s="255">
        <f>D!F5</f>
        <v>357583.01127633447</v>
      </c>
    </row>
    <row r="21" spans="2:47" ht="26.25">
      <c r="B21" s="174" t="s">
        <v>325</v>
      </c>
      <c r="C21" s="165"/>
      <c r="D21" s="152">
        <f>D15-D17-INT(30.6001*D18)+D9</f>
        <v>20.400819269008934</v>
      </c>
      <c r="G21" s="168" t="s">
        <v>325</v>
      </c>
      <c r="I21" s="152">
        <f>I15-I17-INT(30.6001*I18)+I9</f>
        <v>4.5047252280637622</v>
      </c>
      <c r="N21" s="152">
        <f>N15-N17-INT(30.6001*N18)+N9</f>
        <v>27.321734036318958</v>
      </c>
      <c r="S21" s="152">
        <f>S15-S17-INT(30.6001*S18)+S9</f>
        <v>12.156455252785236</v>
      </c>
      <c r="V21" s="113" t="str">
        <f>D!F18</f>
        <v>Moon Set =</v>
      </c>
      <c r="W21" s="114">
        <f>D!G18</f>
        <v>0.92155092592592591</v>
      </c>
      <c r="X21" s="151">
        <f>D!H18</f>
        <v>0.91035879629629635</v>
      </c>
      <c r="AC21" s="166" t="s">
        <v>325</v>
      </c>
      <c r="AE21" s="152">
        <f>AE15-AE17-INT(30.6001*AE18)+AE9</f>
        <v>5.3165058535523713</v>
      </c>
      <c r="AI21" s="166" t="s">
        <v>325</v>
      </c>
      <c r="AK21" s="152">
        <f>AK15-AK17-INT(30.6001*AK18)+AK9</f>
        <v>19.818915415555239</v>
      </c>
      <c r="AQ21" s="152">
        <f>AQ15-AQ17-INT(30.6001*AQ18)+AQ9</f>
        <v>4.5014950898475945</v>
      </c>
      <c r="AU21" s="152">
        <f>AU15-AU17-INT(30.6001*AU18)+AU9</f>
        <v>20.407896314747632</v>
      </c>
    </row>
    <row r="22" spans="2:47">
      <c r="D22" s="152">
        <f>TRUNC(D21)</f>
        <v>20</v>
      </c>
      <c r="I22" s="152">
        <f>TRUNC(I21)</f>
        <v>4</v>
      </c>
      <c r="N22" s="152">
        <f>TRUNC(N21)</f>
        <v>27</v>
      </c>
      <c r="S22" s="152">
        <f>TRUNC(S21)</f>
        <v>12</v>
      </c>
      <c r="AE22" s="152">
        <f>TRUNC(AE21)</f>
        <v>5</v>
      </c>
      <c r="AK22" s="152">
        <f>TRUNC(AK21)</f>
        <v>19</v>
      </c>
      <c r="AQ22" s="152">
        <f>TRUNC(AQ21)</f>
        <v>4</v>
      </c>
      <c r="AU22" s="152">
        <f>TRUNC(AU21)</f>
        <v>20</v>
      </c>
    </row>
    <row r="23" spans="2:47">
      <c r="D23" s="152">
        <f>(D21-D22)*24+AC3</f>
        <v>11.619662456214428</v>
      </c>
      <c r="I23" s="152">
        <f>(I21-I22)*24+AC3</f>
        <v>14.113405473530293</v>
      </c>
      <c r="N23" s="152">
        <f>(N21-N22)*24+AC3</f>
        <v>9.7216168716549873</v>
      </c>
      <c r="S23" s="152">
        <f>(S21-S22)*24+AC3</f>
        <v>5.7549260668456554</v>
      </c>
      <c r="AE23" s="152">
        <f>(AE21-AE22)*24</f>
        <v>7.5961404852569103</v>
      </c>
      <c r="AK23" s="152">
        <f>(AK21-AK22)*24</f>
        <v>19.653969973325729</v>
      </c>
      <c r="AQ23" s="152">
        <f>(AQ21-AQ22)*24</f>
        <v>12.035882156342268</v>
      </c>
      <c r="AU23" s="152">
        <f>(AU21-AU22)*24</f>
        <v>9.7895115539431572</v>
      </c>
    </row>
    <row r="24" spans="2:47">
      <c r="D24" s="153">
        <f>TRUNC(D23)</f>
        <v>11</v>
      </c>
      <c r="I24" s="153">
        <f>TRUNC(I23)</f>
        <v>14</v>
      </c>
      <c r="N24" s="153">
        <f>TRUNC(N23)</f>
        <v>9</v>
      </c>
      <c r="S24" s="153">
        <f>TRUNC(S23)</f>
        <v>5</v>
      </c>
      <c r="AE24" s="153">
        <f>TRUNC(AE23)</f>
        <v>7</v>
      </c>
      <c r="AK24" s="153">
        <f>TRUNC(AK23)</f>
        <v>19</v>
      </c>
      <c r="AQ24" s="153">
        <f>TRUNC(AQ23)</f>
        <v>12</v>
      </c>
      <c r="AU24" s="153">
        <f>TRUNC(AU23)</f>
        <v>9</v>
      </c>
    </row>
    <row r="25" spans="2:47">
      <c r="D25" s="153">
        <f>(D23-D24)*60.00001</f>
        <v>37.179753569490238</v>
      </c>
      <c r="I25" s="153">
        <f>(I23-I24)*60.00001</f>
        <v>6.8043295458722861</v>
      </c>
      <c r="N25" s="153">
        <f>(N23-N24)*60.00001</f>
        <v>43.297019515467959</v>
      </c>
      <c r="S25" s="153">
        <f>(S23-S24)*60.00001</f>
        <v>45.295571559999999</v>
      </c>
      <c r="AE25" s="153">
        <f>(AE23-AE24)*60.00001</f>
        <v>35.768435076819472</v>
      </c>
      <c r="AK25" s="153">
        <f>(AK23-AK24)*60.00001</f>
        <v>39.238204939243495</v>
      </c>
      <c r="AQ25" s="153">
        <f>(AQ23-AQ24)*60.00001</f>
        <v>2.152929739357643</v>
      </c>
      <c r="AU25" s="153">
        <f>(AU23-AU24)*60.00001</f>
        <v>47.370701131704976</v>
      </c>
    </row>
    <row r="26" spans="2:47">
      <c r="D26" s="153">
        <f>TRUNC(D25)</f>
        <v>37</v>
      </c>
      <c r="I26" s="153">
        <f>TRUNC(I25)</f>
        <v>6</v>
      </c>
      <c r="N26" s="153">
        <f>TRUNC(N25)</f>
        <v>43</v>
      </c>
      <c r="S26" s="153">
        <f>TRUNC(S25)</f>
        <v>45</v>
      </c>
      <c r="AE26" s="153">
        <f>TRUNC(AE25)</f>
        <v>35</v>
      </c>
      <c r="AK26" s="153">
        <f>TRUNC(AK25)</f>
        <v>39</v>
      </c>
      <c r="AQ26" s="153">
        <f>TRUNC(AQ25)</f>
        <v>2</v>
      </c>
      <c r="AU26" s="153">
        <f>TRUNC(AU25)</f>
        <v>47</v>
      </c>
    </row>
    <row r="27" spans="2:47">
      <c r="D27" s="153">
        <f>(D25-D26)*60</f>
        <v>10.785214169414274</v>
      </c>
      <c r="I27" s="153">
        <f>(I25-I26)*60</f>
        <v>48.25977275233717</v>
      </c>
      <c r="N27" s="153">
        <f>(N25-N26)*60</f>
        <v>17.821170928077521</v>
      </c>
      <c r="S27" s="153">
        <f>(S25-S26)*60</f>
        <v>17.734293599999944</v>
      </c>
      <c r="AE27" s="153">
        <f>(AE25-AE26)*60</f>
        <v>46.106104609168312</v>
      </c>
      <c r="AK27" s="153">
        <f>(AK25-AK26)*60</f>
        <v>14.292296354609704</v>
      </c>
      <c r="AQ27" s="153">
        <f>(AQ25-AQ26)*60</f>
        <v>9.1757843614585788</v>
      </c>
      <c r="AU27" s="153">
        <f>(AU25-AU26)*60</f>
        <v>22.242067902298572</v>
      </c>
    </row>
    <row r="28" spans="2:47">
      <c r="D28" s="102"/>
      <c r="I28" s="102"/>
      <c r="N28" s="102"/>
      <c r="S28" s="102"/>
      <c r="AE28" s="102"/>
      <c r="AK28" s="102"/>
      <c r="AQ28" s="102"/>
      <c r="AU28" s="102"/>
    </row>
    <row r="29" spans="2:47">
      <c r="D29" s="102"/>
      <c r="I29" s="102"/>
      <c r="N29" s="102"/>
      <c r="S29" s="102"/>
      <c r="AE29" s="102"/>
      <c r="AK29" s="102"/>
      <c r="AQ29" s="102"/>
      <c r="AU29" s="102"/>
    </row>
    <row r="30" spans="2:47">
      <c r="B30" t="s">
        <v>326</v>
      </c>
      <c r="D30" s="102">
        <f>IF(D18&lt;14,D18-1,IF(D18=14,D18-13, IF(D18=15,D18-13)))</f>
        <v>3</v>
      </c>
      <c r="I30" s="102">
        <f>IF(I18&lt;14,I18-1,IF(I18=14,I18-13, IF(I18=15,I18-13)))</f>
        <v>4</v>
      </c>
      <c r="N30" s="102">
        <f>IF(N18&lt;14,N18-1,IF(N18=14,N18-13, IF(N18=15,N18-13)))</f>
        <v>3</v>
      </c>
      <c r="S30" s="102">
        <f>IF(S18&lt;14,S18-1,IF(S18=14,S18-13, IF(S18=15,S18-13)))</f>
        <v>4</v>
      </c>
      <c r="AE30" s="102">
        <f>IF(AE18&lt;14,AE18-1,IF(AE18=14,AE18-13, IF(AE18=15,AE18-13)))</f>
        <v>3</v>
      </c>
      <c r="AK30" s="102">
        <f>IF(AK18&lt;14,AK18-1,IF(AK18=14,AK18-13, IF(AK18=15,AK18-13)))</f>
        <v>3</v>
      </c>
      <c r="AQ30" s="102">
        <f>IF(AQ18&lt;14,AQ18-1,IF(AQ18=14,AQ18-13, IF(AQ18=15,AQ18-13)))</f>
        <v>4</v>
      </c>
      <c r="AU30" s="102">
        <f>IF(AU18&lt;14,AU18-1,IF(AU18=14,AU18-13, IF(AU18=15,AU18-13)))</f>
        <v>3</v>
      </c>
    </row>
    <row r="31" spans="2:47">
      <c r="D31" s="102"/>
      <c r="I31" s="102"/>
      <c r="N31" s="102"/>
      <c r="S31" s="102"/>
      <c r="AE31" s="102"/>
      <c r="AK31" s="102"/>
      <c r="AQ31" s="102"/>
      <c r="AU31" s="102"/>
    </row>
    <row r="32" spans="2:47">
      <c r="D32" s="102"/>
      <c r="I32" s="102"/>
      <c r="N32" s="102"/>
      <c r="S32" s="102"/>
      <c r="AE32" s="102"/>
      <c r="AK32" s="102"/>
      <c r="AQ32" s="102"/>
      <c r="AU32" s="102"/>
    </row>
    <row r="33" spans="2:47">
      <c r="B33" t="s">
        <v>327</v>
      </c>
      <c r="D33" s="102">
        <f>IF(D30&gt;2,D16-4716,IF(D30=2,D16-4715,IF(D30=1,D16-4715)))</f>
        <v>2015</v>
      </c>
      <c r="I33" s="102">
        <f>IF(I30&gt;2,I16-4716,IF(I30=2,I16-4715,IF(I30=1,I16-4715)))</f>
        <v>2015</v>
      </c>
      <c r="N33" s="102">
        <f>IF(N30&gt;2,N16-4716,IF(N30=2,N16-4715,IF(N30=1,N16-4715)))</f>
        <v>2015</v>
      </c>
      <c r="S33" s="102">
        <f>IF(S30&gt;2,S16-4716,IF(S30=2,S16-4715,IF(S30=1,S16-4715)))</f>
        <v>2015</v>
      </c>
      <c r="AE33" s="102">
        <f>IF(AE30&gt;2,AE16-4716,IF(AE30=2,AE16-4715,IF(AE30=1,AE16-4715)))</f>
        <v>2015</v>
      </c>
      <c r="AK33" s="102">
        <f>IF(AK30&gt;2,AK16-4716,IF(AK30=2,AK16-4715,IF(AK30=1,AK16-4715)))</f>
        <v>2015</v>
      </c>
      <c r="AQ33" s="102">
        <f>IF(AQ30&gt;2,AQ16-4716,IF(AQ30=2,AQ16-4715,IF(AQ30=1,AQ16-4715)))</f>
        <v>2015</v>
      </c>
      <c r="AU33" s="102">
        <f>IF(AU30&gt;2,AU16-4716,IF(AU30=2,AU16-4715,IF(AU30=1,AU16-4715)))</f>
        <v>2015</v>
      </c>
    </row>
    <row r="36" spans="2:47" ht="18.75">
      <c r="C36" s="154" t="s">
        <v>328</v>
      </c>
      <c r="D36" s="155">
        <f>TIME(D24,D26,D27)</f>
        <v>0.4841435185185185</v>
      </c>
      <c r="H36" s="154" t="s">
        <v>328</v>
      </c>
      <c r="I36" s="155">
        <f>TIME(I24,I26,I27)</f>
        <v>0.58805555555555555</v>
      </c>
      <c r="M36" s="154" t="s">
        <v>328</v>
      </c>
      <c r="N36" s="155">
        <f>TIME(N24,N26,N27)</f>
        <v>0.40505787037037039</v>
      </c>
      <c r="R36" s="154" t="s">
        <v>328</v>
      </c>
      <c r="S36" s="155">
        <f>TIME(S24,S26,S27)</f>
        <v>0.23978009259259259</v>
      </c>
      <c r="AD36" s="154" t="s">
        <v>328</v>
      </c>
      <c r="AE36" s="155">
        <f>TIME(AE24,AE26,AE27)</f>
        <v>0.31650462962962961</v>
      </c>
      <c r="AJ36" s="154" t="s">
        <v>328</v>
      </c>
      <c r="AK36" s="155">
        <f>TIME(AK24,AK26,AK27)</f>
        <v>0.81891203703703708</v>
      </c>
      <c r="AP36" s="154" t="s">
        <v>328</v>
      </c>
      <c r="AQ36" s="155">
        <f>TIME(AQ24,AQ26,AQ27)</f>
        <v>0.50149305555555557</v>
      </c>
      <c r="AU36" s="155">
        <f>TIME(AU24,AU26,AU27)</f>
        <v>0.40789351851851857</v>
      </c>
    </row>
    <row r="37" spans="2:47" ht="18.75">
      <c r="C37" s="156" t="s">
        <v>329</v>
      </c>
      <c r="D37" s="157">
        <f>D22</f>
        <v>20</v>
      </c>
      <c r="H37" s="156" t="s">
        <v>329</v>
      </c>
      <c r="I37" s="157">
        <f>I22</f>
        <v>4</v>
      </c>
      <c r="M37" s="156" t="s">
        <v>329</v>
      </c>
      <c r="N37" s="157">
        <f>N22</f>
        <v>27</v>
      </c>
      <c r="R37" s="156" t="s">
        <v>329</v>
      </c>
      <c r="S37" s="157">
        <f>S22</f>
        <v>12</v>
      </c>
      <c r="AD37" s="156" t="s">
        <v>329</v>
      </c>
      <c r="AE37" s="177">
        <f>AE22</f>
        <v>5</v>
      </c>
      <c r="AJ37" s="156" t="s">
        <v>329</v>
      </c>
      <c r="AK37" s="177">
        <f>AK22</f>
        <v>19</v>
      </c>
      <c r="AP37" s="156" t="s">
        <v>329</v>
      </c>
      <c r="AQ37" s="177">
        <f>AQ22</f>
        <v>4</v>
      </c>
      <c r="AU37" s="177">
        <f>AU22</f>
        <v>20</v>
      </c>
    </row>
    <row r="38" spans="2:47" ht="18.75">
      <c r="C38" s="158" t="s">
        <v>296</v>
      </c>
      <c r="D38" s="159">
        <f>D30</f>
        <v>3</v>
      </c>
      <c r="H38" s="158" t="s">
        <v>296</v>
      </c>
      <c r="I38" s="159">
        <f>I30</f>
        <v>4</v>
      </c>
      <c r="M38" s="158" t="s">
        <v>296</v>
      </c>
      <c r="N38" s="159">
        <f>N30</f>
        <v>3</v>
      </c>
      <c r="R38" s="158" t="s">
        <v>296</v>
      </c>
      <c r="S38" s="159">
        <f>S30</f>
        <v>4</v>
      </c>
      <c r="AD38" s="158" t="s">
        <v>296</v>
      </c>
      <c r="AE38" s="159">
        <f>AE30</f>
        <v>3</v>
      </c>
      <c r="AJ38" s="158" t="s">
        <v>296</v>
      </c>
      <c r="AK38" s="159">
        <f>AK30</f>
        <v>3</v>
      </c>
      <c r="AP38" s="158" t="s">
        <v>296</v>
      </c>
      <c r="AQ38" s="159">
        <f>AQ30</f>
        <v>4</v>
      </c>
      <c r="AU38" s="159">
        <f>AU30</f>
        <v>3</v>
      </c>
    </row>
    <row r="39" spans="2:47" ht="18.75">
      <c r="C39" s="160" t="s">
        <v>330</v>
      </c>
      <c r="D39" s="161">
        <f>D33</f>
        <v>2015</v>
      </c>
      <c r="H39" s="160" t="s">
        <v>330</v>
      </c>
      <c r="I39" s="161">
        <f>I33</f>
        <v>2015</v>
      </c>
      <c r="M39" s="160" t="s">
        <v>330</v>
      </c>
      <c r="N39" s="161">
        <f>N33</f>
        <v>2015</v>
      </c>
      <c r="R39" s="160" t="s">
        <v>330</v>
      </c>
      <c r="S39" s="161">
        <f>S33</f>
        <v>2015</v>
      </c>
      <c r="AD39" s="160" t="s">
        <v>330</v>
      </c>
      <c r="AE39" s="161">
        <f>AE33</f>
        <v>2015</v>
      </c>
      <c r="AJ39" s="160" t="s">
        <v>330</v>
      </c>
      <c r="AK39" s="161">
        <f>AK33</f>
        <v>2015</v>
      </c>
      <c r="AP39" s="160" t="s">
        <v>330</v>
      </c>
      <c r="AQ39" s="161">
        <f>AQ33</f>
        <v>2015</v>
      </c>
      <c r="AU39" s="161">
        <f>AU33</f>
        <v>2015</v>
      </c>
    </row>
    <row r="43" spans="2:47">
      <c r="C43" s="102" t="s">
        <v>128</v>
      </c>
      <c r="D43" s="152">
        <f>D6</f>
        <v>2457101.900819269</v>
      </c>
      <c r="H43" s="102" t="s">
        <v>128</v>
      </c>
      <c r="I43" s="152">
        <f>I6</f>
        <v>2457117.0047252281</v>
      </c>
      <c r="M43" s="102" t="s">
        <v>128</v>
      </c>
      <c r="N43" s="152">
        <f>N6</f>
        <v>2457108.8217340363</v>
      </c>
      <c r="R43" s="102" t="s">
        <v>128</v>
      </c>
      <c r="S43" s="152">
        <f>S6</f>
        <v>2457124.6564552528</v>
      </c>
      <c r="AD43" s="102" t="s">
        <v>128</v>
      </c>
      <c r="AE43" s="152">
        <f>AE6</f>
        <v>2457086.8165058536</v>
      </c>
      <c r="AJ43" s="102" t="s">
        <v>128</v>
      </c>
      <c r="AK43" s="152">
        <f>AK6</f>
        <v>2457101.3189154156</v>
      </c>
      <c r="AP43" s="102" t="s">
        <v>128</v>
      </c>
      <c r="AQ43" s="152">
        <f>AQ6</f>
        <v>2457117.0014950898</v>
      </c>
      <c r="AU43" s="152">
        <f>AU6</f>
        <v>2457101.9078963147</v>
      </c>
    </row>
    <row r="44" spans="2:47">
      <c r="C44" s="102" t="s">
        <v>331</v>
      </c>
      <c r="D44" s="152">
        <f>D43+1.5</f>
        <v>2457103.400819269</v>
      </c>
      <c r="H44" s="102" t="s">
        <v>331</v>
      </c>
      <c r="I44" s="152">
        <f>I43+1.5</f>
        <v>2457118.5047252281</v>
      </c>
      <c r="M44" s="102" t="s">
        <v>331</v>
      </c>
      <c r="N44" s="152">
        <f>N43+1.5</f>
        <v>2457110.3217340363</v>
      </c>
      <c r="R44" s="102" t="s">
        <v>331</v>
      </c>
      <c r="S44" s="152">
        <f>S43+1.5</f>
        <v>2457126.1564552528</v>
      </c>
      <c r="AD44" s="102" t="s">
        <v>331</v>
      </c>
      <c r="AE44" s="152">
        <f>AE43+1.5</f>
        <v>2457088.3165058536</v>
      </c>
      <c r="AJ44" s="102" t="s">
        <v>331</v>
      </c>
      <c r="AK44" s="152">
        <f>AK43+1.5</f>
        <v>2457102.8189154156</v>
      </c>
      <c r="AP44" s="102" t="s">
        <v>331</v>
      </c>
      <c r="AQ44" s="152">
        <f>AQ43+1.5</f>
        <v>2457118.5014950898</v>
      </c>
      <c r="AU44" s="152">
        <f>AU43+1.5</f>
        <v>2457103.4078963147</v>
      </c>
    </row>
    <row r="45" spans="2:47">
      <c r="C45" s="102"/>
      <c r="D45" s="102">
        <f>D44/7</f>
        <v>351014.77154560987</v>
      </c>
      <c r="H45" s="102"/>
      <c r="I45" s="102">
        <f>I44/7</f>
        <v>351016.92924646114</v>
      </c>
      <c r="M45" s="102"/>
      <c r="N45" s="102">
        <f>N44/7</f>
        <v>351015.76024771947</v>
      </c>
      <c r="R45" s="102"/>
      <c r="S45" s="102">
        <f>S44/7</f>
        <v>351018.0223507504</v>
      </c>
      <c r="AD45" s="102"/>
      <c r="AE45" s="102">
        <f>AE44/7</f>
        <v>351012.61664369336</v>
      </c>
      <c r="AJ45" s="102"/>
      <c r="AK45" s="102">
        <f>AK44/7</f>
        <v>351014.68841648794</v>
      </c>
      <c r="AP45" s="102"/>
      <c r="AQ45" s="102">
        <f>AQ44/7</f>
        <v>351016.92878501286</v>
      </c>
      <c r="AU45" s="102">
        <f>AU44/7</f>
        <v>351014.7725566164</v>
      </c>
    </row>
    <row r="46" spans="2:47">
      <c r="C46" s="102"/>
      <c r="D46" s="102">
        <f>TRUNC(D45)</f>
        <v>351014</v>
      </c>
      <c r="H46" s="102"/>
      <c r="I46" s="102">
        <f>TRUNC(I45)</f>
        <v>351016</v>
      </c>
      <c r="M46" s="102"/>
      <c r="N46" s="102">
        <f>TRUNC(N45)</f>
        <v>351015</v>
      </c>
      <c r="R46" s="102"/>
      <c r="S46" s="102">
        <f>TRUNC(S45)</f>
        <v>351018</v>
      </c>
      <c r="AD46" s="102"/>
      <c r="AE46" s="102">
        <f>TRUNC(AE45)</f>
        <v>351012</v>
      </c>
      <c r="AJ46" s="102"/>
      <c r="AK46" s="102">
        <f>TRUNC(AK45)</f>
        <v>351014</v>
      </c>
      <c r="AP46" s="102"/>
      <c r="AQ46" s="102">
        <f>TRUNC(AQ45)</f>
        <v>351016</v>
      </c>
      <c r="AU46" s="102">
        <f>TRUNC(AU45)</f>
        <v>351014</v>
      </c>
    </row>
    <row r="47" spans="2:47">
      <c r="C47" s="102"/>
      <c r="D47" s="102">
        <f>D45-D46</f>
        <v>0.77154560986673459</v>
      </c>
      <c r="H47" s="102"/>
      <c r="I47" s="102">
        <f>I45-I46</f>
        <v>0.92924646113533527</v>
      </c>
      <c r="M47" s="102"/>
      <c r="N47" s="102">
        <f>N45-N46</f>
        <v>0.76024771947413683</v>
      </c>
      <c r="R47" s="102"/>
      <c r="S47" s="102">
        <f>S45-S46</f>
        <v>2.2350750397890806E-2</v>
      </c>
      <c r="AD47" s="102"/>
      <c r="AE47" s="102">
        <f>AE45-AE46</f>
        <v>0.61664369335630909</v>
      </c>
      <c r="AJ47" s="102"/>
      <c r="AK47" s="102">
        <f>AK45-AK46</f>
        <v>0.68841648794477805</v>
      </c>
      <c r="AP47" s="102"/>
      <c r="AQ47" s="102">
        <f>AQ45-AQ46</f>
        <v>0.92878501286031678</v>
      </c>
      <c r="AU47" s="102">
        <f>AU45-AU46</f>
        <v>0.77255661640083417</v>
      </c>
    </row>
    <row r="48" spans="2:47">
      <c r="C48" s="102"/>
      <c r="D48" s="102">
        <f>TRUNC(D47*7.001)</f>
        <v>5</v>
      </c>
      <c r="H48" s="102"/>
      <c r="I48" s="102">
        <f>TRUNC(I47*7.001)</f>
        <v>6</v>
      </c>
      <c r="M48" s="102"/>
      <c r="N48" s="102">
        <f>TRUNC(N47*7.001)</f>
        <v>5</v>
      </c>
      <c r="R48" s="102"/>
      <c r="S48" s="102">
        <f>TRUNC(S47*7.001)</f>
        <v>0</v>
      </c>
      <c r="AD48" s="102"/>
      <c r="AE48" s="102">
        <f>TRUNC(AE47*7.001)</f>
        <v>4</v>
      </c>
      <c r="AJ48" s="102"/>
      <c r="AK48" s="102">
        <f>TRUNC(AK47*7.001)</f>
        <v>4</v>
      </c>
      <c r="AP48" s="102"/>
      <c r="AQ48" s="102">
        <f>TRUNC(AQ47*7.001)</f>
        <v>6</v>
      </c>
      <c r="AU48" s="102">
        <f>TRUNC(AU47*7.001)</f>
        <v>5</v>
      </c>
    </row>
    <row r="49" spans="3:47" ht="23.25">
      <c r="C49" s="162" t="s">
        <v>329</v>
      </c>
      <c r="D49" s="163" t="str">
        <f>IF(D48=0,"Sunday",IF(D48=1,"Monday",IF(D48=2,"Tuesday",IF(D48=3,"Wedenesday",IF(D48=4,"Thursday",IF(D48=5,"Friday",IF(D48=6,"Saturday")))))))</f>
        <v>Friday</v>
      </c>
      <c r="H49" s="162" t="s">
        <v>329</v>
      </c>
      <c r="I49" s="163" t="str">
        <f>IF(I48=0,"Sunday",IF(I48=1,"Monday",IF(I48=2,"Tuesday",IF(I48=3,"Wedenesday",IF(I48=4,"Thursday",IF(I48=5,"Friday",IF(I48=6,"Saturday")))))))</f>
        <v>Saturday</v>
      </c>
      <c r="M49" s="162" t="s">
        <v>329</v>
      </c>
      <c r="N49" s="163" t="str">
        <f>IF(N48=0,"Sunday",IF(N48=1,"Monday",IF(N48=2,"Tuesday",IF(N48=3,"Wedenesday",IF(N48=4,"Thursday",IF(N48=5,"Friday",IF(N48=6,"Saturday")))))))</f>
        <v>Friday</v>
      </c>
      <c r="R49" s="162" t="s">
        <v>329</v>
      </c>
      <c r="S49" s="163" t="str">
        <f>IF(S48=0,"Sunday",IF(S48=1,"Monday",IF(S48=2,"Tuesday",IF(S48=3,"Wedenesday",IF(S48=4,"Thursday",IF(S48=5,"Friday",IF(S48=6,"Saturday")))))))</f>
        <v>Sunday</v>
      </c>
      <c r="AD49" s="162" t="s">
        <v>329</v>
      </c>
      <c r="AE49" s="163" t="str">
        <f>IF(AE48=0,"Sunday",IF(AE48=1,"Monday",IF(AE48=2,"Tuesday",IF(AE48=3,"Wedenesday",IF(AE48=4,"Thursday",IF(AE48=5,"Friday",IF(AE48=6,"Saturday")))))))</f>
        <v>Thursday</v>
      </c>
      <c r="AJ49" s="162" t="s">
        <v>329</v>
      </c>
      <c r="AK49" s="163" t="str">
        <f>IF(AK48=0,"Sunday",IF(AK48=1,"Monday",IF(AK48=2,"Tuesday",IF(AK48=3,"Wedenesday",IF(AK48=4,"Thursday",IF(AK48=5,"Friday",IF(AK48=6,"Saturday")))))))</f>
        <v>Thursday</v>
      </c>
      <c r="AP49" s="162" t="s">
        <v>329</v>
      </c>
      <c r="AQ49" s="163" t="str">
        <f>IF(AQ48=0,"Sunday",IF(AQ48=1,"Monday",IF(AQ48=2,"Tuesday",IF(AQ48=3,"Wedenesday",IF(AQ48=4,"Thursday",IF(AQ48=5,"Friday",IF(AQ48=6,"Saturday")))))))</f>
        <v>Saturday</v>
      </c>
      <c r="AU49" s="163" t="str">
        <f>IF(AU48=0,"Sunday",IF(AU48=1,"Monday",IF(AU48=2,"Tuesday",IF(AU48=3,"Wedenesday",IF(AU48=4,"Thursday",IF(AU48=5,"Friday",IF(AU48=6,"Saturday")))))))</f>
        <v>Friday</v>
      </c>
    </row>
    <row r="51" spans="3:47" ht="21">
      <c r="AD51" s="176" t="s">
        <v>337</v>
      </c>
      <c r="AE51" s="175">
        <f>parallex!F45</f>
        <v>406384.95370948612</v>
      </c>
      <c r="AJ51" s="176" t="s">
        <v>337</v>
      </c>
      <c r="AK51" s="175">
        <f>parallex!E18</f>
        <v>357583.33372689382</v>
      </c>
    </row>
  </sheetData>
  <mergeCells count="1">
    <mergeCell ref="BH4:BJ4"/>
  </mergeCell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dimension ref="A2:W186"/>
  <sheetViews>
    <sheetView workbookViewId="0">
      <selection activeCell="M4" sqref="M4"/>
    </sheetView>
  </sheetViews>
  <sheetFormatPr defaultColWidth="9.140625" defaultRowHeight="15"/>
  <cols>
    <col min="1" max="2" width="9.140625" style="99"/>
    <col min="3" max="3" width="12.140625" style="100" bestFit="1" customWidth="1"/>
    <col min="4" max="4" width="19.7109375" style="100" customWidth="1"/>
    <col min="5" max="5" width="18.28515625" style="100" customWidth="1"/>
    <col min="6" max="6" width="33" style="100" customWidth="1"/>
    <col min="7" max="7" width="32.28515625" style="100" customWidth="1"/>
    <col min="8" max="8" width="20.7109375" style="100" bestFit="1" customWidth="1"/>
    <col min="9" max="9" width="15.28515625" style="100" customWidth="1"/>
    <col min="10" max="10" width="9.28515625" style="99" bestFit="1" customWidth="1"/>
    <col min="11" max="11" width="12.28515625" style="100" bestFit="1" customWidth="1"/>
    <col min="12" max="13" width="13" style="100" bestFit="1" customWidth="1"/>
    <col min="14" max="14" width="20.28515625" style="100" bestFit="1" customWidth="1"/>
    <col min="15" max="15" width="22.5703125" style="99" customWidth="1"/>
    <col min="16" max="16" width="27.140625" style="99" customWidth="1"/>
    <col min="17" max="18" width="9.140625" style="99"/>
    <col min="19" max="19" width="17.7109375" style="99" bestFit="1" customWidth="1"/>
    <col min="20" max="16384" width="9.140625" style="99"/>
  </cols>
  <sheetData>
    <row r="2" spans="1:23">
      <c r="C2" s="249" t="s">
        <v>173</v>
      </c>
      <c r="D2" s="249">
        <f>D8+O117</f>
        <v>350.66977954902211</v>
      </c>
      <c r="E2" s="250">
        <f>O117</f>
        <v>5.0319246282353534E-2</v>
      </c>
    </row>
    <row r="3" spans="1:23" ht="21">
      <c r="C3" s="249" t="s">
        <v>174</v>
      </c>
      <c r="D3" s="249">
        <f>O180</f>
        <v>1.7512035741158301</v>
      </c>
      <c r="E3" s="250"/>
      <c r="F3"/>
      <c r="G3" s="115" t="s">
        <v>252</v>
      </c>
      <c r="H3" s="115" t="s">
        <v>253</v>
      </c>
      <c r="I3" s="115" t="s">
        <v>159</v>
      </c>
      <c r="J3" s="115"/>
      <c r="K3" s="115" t="s">
        <v>257</v>
      </c>
      <c r="L3" s="115" t="s">
        <v>32</v>
      </c>
      <c r="M3" s="115" t="s">
        <v>258</v>
      </c>
      <c r="N3" s="116" t="s">
        <v>255</v>
      </c>
      <c r="O3" s="116" t="s">
        <v>256</v>
      </c>
      <c r="P3" s="116" t="s">
        <v>289</v>
      </c>
    </row>
    <row r="4" spans="1:23" ht="21">
      <c r="C4" s="249" t="s">
        <v>175</v>
      </c>
      <c r="D4" s="249">
        <f>385000.56+P117</f>
        <v>357583.01127633447</v>
      </c>
      <c r="E4" s="250">
        <f>P117</f>
        <v>-27417.548723665535</v>
      </c>
      <c r="F4"/>
      <c r="G4" s="117">
        <f>Summary!T3</f>
        <v>2015</v>
      </c>
      <c r="H4" s="117">
        <f>Summary!U3</f>
        <v>3</v>
      </c>
      <c r="I4" s="117">
        <f>Summary!V3</f>
        <v>19</v>
      </c>
      <c r="J4" s="118">
        <f>I4+K5+L5+M5</f>
        <v>19.82210648148148</v>
      </c>
      <c r="K4" s="117">
        <f>Summary!X3</f>
        <v>19</v>
      </c>
      <c r="L4" s="117">
        <f>Summary!Y3</f>
        <v>43</v>
      </c>
      <c r="M4" s="117">
        <f>Summary!Z3</f>
        <v>50</v>
      </c>
      <c r="N4" s="173">
        <f>Summary!AA3</f>
        <v>35</v>
      </c>
      <c r="O4" s="173">
        <f>Summary!AB3</f>
        <v>32</v>
      </c>
      <c r="P4" s="173">
        <f>Summary!AC3</f>
        <v>2</v>
      </c>
    </row>
    <row r="5" spans="1:23">
      <c r="C5" s="249" t="s">
        <v>176</v>
      </c>
      <c r="D5" s="249">
        <f>ASIN(6378.14/D4)*180/PI()</f>
        <v>1.0220280941319311</v>
      </c>
      <c r="E5" s="250">
        <f>D5*60</f>
        <v>61.321685647915864</v>
      </c>
      <c r="F5">
        <f>6378.14/(SIN(D5*PI()/180))</f>
        <v>357583.01127633447</v>
      </c>
      <c r="G5" s="102">
        <f>IF(H4&lt;3,G4-1,G4)</f>
        <v>2015</v>
      </c>
      <c r="H5" s="102">
        <f>IF(H4&lt;3,H4+12,H4)</f>
        <v>3</v>
      </c>
      <c r="I5" s="102">
        <f>IF(J4&lt;3,I4,J4)</f>
        <v>19.82210648148148</v>
      </c>
      <c r="J5"/>
      <c r="K5" s="102">
        <f>K4/24</f>
        <v>0.79166666666666663</v>
      </c>
      <c r="L5" s="102">
        <f>L4/(24*60)</f>
        <v>2.9861111111111113E-2</v>
      </c>
      <c r="M5" s="102">
        <f>(M4)/(24*3600)</f>
        <v>5.7870370370370367E-4</v>
      </c>
      <c r="N5" s="99"/>
    </row>
    <row r="6" spans="1:23">
      <c r="C6" s="100" t="s">
        <v>153</v>
      </c>
      <c r="D6" s="100">
        <f>G13</f>
        <v>2457101.3221064815</v>
      </c>
      <c r="F6"/>
      <c r="G6"/>
      <c r="H6"/>
      <c r="I6"/>
      <c r="J6"/>
      <c r="K6"/>
      <c r="L6"/>
      <c r="M6"/>
      <c r="N6" s="99"/>
    </row>
    <row r="7" spans="1:23" ht="15.75">
      <c r="C7" s="100" t="s">
        <v>152</v>
      </c>
      <c r="D7" s="145">
        <f>(D6-2451545)/36525</f>
        <v>0.1521238085278995</v>
      </c>
      <c r="F7"/>
      <c r="G7"/>
      <c r="H7"/>
      <c r="I7"/>
      <c r="J7"/>
      <c r="K7"/>
      <c r="L7"/>
      <c r="M7"/>
      <c r="N7" s="99"/>
      <c r="P7"/>
      <c r="Q7" s="101" t="s">
        <v>241</v>
      </c>
      <c r="R7"/>
      <c r="S7"/>
      <c r="T7"/>
      <c r="U7"/>
      <c r="V7"/>
      <c r="W7"/>
    </row>
    <row r="8" spans="1:23">
      <c r="A8" s="99" t="s">
        <v>315</v>
      </c>
      <c r="C8" s="100" t="s">
        <v>237</v>
      </c>
      <c r="D8" s="100">
        <f>MOD(218.3164591+481267.881342*D7-0.0013267*D7^2+D7^3/538841-D7^4/65194000,360)</f>
        <v>350.61946030273975</v>
      </c>
      <c r="F8"/>
      <c r="G8"/>
      <c r="H8"/>
      <c r="I8"/>
      <c r="J8"/>
      <c r="K8"/>
      <c r="L8"/>
      <c r="M8"/>
      <c r="N8" s="99"/>
    </row>
    <row r="9" spans="1:23">
      <c r="C9" s="100" t="s">
        <v>154</v>
      </c>
      <c r="D9" s="100">
        <f>MOD(297.8502042+445267.1115186*D7-0.00163*D7^2+D7^3/545868-D7^4/113065000,360)</f>
        <v>353.57898291194579</v>
      </c>
      <c r="F9"/>
      <c r="G9" t="s">
        <v>332</v>
      </c>
      <c r="H9"/>
      <c r="I9"/>
      <c r="J9"/>
      <c r="K9"/>
      <c r="L9"/>
      <c r="M9"/>
      <c r="N9" s="99"/>
    </row>
    <row r="10" spans="1:23">
      <c r="C10" s="100" t="s">
        <v>136</v>
      </c>
      <c r="D10" s="100">
        <f>MOD(357.5291092+35999.0502909*D7-0.0001536*D7^2+D7^3/24490000,360)</f>
        <v>73.841739284681353</v>
      </c>
      <c r="F10"/>
      <c r="G10"/>
      <c r="H10"/>
      <c r="I10"/>
      <c r="J10"/>
      <c r="K10"/>
      <c r="L10"/>
      <c r="M10"/>
      <c r="N10" s="99"/>
    </row>
    <row r="11" spans="1:23">
      <c r="C11" s="100" t="s">
        <v>155</v>
      </c>
      <c r="D11" s="100">
        <f>MOD(134.9634114+477198.8676313*D7+0.008997*D7^2+D7^3/69699-D7^4/14712000,360)</f>
        <v>8.2727889302623225</v>
      </c>
      <c r="F11" t="s">
        <v>259</v>
      </c>
      <c r="G11">
        <f>INT(G5/100)</f>
        <v>20</v>
      </c>
      <c r="H11"/>
      <c r="I11"/>
      <c r="J11"/>
      <c r="K11"/>
      <c r="L11"/>
      <c r="M11"/>
      <c r="N11" s="99"/>
    </row>
    <row r="12" spans="1:23">
      <c r="C12" s="100" t="s">
        <v>138</v>
      </c>
      <c r="D12" s="100">
        <f>MOD(93.2720993+483202.0175273*D7-0.0034029*D7^2-D7^3/3526000+D7^4/863310000,360)</f>
        <v>159.80321516797994</v>
      </c>
      <c r="F12" t="s">
        <v>260</v>
      </c>
      <c r="G12">
        <f>IF(G4&lt;1582,0,2-G11+INT(G11/4))</f>
        <v>-13</v>
      </c>
      <c r="H12"/>
      <c r="I12"/>
      <c r="J12"/>
      <c r="K12"/>
      <c r="L12"/>
      <c r="M12"/>
      <c r="N12" s="99"/>
    </row>
    <row r="13" spans="1:23" ht="28.5">
      <c r="C13" s="100" t="s">
        <v>156</v>
      </c>
      <c r="D13" s="100">
        <f>MOD(119.75+131.849*D7,360)</f>
        <v>139.80737203059502</v>
      </c>
      <c r="F13" s="104" t="s">
        <v>128</v>
      </c>
      <c r="G13" s="105">
        <f>INT(365.25*(G5+4716))+INT(30.6001*(H5+1))+G15+G12-1524.5</f>
        <v>2457101.3221064815</v>
      </c>
      <c r="H13"/>
      <c r="I13"/>
      <c r="J13"/>
      <c r="K13"/>
      <c r="L13"/>
      <c r="M13"/>
      <c r="N13" s="99"/>
    </row>
    <row r="14" spans="1:23">
      <c r="C14" s="100" t="s">
        <v>157</v>
      </c>
      <c r="D14" s="100">
        <f>MOD(53.09+479264.29*D7,360)</f>
        <v>240.59908621969225</v>
      </c>
      <c r="H14" s="99"/>
      <c r="J14" s="100"/>
      <c r="M14" s="99"/>
      <c r="N14" s="99"/>
    </row>
    <row r="15" spans="1:23">
      <c r="C15" s="100" t="s">
        <v>158</v>
      </c>
      <c r="D15" s="100">
        <f>MOD(313.45+481266.484*D7,360)</f>
        <v>85.540462911405484</v>
      </c>
      <c r="G15" s="102">
        <f>IF(J4&lt;3,I4,J4)</f>
        <v>19.82210648148148</v>
      </c>
      <c r="H15" s="99"/>
      <c r="I15" s="99"/>
      <c r="K15" s="99"/>
      <c r="L15" s="99"/>
      <c r="M15" s="99"/>
      <c r="N15" s="99"/>
    </row>
    <row r="16" spans="1:23" ht="28.15" customHeight="1">
      <c r="C16" s="100" t="s">
        <v>235</v>
      </c>
      <c r="D16" s="100">
        <f>MOD(125.04452-1934.136261*D7+0.0020708*D7^2+D7^3/450000,306)</f>
        <v>136.81639369432693</v>
      </c>
      <c r="F16" s="113" t="s">
        <v>297</v>
      </c>
      <c r="G16" s="114">
        <f>'M4'!C61</f>
        <v>0.42645833333333333</v>
      </c>
      <c r="H16" s="151">
        <f>'moon form'!F23</f>
        <v>0.42025462962962962</v>
      </c>
    </row>
    <row r="17" spans="3:8" ht="30.6" customHeight="1">
      <c r="C17" s="100" t="s">
        <v>236</v>
      </c>
      <c r="D17" s="100">
        <f>MOD(280.4665+36000.769*D7+0.0003032*D7^2,360)</f>
        <v>357.04059722968941</v>
      </c>
      <c r="F17" s="113" t="s">
        <v>299</v>
      </c>
      <c r="G17" s="114">
        <f>'M4'!D61</f>
        <v>0.6759722222222222</v>
      </c>
      <c r="H17" s="151">
        <f>'moon form'!G23</f>
        <v>0.66531249999999997</v>
      </c>
    </row>
    <row r="18" spans="3:8" ht="30" customHeight="1">
      <c r="C18" s="100" t="s">
        <v>237</v>
      </c>
      <c r="D18" s="100">
        <f>MOD(218.3165+481267.881*D7,360)</f>
        <v>350.61947987192252</v>
      </c>
      <c r="F18" s="113" t="s">
        <v>298</v>
      </c>
      <c r="G18" s="114">
        <f>'M4'!E61</f>
        <v>0.92155092592592591</v>
      </c>
      <c r="H18" s="151">
        <f>'moon form'!H23</f>
        <v>0.91035879629629635</v>
      </c>
    </row>
    <row r="19" spans="3:8">
      <c r="C19" s="100" t="s">
        <v>238</v>
      </c>
      <c r="D19" s="100">
        <f>(-17.2*SIN(D16*PI()/180)-1.32*SIN(2*D17*PI()/180)-0.23*SIN(2*D18*PI()/180)+21*SIN(2*D16*PI()/180))/3600</f>
        <v>-9.032870945970068E-3</v>
      </c>
    </row>
    <row r="20" spans="3:8">
      <c r="C20" s="100" t="s">
        <v>239</v>
      </c>
      <c r="D20" s="100">
        <f>(E20*COS(D16*PI()/180)+F20*COS(2*D17*PI()/180)+E21*COS(2*D18*PI()/180)-F21*COS(2*D16*PI()/180))/3600</f>
        <v>-4.6700366075838288E-7</v>
      </c>
      <c r="E20" s="100">
        <f>9.2/3600</f>
        <v>2.5555555555555553E-3</v>
      </c>
      <c r="F20" s="100">
        <f>0.57/3600</f>
        <v>1.5833333333333332E-4</v>
      </c>
    </row>
    <row r="21" spans="3:8">
      <c r="C21" s="100" t="s">
        <v>240</v>
      </c>
      <c r="D21" s="100">
        <f>23.4392911 - 0.01300416667*D7 - 0.00000016389*D7^2+0.00000050361 *D7^3+0.00255625*COS(D16*PI()/180)</f>
        <v>23.435448927961371</v>
      </c>
      <c r="E21" s="100">
        <f>0.1/3600</f>
        <v>2.7777777777777779E-5</v>
      </c>
      <c r="F21" s="100">
        <f>0.09/3600</f>
        <v>2.4999999999999998E-5</v>
      </c>
    </row>
    <row r="22" spans="3:8">
      <c r="D22" s="100">
        <f>D21+D20</f>
        <v>23.435448460957709</v>
      </c>
      <c r="F22" s="99"/>
      <c r="G22" s="99"/>
    </row>
    <row r="23" spans="3:8" ht="21">
      <c r="C23" s="100" t="s">
        <v>184</v>
      </c>
      <c r="D23" s="100">
        <f>SIN(D2*PI()/180)*COS(D22*PI()/180)-TAN(D3*PI()/180)*SIN(D22*PI()/180)</f>
        <v>-0.16091014653256289</v>
      </c>
      <c r="F23" s="147" t="s">
        <v>263</v>
      </c>
      <c r="G23" s="146">
        <f>sidereal!E9</f>
        <v>176.22464413295711</v>
      </c>
    </row>
    <row r="24" spans="3:8">
      <c r="C24" s="100" t="s">
        <v>243</v>
      </c>
      <c r="D24" s="100">
        <f>COS(D2*PI()/180)</f>
        <v>0.98677034179031231</v>
      </c>
      <c r="F24" s="99"/>
      <c r="G24" s="99"/>
    </row>
    <row r="25" spans="3:8">
      <c r="D25" s="100">
        <f>ATAN(D23/D24)*180/PI()</f>
        <v>-9.2615607495636336</v>
      </c>
      <c r="F25" s="99"/>
      <c r="G25" s="99"/>
    </row>
    <row r="26" spans="3:8">
      <c r="D26" s="100">
        <f>ATAN((SIN(D2*PI()/180)*COS(D22*PI()/180)-TAN(D3*PI()/180)*SIN(D22*PI()/180))/COS(D2*PI()/180))*180/PI()</f>
        <v>-9.2615607495636336</v>
      </c>
      <c r="F26" s="99"/>
      <c r="G26" s="99"/>
    </row>
    <row r="27" spans="3:8" ht="15.75">
      <c r="C27" s="107" t="s">
        <v>242</v>
      </c>
      <c r="D27" s="107">
        <f>IF(D24&lt;0,D25+180,IF(D23&lt;0,D25+360,D25))</f>
        <v>350.73843925043639</v>
      </c>
      <c r="E27" s="100">
        <f>D27/15</f>
        <v>23.382562616695758</v>
      </c>
      <c r="F27" s="99"/>
      <c r="G27" s="99"/>
    </row>
    <row r="28" spans="3:8" ht="15.75">
      <c r="C28" s="107" t="s">
        <v>244</v>
      </c>
      <c r="D28" s="107">
        <f>ASIN(SIN(D3*PI()/180)*COS(D22*PI()/180)+COS(D3*PI()/180)*SIN(D22*PI()/180)*SIN(D2*PI()/180))*180/PI()</f>
        <v>-2.0866371904307366</v>
      </c>
      <c r="F28" s="99"/>
      <c r="G28" s="99"/>
    </row>
    <row r="29" spans="3:8">
      <c r="F29" s="99"/>
      <c r="G29" s="99"/>
    </row>
    <row r="30" spans="3:8">
      <c r="C30" s="100" t="s">
        <v>245</v>
      </c>
      <c r="F30" s="101" t="s">
        <v>246</v>
      </c>
      <c r="G30" t="s">
        <v>247</v>
      </c>
    </row>
    <row r="31" spans="3:8">
      <c r="C31" s="100" t="s">
        <v>249</v>
      </c>
      <c r="D31" s="100">
        <f>-SIN(0.83*PI()/180)-SIN(D12*PI()/180)*SIN(D28*PI()/180)</f>
        <v>-1.9151154978781625E-3</v>
      </c>
      <c r="F31" s="101" t="s">
        <v>248</v>
      </c>
      <c r="G31"/>
    </row>
    <row r="32" spans="3:8">
      <c r="C32" s="100" t="s">
        <v>250</v>
      </c>
      <c r="D32" s="100">
        <f>COS(D12*PI()/180)*SIN(D28*PI()/180)</f>
        <v>3.4171836415967119E-2</v>
      </c>
      <c r="F32" s="99"/>
      <c r="G32" s="99"/>
    </row>
    <row r="33" spans="1:7">
      <c r="C33" s="100" t="s">
        <v>245</v>
      </c>
      <c r="F33" s="99"/>
      <c r="G33" s="99"/>
    </row>
    <row r="34" spans="1:7">
      <c r="F34" s="99"/>
      <c r="G34" s="99"/>
    </row>
    <row r="35" spans="1:7">
      <c r="F35" s="99"/>
      <c r="G35" s="99"/>
    </row>
    <row r="36" spans="1:7">
      <c r="C36" s="100" t="s">
        <v>251</v>
      </c>
      <c r="E36" s="102">
        <f>ACOS(D31/D32)*180/PI()</f>
        <v>93.212749704235947</v>
      </c>
      <c r="F36" s="99"/>
      <c r="G36" s="99"/>
    </row>
    <row r="37" spans="1:7">
      <c r="F37" s="99"/>
      <c r="G37" s="99"/>
    </row>
    <row r="38" spans="1:7">
      <c r="F38" s="99"/>
      <c r="G38" s="99"/>
    </row>
    <row r="39" spans="1:7">
      <c r="F39" s="99"/>
      <c r="G39" s="99"/>
    </row>
    <row r="40" spans="1:7">
      <c r="F40" s="99"/>
      <c r="G40" s="99"/>
    </row>
    <row r="41" spans="1:7">
      <c r="F41" s="99"/>
      <c r="G41" s="99"/>
    </row>
    <row r="42" spans="1:7">
      <c r="F42" s="99"/>
      <c r="G42" s="99"/>
    </row>
    <row r="43" spans="1:7">
      <c r="A43" s="99" t="s">
        <v>161</v>
      </c>
      <c r="C43" s="100" t="s">
        <v>162</v>
      </c>
      <c r="D43" s="100">
        <f>(3958*SIN(D13*PI()/180)+1963*SIN((D8-D12)*PI()/180)+318*SIN(D14*PI()/180))</f>
        <v>1908.9128143732996</v>
      </c>
      <c r="F43" s="99"/>
      <c r="G43" s="99"/>
    </row>
    <row r="45" spans="1:7">
      <c r="A45" s="99" t="s">
        <v>163</v>
      </c>
      <c r="C45" s="100" t="s">
        <v>164</v>
      </c>
      <c r="D45" s="100">
        <f>(-2235*SIN(D8*PI()/180)+382*SIN(D15*PI()/180)+175*SIN((D13-D12)*PI()/180)+175*SIN((D13+D12)*PI()/180)+127*SIN((D8-D11)*PI()/180)-115*SIN((D8+D11)*PI()/180))</f>
        <v>496.85047594611592</v>
      </c>
    </row>
    <row r="47" spans="1:7">
      <c r="C47" s="100" t="s">
        <v>143</v>
      </c>
      <c r="D47" s="100">
        <f>(1-0.002516*D7-0.0000074*D7^2)</f>
        <v>0.99961708524951065</v>
      </c>
    </row>
    <row r="48" spans="1:7">
      <c r="C48" s="100" t="s">
        <v>232</v>
      </c>
      <c r="D48" s="100">
        <f>D47*D47</f>
        <v>0.99923431712272748</v>
      </c>
    </row>
    <row r="49" spans="1:16">
      <c r="C49" s="100" t="s">
        <v>233</v>
      </c>
      <c r="D49" s="100">
        <v>1</v>
      </c>
    </row>
    <row r="51" spans="1:16">
      <c r="A51" s="99" t="s">
        <v>415</v>
      </c>
    </row>
    <row r="52" spans="1:16">
      <c r="A52" s="99" t="s">
        <v>416</v>
      </c>
      <c r="B52" s="100"/>
    </row>
    <row r="55" spans="1:16">
      <c r="C55" s="100" t="s">
        <v>159</v>
      </c>
      <c r="D55" s="100" t="s">
        <v>32</v>
      </c>
      <c r="E55" s="100" t="s">
        <v>66</v>
      </c>
      <c r="F55" s="100" t="s">
        <v>160</v>
      </c>
      <c r="G55" s="100" t="s">
        <v>167</v>
      </c>
      <c r="H55" s="100" t="s">
        <v>168</v>
      </c>
      <c r="I55" s="100" t="s">
        <v>234</v>
      </c>
      <c r="J55" s="100"/>
      <c r="K55" s="100" t="s">
        <v>159</v>
      </c>
      <c r="L55" s="100" t="s">
        <v>166</v>
      </c>
      <c r="M55" s="100" t="s">
        <v>165</v>
      </c>
      <c r="N55" s="100" t="s">
        <v>160</v>
      </c>
      <c r="O55" s="100" t="s">
        <v>169</v>
      </c>
      <c r="P55" s="100" t="s">
        <v>170</v>
      </c>
    </row>
    <row r="56" spans="1:16">
      <c r="C56" s="100">
        <v>0</v>
      </c>
      <c r="D56" s="100">
        <v>0</v>
      </c>
      <c r="E56" s="100">
        <v>1</v>
      </c>
      <c r="F56" s="100">
        <v>0</v>
      </c>
      <c r="G56" s="100">
        <v>6288774</v>
      </c>
      <c r="H56" s="100">
        <v>-20905355</v>
      </c>
      <c r="I56" s="100">
        <f>IF(ABS(D56)=2,$D$48,IF(ABS(D56)=1,$D$47,1))</f>
        <v>1</v>
      </c>
      <c r="J56" s="100"/>
      <c r="K56" s="100">
        <f>C56</f>
        <v>0</v>
      </c>
      <c r="L56" s="100">
        <f>D56</f>
        <v>0</v>
      </c>
      <c r="M56" s="100">
        <f>E56</f>
        <v>1</v>
      </c>
      <c r="N56" s="100">
        <f>F56</f>
        <v>0</v>
      </c>
      <c r="O56" s="99">
        <f>I56*G56*SIN(((K56*$D$9+L56*$D$10+M56*$D$11+N56*$D$12))*PI()/180)</f>
        <v>904868.02255596628</v>
      </c>
      <c r="P56" s="99">
        <f>I56*H56*COS(((K56*D$9+L56*D$10+M56*D$11+N56*D$12))*PI()/180)</f>
        <v>-20687818.799440838</v>
      </c>
    </row>
    <row r="57" spans="1:16">
      <c r="C57" s="100">
        <v>2</v>
      </c>
      <c r="D57" s="100">
        <v>0</v>
      </c>
      <c r="E57" s="100">
        <v>-1</v>
      </c>
      <c r="F57" s="100">
        <v>0</v>
      </c>
      <c r="G57" s="100">
        <v>1274027</v>
      </c>
      <c r="H57" s="100">
        <v>-3699111</v>
      </c>
      <c r="I57" s="100">
        <f t="shared" ref="I57:I115" si="0">IF(ABS(D57)=2,$D$48,IF(ABS(D57)=1,$D$47,1))</f>
        <v>1</v>
      </c>
      <c r="J57" s="100"/>
      <c r="K57" s="100">
        <f t="shared" ref="K57:N115" si="1">C57</f>
        <v>2</v>
      </c>
      <c r="L57" s="100">
        <f t="shared" si="1"/>
        <v>0</v>
      </c>
      <c r="M57" s="100">
        <f t="shared" si="1"/>
        <v>-1</v>
      </c>
      <c r="N57" s="100">
        <f t="shared" si="1"/>
        <v>0</v>
      </c>
      <c r="O57" s="99">
        <f t="shared" ref="O57:O115" si="2">I57*G57*SIN(((K57*$D$9+L57*$D$10+M57*$D$11+N57*$D$12))*PI()/180)</f>
        <v>-458953.14527115651</v>
      </c>
      <c r="P57" s="99">
        <f t="shared" ref="P57:P115" si="3">I57*H57*COS(((K57*D$9+L57*D$10+M57*D$11+N57*D$12))*PI()/180)</f>
        <v>-3450754.0491248476</v>
      </c>
    </row>
    <row r="58" spans="1:16">
      <c r="C58" s="100">
        <v>2</v>
      </c>
      <c r="D58" s="100">
        <v>0</v>
      </c>
      <c r="E58" s="100">
        <v>0</v>
      </c>
      <c r="F58" s="100">
        <v>0</v>
      </c>
      <c r="G58" s="100">
        <v>658314</v>
      </c>
      <c r="H58" s="100">
        <v>-2955968</v>
      </c>
      <c r="I58" s="100">
        <f t="shared" si="0"/>
        <v>1</v>
      </c>
      <c r="J58" s="100"/>
      <c r="K58" s="100">
        <f t="shared" si="1"/>
        <v>2</v>
      </c>
      <c r="L58" s="100">
        <f t="shared" si="1"/>
        <v>0</v>
      </c>
      <c r="M58" s="100">
        <f t="shared" si="1"/>
        <v>0</v>
      </c>
      <c r="N58" s="100">
        <f t="shared" si="1"/>
        <v>0</v>
      </c>
      <c r="O58" s="99">
        <f t="shared" si="2"/>
        <v>-146319.39849270802</v>
      </c>
      <c r="P58" s="99">
        <f t="shared" si="3"/>
        <v>-2882029.0606056005</v>
      </c>
    </row>
    <row r="59" spans="1:16">
      <c r="C59" s="100">
        <v>0</v>
      </c>
      <c r="D59" s="100">
        <v>0</v>
      </c>
      <c r="E59" s="100">
        <v>2</v>
      </c>
      <c r="F59" s="100">
        <v>0</v>
      </c>
      <c r="G59" s="100">
        <v>213618</v>
      </c>
      <c r="H59" s="100">
        <v>-569925</v>
      </c>
      <c r="I59" s="100">
        <f t="shared" si="0"/>
        <v>1</v>
      </c>
      <c r="J59" s="100"/>
      <c r="K59" s="100">
        <f t="shared" si="1"/>
        <v>0</v>
      </c>
      <c r="L59" s="100">
        <f t="shared" si="1"/>
        <v>0</v>
      </c>
      <c r="M59" s="100">
        <f t="shared" si="1"/>
        <v>2</v>
      </c>
      <c r="N59" s="100">
        <f t="shared" si="1"/>
        <v>0</v>
      </c>
      <c r="O59" s="99">
        <f t="shared" si="2"/>
        <v>60833.702587821892</v>
      </c>
      <c r="P59" s="99">
        <f t="shared" si="3"/>
        <v>-546326.40159188595</v>
      </c>
    </row>
    <row r="60" spans="1:16">
      <c r="C60" s="100">
        <v>0</v>
      </c>
      <c r="D60" s="100">
        <v>1</v>
      </c>
      <c r="E60" s="100">
        <v>0</v>
      </c>
      <c r="F60" s="100">
        <v>0</v>
      </c>
      <c r="G60" s="100">
        <v>-185116</v>
      </c>
      <c r="H60" s="100">
        <v>48888</v>
      </c>
      <c r="I60" s="100">
        <f t="shared" si="0"/>
        <v>0.99961708524951065</v>
      </c>
      <c r="J60" s="100"/>
      <c r="K60" s="100">
        <f t="shared" si="1"/>
        <v>0</v>
      </c>
      <c r="L60" s="100">
        <f t="shared" si="1"/>
        <v>1</v>
      </c>
      <c r="M60" s="100">
        <f t="shared" si="1"/>
        <v>0</v>
      </c>
      <c r="N60" s="100">
        <f t="shared" si="1"/>
        <v>0</v>
      </c>
      <c r="O60" s="99">
        <f t="shared" si="2"/>
        <v>-177735.21852043024</v>
      </c>
      <c r="P60" s="99">
        <f t="shared" si="3"/>
        <v>13599.903771993</v>
      </c>
    </row>
    <row r="61" spans="1:16">
      <c r="C61" s="100">
        <v>0</v>
      </c>
      <c r="D61" s="100">
        <v>0</v>
      </c>
      <c r="E61" s="100">
        <v>0</v>
      </c>
      <c r="F61" s="100">
        <v>2</v>
      </c>
      <c r="G61" s="100">
        <v>-114332</v>
      </c>
      <c r="H61" s="100">
        <v>-3149</v>
      </c>
      <c r="I61" s="100">
        <f t="shared" si="0"/>
        <v>1</v>
      </c>
      <c r="J61" s="100"/>
      <c r="K61" s="100">
        <f t="shared" si="1"/>
        <v>0</v>
      </c>
      <c r="L61" s="100">
        <f t="shared" si="1"/>
        <v>0</v>
      </c>
      <c r="M61" s="100">
        <f t="shared" si="1"/>
        <v>0</v>
      </c>
      <c r="N61" s="100">
        <f t="shared" si="1"/>
        <v>2</v>
      </c>
      <c r="O61" s="99">
        <f t="shared" si="2"/>
        <v>74091.07235131941</v>
      </c>
      <c r="P61" s="99">
        <f t="shared" si="3"/>
        <v>-2398.3131699462988</v>
      </c>
    </row>
    <row r="62" spans="1:16">
      <c r="C62" s="100">
        <v>2</v>
      </c>
      <c r="D62" s="100">
        <v>0</v>
      </c>
      <c r="E62" s="100">
        <v>-2</v>
      </c>
      <c r="F62" s="100">
        <v>0</v>
      </c>
      <c r="G62" s="100">
        <v>58793</v>
      </c>
      <c r="H62" s="100">
        <v>246158</v>
      </c>
      <c r="I62" s="100">
        <f t="shared" si="0"/>
        <v>1</v>
      </c>
      <c r="J62" s="100"/>
      <c r="K62" s="100">
        <f t="shared" si="1"/>
        <v>2</v>
      </c>
      <c r="L62" s="100">
        <f t="shared" si="1"/>
        <v>0</v>
      </c>
      <c r="M62" s="100">
        <f t="shared" si="1"/>
        <v>-2</v>
      </c>
      <c r="N62" s="100">
        <f t="shared" si="1"/>
        <v>0</v>
      </c>
      <c r="O62" s="99">
        <f t="shared" si="2"/>
        <v>-28850.629121884162</v>
      </c>
      <c r="P62" s="99">
        <f t="shared" si="3"/>
        <v>214482.37118714163</v>
      </c>
    </row>
    <row r="63" spans="1:16">
      <c r="C63" s="100">
        <v>2</v>
      </c>
      <c r="D63" s="100">
        <v>-1</v>
      </c>
      <c r="E63" s="100">
        <v>-1</v>
      </c>
      <c r="F63" s="100">
        <v>0</v>
      </c>
      <c r="G63" s="100">
        <v>57066</v>
      </c>
      <c r="H63" s="100">
        <v>-152138</v>
      </c>
      <c r="I63" s="100">
        <f t="shared" si="0"/>
        <v>0.99961708524951065</v>
      </c>
      <c r="J63" s="100"/>
      <c r="K63" s="100">
        <f t="shared" si="1"/>
        <v>2</v>
      </c>
      <c r="L63" s="100">
        <f t="shared" si="1"/>
        <v>-1</v>
      </c>
      <c r="M63" s="100">
        <f t="shared" si="1"/>
        <v>-1</v>
      </c>
      <c r="N63" s="100">
        <f t="shared" si="1"/>
        <v>0</v>
      </c>
      <c r="O63" s="99">
        <f t="shared" si="2"/>
        <v>-56830.831258526021</v>
      </c>
      <c r="P63" s="99">
        <f t="shared" si="3"/>
        <v>13139.761884429206</v>
      </c>
    </row>
    <row r="64" spans="1:16">
      <c r="C64" s="100">
        <v>2</v>
      </c>
      <c r="D64" s="100">
        <v>0</v>
      </c>
      <c r="E64" s="100">
        <v>1</v>
      </c>
      <c r="F64" s="100">
        <v>0</v>
      </c>
      <c r="G64" s="100">
        <v>53322</v>
      </c>
      <c r="H64" s="100">
        <v>-170733</v>
      </c>
      <c r="I64" s="100">
        <f t="shared" si="0"/>
        <v>1</v>
      </c>
      <c r="J64" s="100"/>
      <c r="K64" s="100">
        <f t="shared" si="1"/>
        <v>2</v>
      </c>
      <c r="L64" s="100">
        <f t="shared" si="1"/>
        <v>0</v>
      </c>
      <c r="M64" s="100">
        <f t="shared" si="1"/>
        <v>1</v>
      </c>
      <c r="N64" s="100">
        <f t="shared" si="1"/>
        <v>0</v>
      </c>
      <c r="O64" s="99">
        <f t="shared" si="2"/>
        <v>-4247.8368807932302</v>
      </c>
      <c r="P64" s="99">
        <f t="shared" si="3"/>
        <v>-170190.37354026196</v>
      </c>
    </row>
    <row r="65" spans="3:16">
      <c r="C65" s="100">
        <v>2</v>
      </c>
      <c r="D65" s="100">
        <v>-1</v>
      </c>
      <c r="E65" s="100">
        <v>0</v>
      </c>
      <c r="F65" s="100">
        <v>0</v>
      </c>
      <c r="G65" s="100">
        <v>45758</v>
      </c>
      <c r="H65" s="100">
        <v>-204586</v>
      </c>
      <c r="I65" s="100">
        <f t="shared" si="0"/>
        <v>0.99961708524951065</v>
      </c>
      <c r="J65" s="100"/>
      <c r="K65" s="100">
        <f t="shared" si="1"/>
        <v>2</v>
      </c>
      <c r="L65" s="100">
        <f t="shared" si="1"/>
        <v>-1</v>
      </c>
      <c r="M65" s="100">
        <f t="shared" si="1"/>
        <v>0</v>
      </c>
      <c r="N65" s="100">
        <f t="shared" si="1"/>
        <v>0</v>
      </c>
      <c r="O65" s="99">
        <f t="shared" si="2"/>
        <v>-45663.884969363193</v>
      </c>
      <c r="P65" s="99">
        <f t="shared" si="3"/>
        <v>-11830.105906160228</v>
      </c>
    </row>
    <row r="66" spans="3:16">
      <c r="C66" s="100">
        <v>0</v>
      </c>
      <c r="D66" s="100">
        <v>1</v>
      </c>
      <c r="E66" s="100">
        <v>-1</v>
      </c>
      <c r="F66" s="100">
        <v>0</v>
      </c>
      <c r="G66" s="100">
        <v>-40923</v>
      </c>
      <c r="H66" s="100">
        <v>-129620</v>
      </c>
      <c r="I66" s="100">
        <f t="shared" si="0"/>
        <v>0.99961708524951065</v>
      </c>
      <c r="J66" s="100"/>
      <c r="K66" s="100">
        <f t="shared" si="1"/>
        <v>0</v>
      </c>
      <c r="L66" s="100">
        <f t="shared" si="1"/>
        <v>1</v>
      </c>
      <c r="M66" s="100">
        <f t="shared" si="1"/>
        <v>-1</v>
      </c>
      <c r="N66" s="100">
        <f t="shared" si="1"/>
        <v>0</v>
      </c>
      <c r="O66" s="99">
        <f t="shared" si="2"/>
        <v>-37244.473668786246</v>
      </c>
      <c r="P66" s="99">
        <f t="shared" si="3"/>
        <v>-53590.029646037576</v>
      </c>
    </row>
    <row r="67" spans="3:16">
      <c r="C67" s="100">
        <v>1</v>
      </c>
      <c r="D67" s="100">
        <v>0</v>
      </c>
      <c r="E67" s="100">
        <v>0</v>
      </c>
      <c r="F67" s="100">
        <v>0</v>
      </c>
      <c r="G67" s="100">
        <v>-34720</v>
      </c>
      <c r="H67" s="100">
        <v>108743</v>
      </c>
      <c r="I67" s="100">
        <f t="shared" si="0"/>
        <v>1</v>
      </c>
      <c r="J67" s="100"/>
      <c r="K67" s="100">
        <f t="shared" si="1"/>
        <v>1</v>
      </c>
      <c r="L67" s="100">
        <f t="shared" si="1"/>
        <v>0</v>
      </c>
      <c r="M67" s="100">
        <f t="shared" si="1"/>
        <v>0</v>
      </c>
      <c r="N67" s="100">
        <f t="shared" si="1"/>
        <v>0</v>
      </c>
      <c r="O67" s="99">
        <f t="shared" si="2"/>
        <v>3882.8575940187361</v>
      </c>
      <c r="P67" s="99">
        <f t="shared" si="3"/>
        <v>108060.85119851316</v>
      </c>
    </row>
    <row r="68" spans="3:16">
      <c r="C68" s="100">
        <v>0</v>
      </c>
      <c r="D68" s="100">
        <v>1</v>
      </c>
      <c r="E68" s="100">
        <v>1</v>
      </c>
      <c r="F68" s="100">
        <v>0</v>
      </c>
      <c r="G68" s="100">
        <v>-30383</v>
      </c>
      <c r="H68" s="100">
        <v>104755</v>
      </c>
      <c r="I68" s="100">
        <f t="shared" si="0"/>
        <v>0.99961708524951065</v>
      </c>
      <c r="J68" s="100"/>
      <c r="K68" s="100">
        <f t="shared" si="1"/>
        <v>0</v>
      </c>
      <c r="L68" s="100">
        <f t="shared" si="1"/>
        <v>1</v>
      </c>
      <c r="M68" s="100">
        <f t="shared" si="1"/>
        <v>1</v>
      </c>
      <c r="N68" s="100">
        <f t="shared" si="1"/>
        <v>0</v>
      </c>
      <c r="O68" s="99">
        <f t="shared" si="2"/>
        <v>-30084.182846517731</v>
      </c>
      <c r="P68" s="99">
        <f t="shared" si="3"/>
        <v>14366.189693127091</v>
      </c>
    </row>
    <row r="69" spans="3:16">
      <c r="C69" s="100">
        <v>2</v>
      </c>
      <c r="D69" s="100">
        <v>0</v>
      </c>
      <c r="E69" s="100">
        <v>0</v>
      </c>
      <c r="F69" s="100">
        <v>-2</v>
      </c>
      <c r="G69" s="100">
        <v>15327</v>
      </c>
      <c r="H69" s="100">
        <v>10321</v>
      </c>
      <c r="I69" s="100">
        <f t="shared" si="0"/>
        <v>1</v>
      </c>
      <c r="J69" s="100"/>
      <c r="K69" s="100">
        <f t="shared" si="1"/>
        <v>2</v>
      </c>
      <c r="L69" s="100">
        <f t="shared" si="1"/>
        <v>0</v>
      </c>
      <c r="M69" s="100">
        <f t="shared" si="1"/>
        <v>0</v>
      </c>
      <c r="N69" s="100">
        <f t="shared" si="1"/>
        <v>-2</v>
      </c>
      <c r="O69" s="99">
        <f t="shared" si="2"/>
        <v>7089.4465363106747</v>
      </c>
      <c r="P69" s="99">
        <f t="shared" si="3"/>
        <v>9150.548524499296</v>
      </c>
    </row>
    <row r="70" spans="3:16">
      <c r="C70" s="100">
        <v>0</v>
      </c>
      <c r="D70" s="100">
        <v>0</v>
      </c>
      <c r="E70" s="100">
        <v>1</v>
      </c>
      <c r="F70" s="100">
        <v>2</v>
      </c>
      <c r="G70" s="100">
        <v>-12528</v>
      </c>
      <c r="H70" s="100">
        <v>0</v>
      </c>
      <c r="I70" s="100">
        <f t="shared" si="0"/>
        <v>1</v>
      </c>
      <c r="J70" s="100"/>
      <c r="K70" s="100">
        <f t="shared" si="1"/>
        <v>0</v>
      </c>
      <c r="L70" s="100">
        <f t="shared" si="1"/>
        <v>0</v>
      </c>
      <c r="M70" s="100">
        <f t="shared" si="1"/>
        <v>1</v>
      </c>
      <c r="N70" s="100">
        <f t="shared" si="1"/>
        <v>2</v>
      </c>
      <c r="O70" s="99">
        <f t="shared" si="2"/>
        <v>6661.2101257773293</v>
      </c>
      <c r="P70" s="99">
        <f t="shared" si="3"/>
        <v>0</v>
      </c>
    </row>
    <row r="71" spans="3:16">
      <c r="C71" s="100">
        <v>0</v>
      </c>
      <c r="D71" s="100">
        <v>0</v>
      </c>
      <c r="E71" s="100">
        <v>1</v>
      </c>
      <c r="F71" s="100">
        <v>-2</v>
      </c>
      <c r="G71" s="100">
        <v>10980</v>
      </c>
      <c r="H71" s="100">
        <v>79661</v>
      </c>
      <c r="I71" s="100">
        <f t="shared" si="0"/>
        <v>1</v>
      </c>
      <c r="J71" s="100"/>
      <c r="K71" s="100">
        <f t="shared" si="1"/>
        <v>0</v>
      </c>
      <c r="L71" s="100">
        <f t="shared" si="1"/>
        <v>0</v>
      </c>
      <c r="M71" s="100">
        <f t="shared" si="1"/>
        <v>1</v>
      </c>
      <c r="N71" s="100">
        <f t="shared" si="1"/>
        <v>-2</v>
      </c>
      <c r="O71" s="99">
        <f t="shared" si="2"/>
        <v>8244.6237709692541</v>
      </c>
      <c r="P71" s="99">
        <f t="shared" si="3"/>
        <v>52611.522848121072</v>
      </c>
    </row>
    <row r="72" spans="3:16">
      <c r="C72" s="100">
        <v>4</v>
      </c>
      <c r="D72" s="100">
        <v>0</v>
      </c>
      <c r="E72" s="100">
        <v>-1</v>
      </c>
      <c r="F72" s="100">
        <v>0</v>
      </c>
      <c r="G72" s="100">
        <v>10675</v>
      </c>
      <c r="H72" s="100">
        <v>-34782</v>
      </c>
      <c r="I72" s="100">
        <f t="shared" si="0"/>
        <v>1</v>
      </c>
      <c r="J72" s="100"/>
      <c r="K72" s="100">
        <f t="shared" si="1"/>
        <v>4</v>
      </c>
      <c r="L72" s="100">
        <f t="shared" si="1"/>
        <v>0</v>
      </c>
      <c r="M72" s="100">
        <f t="shared" si="1"/>
        <v>-1</v>
      </c>
      <c r="N72" s="100">
        <f t="shared" si="1"/>
        <v>0</v>
      </c>
      <c r="O72" s="99">
        <f t="shared" si="2"/>
        <v>-5962.7186760669938</v>
      </c>
      <c r="P72" s="99">
        <f t="shared" si="3"/>
        <v>-28850.22206683215</v>
      </c>
    </row>
    <row r="73" spans="3:16">
      <c r="C73" s="100">
        <v>0</v>
      </c>
      <c r="D73" s="100">
        <v>0</v>
      </c>
      <c r="E73" s="100">
        <v>3</v>
      </c>
      <c r="F73" s="100">
        <v>0</v>
      </c>
      <c r="G73" s="100">
        <v>10034</v>
      </c>
      <c r="H73" s="100">
        <v>-23210</v>
      </c>
      <c r="I73" s="100">
        <f t="shared" si="0"/>
        <v>1</v>
      </c>
      <c r="J73" s="100"/>
      <c r="K73" s="100">
        <f t="shared" si="1"/>
        <v>0</v>
      </c>
      <c r="L73" s="100">
        <f t="shared" si="1"/>
        <v>0</v>
      </c>
      <c r="M73" s="100">
        <f t="shared" si="1"/>
        <v>3</v>
      </c>
      <c r="N73" s="100">
        <f t="shared" si="1"/>
        <v>0</v>
      </c>
      <c r="O73" s="99">
        <f t="shared" si="2"/>
        <v>4211.7018532132797</v>
      </c>
      <c r="P73" s="99">
        <f t="shared" si="3"/>
        <v>-21066.393378415032</v>
      </c>
    </row>
    <row r="74" spans="3:16">
      <c r="C74" s="100">
        <v>4</v>
      </c>
      <c r="D74" s="100">
        <v>0</v>
      </c>
      <c r="E74" s="100">
        <v>-2</v>
      </c>
      <c r="F74" s="100">
        <v>0</v>
      </c>
      <c r="G74" s="100">
        <v>8548</v>
      </c>
      <c r="H74" s="100">
        <v>-21636</v>
      </c>
      <c r="I74" s="100">
        <f t="shared" si="0"/>
        <v>1</v>
      </c>
      <c r="J74" s="100"/>
      <c r="K74" s="100">
        <f t="shared" si="1"/>
        <v>4</v>
      </c>
      <c r="L74" s="100">
        <f t="shared" si="1"/>
        <v>0</v>
      </c>
      <c r="M74" s="100">
        <f t="shared" si="1"/>
        <v>-2</v>
      </c>
      <c r="N74" s="100">
        <f t="shared" si="1"/>
        <v>0</v>
      </c>
      <c r="O74" s="99">
        <f t="shared" si="2"/>
        <v>-5745.143363446532</v>
      </c>
      <c r="P74" s="99">
        <f t="shared" si="3"/>
        <v>-16020.52619731688</v>
      </c>
    </row>
    <row r="75" spans="3:16">
      <c r="C75" s="100">
        <v>2</v>
      </c>
      <c r="D75" s="100">
        <v>1</v>
      </c>
      <c r="E75" s="100">
        <v>-1</v>
      </c>
      <c r="F75" s="100">
        <v>0</v>
      </c>
      <c r="G75" s="100">
        <v>-7888</v>
      </c>
      <c r="H75" s="100">
        <v>24208</v>
      </c>
      <c r="I75" s="100">
        <f t="shared" si="0"/>
        <v>0.99961708524951065</v>
      </c>
      <c r="J75" s="100"/>
      <c r="K75" s="100">
        <f t="shared" si="1"/>
        <v>2</v>
      </c>
      <c r="L75" s="100">
        <f t="shared" si="1"/>
        <v>1</v>
      </c>
      <c r="M75" s="100">
        <f t="shared" si="1"/>
        <v>-1</v>
      </c>
      <c r="N75" s="100">
        <f t="shared" si="1"/>
        <v>0</v>
      </c>
      <c r="O75" s="99">
        <f t="shared" si="2"/>
        <v>-6274.5361378435255</v>
      </c>
      <c r="P75" s="99">
        <f t="shared" si="3"/>
        <v>14655.105378061393</v>
      </c>
    </row>
    <row r="76" spans="3:16">
      <c r="C76" s="100">
        <v>2</v>
      </c>
      <c r="D76" s="100">
        <v>1</v>
      </c>
      <c r="E76" s="100">
        <v>0</v>
      </c>
      <c r="F76" s="100">
        <v>0</v>
      </c>
      <c r="G76" s="100">
        <v>-6766</v>
      </c>
      <c r="H76" s="100">
        <v>30824</v>
      </c>
      <c r="I76" s="100">
        <f t="shared" si="0"/>
        <v>0.99961708524951065</v>
      </c>
      <c r="J76" s="100"/>
      <c r="K76" s="100">
        <f t="shared" si="1"/>
        <v>2</v>
      </c>
      <c r="L76" s="100">
        <f t="shared" si="1"/>
        <v>1</v>
      </c>
      <c r="M76" s="100">
        <f t="shared" si="1"/>
        <v>0</v>
      </c>
      <c r="N76" s="100">
        <f t="shared" si="1"/>
        <v>0</v>
      </c>
      <c r="O76" s="99">
        <f t="shared" si="2"/>
        <v>-5915.3940963706436</v>
      </c>
      <c r="P76" s="99">
        <f t="shared" si="3"/>
        <v>14938.188245240255</v>
      </c>
    </row>
    <row r="77" spans="3:16">
      <c r="C77" s="100">
        <v>1</v>
      </c>
      <c r="D77" s="100">
        <v>0</v>
      </c>
      <c r="E77" s="100">
        <v>-1</v>
      </c>
      <c r="F77" s="100">
        <v>0</v>
      </c>
      <c r="G77" s="100">
        <v>-5163</v>
      </c>
      <c r="H77" s="100">
        <v>-8379</v>
      </c>
      <c r="I77" s="100">
        <f t="shared" si="0"/>
        <v>1</v>
      </c>
      <c r="J77" s="100"/>
      <c r="K77" s="100">
        <f t="shared" si="1"/>
        <v>1</v>
      </c>
      <c r="L77" s="100">
        <f t="shared" si="1"/>
        <v>0</v>
      </c>
      <c r="M77" s="100">
        <f t="shared" si="1"/>
        <v>-1</v>
      </c>
      <c r="N77" s="100">
        <f t="shared" si="1"/>
        <v>0</v>
      </c>
      <c r="O77" s="99">
        <f t="shared" si="2"/>
        <v>1309.612381629626</v>
      </c>
      <c r="P77" s="99">
        <f t="shared" si="3"/>
        <v>-8104.9663108844043</v>
      </c>
    </row>
    <row r="78" spans="3:16">
      <c r="C78" s="100">
        <v>1</v>
      </c>
      <c r="D78" s="100">
        <v>1</v>
      </c>
      <c r="E78" s="100">
        <v>0</v>
      </c>
      <c r="F78" s="100">
        <v>0</v>
      </c>
      <c r="G78" s="100">
        <v>4987</v>
      </c>
      <c r="H78" s="100">
        <v>-16675</v>
      </c>
      <c r="I78" s="100">
        <f t="shared" si="0"/>
        <v>0.99961708524951065</v>
      </c>
      <c r="J78" s="100"/>
      <c r="K78" s="100">
        <f t="shared" si="1"/>
        <v>1</v>
      </c>
      <c r="L78" s="100">
        <f t="shared" si="1"/>
        <v>1</v>
      </c>
      <c r="M78" s="100">
        <f t="shared" si="1"/>
        <v>0</v>
      </c>
      <c r="N78" s="100">
        <f t="shared" si="1"/>
        <v>0</v>
      </c>
      <c r="O78" s="99">
        <f t="shared" si="2"/>
        <v>4602.9789625779231</v>
      </c>
      <c r="P78" s="99">
        <f t="shared" si="3"/>
        <v>-6400.1047046911353</v>
      </c>
    </row>
    <row r="79" spans="3:16">
      <c r="C79" s="100">
        <v>2</v>
      </c>
      <c r="D79" s="100">
        <v>-1</v>
      </c>
      <c r="E79" s="100">
        <v>1</v>
      </c>
      <c r="F79" s="100">
        <v>0</v>
      </c>
      <c r="G79" s="100">
        <v>4036</v>
      </c>
      <c r="H79" s="100">
        <v>-12831</v>
      </c>
      <c r="I79" s="100">
        <f t="shared" si="0"/>
        <v>0.99961708524951065</v>
      </c>
      <c r="J79" s="100"/>
      <c r="K79" s="100">
        <f t="shared" si="1"/>
        <v>2</v>
      </c>
      <c r="L79" s="100">
        <f t="shared" si="1"/>
        <v>-1</v>
      </c>
      <c r="M79" s="100">
        <f t="shared" si="1"/>
        <v>1</v>
      </c>
      <c r="N79" s="100">
        <f t="shared" si="1"/>
        <v>0</v>
      </c>
      <c r="O79" s="99">
        <f t="shared" si="2"/>
        <v>-3952.2072839457301</v>
      </c>
      <c r="P79" s="99">
        <f t="shared" si="3"/>
        <v>-2576.634081876291</v>
      </c>
    </row>
    <row r="80" spans="3:16">
      <c r="C80" s="100">
        <v>2</v>
      </c>
      <c r="D80" s="100">
        <v>0</v>
      </c>
      <c r="E80" s="100">
        <v>2</v>
      </c>
      <c r="F80" s="100">
        <v>0</v>
      </c>
      <c r="G80" s="100">
        <v>3994</v>
      </c>
      <c r="H80" s="100">
        <v>-10445</v>
      </c>
      <c r="I80" s="100">
        <f t="shared" si="0"/>
        <v>1</v>
      </c>
      <c r="J80" s="100"/>
      <c r="K80" s="100">
        <f t="shared" si="1"/>
        <v>2</v>
      </c>
      <c r="L80" s="100">
        <f t="shared" si="1"/>
        <v>0</v>
      </c>
      <c r="M80" s="100">
        <f t="shared" si="1"/>
        <v>2</v>
      </c>
      <c r="N80" s="100">
        <f t="shared" si="1"/>
        <v>0</v>
      </c>
      <c r="O80" s="99">
        <f t="shared" si="2"/>
        <v>257.98854852440132</v>
      </c>
      <c r="P80" s="99">
        <f t="shared" si="3"/>
        <v>-10423.186924245992</v>
      </c>
    </row>
    <row r="81" spans="3:16">
      <c r="C81" s="100">
        <v>4</v>
      </c>
      <c r="D81" s="100">
        <v>0</v>
      </c>
      <c r="E81" s="100">
        <v>0</v>
      </c>
      <c r="F81" s="100">
        <v>0</v>
      </c>
      <c r="G81" s="100">
        <v>3861</v>
      </c>
      <c r="H81" s="100">
        <v>-11650</v>
      </c>
      <c r="I81" s="100">
        <f t="shared" si="0"/>
        <v>1</v>
      </c>
      <c r="J81" s="100"/>
      <c r="K81" s="100">
        <f t="shared" si="1"/>
        <v>4</v>
      </c>
      <c r="L81" s="100">
        <f t="shared" si="1"/>
        <v>0</v>
      </c>
      <c r="M81" s="100">
        <f t="shared" si="1"/>
        <v>0</v>
      </c>
      <c r="N81" s="100">
        <f t="shared" si="1"/>
        <v>0</v>
      </c>
      <c r="O81" s="99">
        <f t="shared" si="2"/>
        <v>-1673.3902749158128</v>
      </c>
      <c r="P81" s="99">
        <f t="shared" si="3"/>
        <v>-10498.951685898975</v>
      </c>
    </row>
    <row r="82" spans="3:16">
      <c r="C82" s="100">
        <v>2</v>
      </c>
      <c r="D82" s="100">
        <v>0</v>
      </c>
      <c r="E82" s="100">
        <v>-3</v>
      </c>
      <c r="F82" s="100">
        <v>0</v>
      </c>
      <c r="G82" s="100">
        <v>3665</v>
      </c>
      <c r="H82" s="100">
        <v>14403</v>
      </c>
      <c r="I82" s="100">
        <f t="shared" si="0"/>
        <v>1</v>
      </c>
      <c r="J82" s="100"/>
      <c r="K82" s="100">
        <f t="shared" si="1"/>
        <v>2</v>
      </c>
      <c r="L82" s="100">
        <f t="shared" si="1"/>
        <v>0</v>
      </c>
      <c r="M82" s="100">
        <f t="shared" si="1"/>
        <v>-3</v>
      </c>
      <c r="N82" s="100">
        <f t="shared" si="1"/>
        <v>0</v>
      </c>
      <c r="O82" s="99">
        <f t="shared" si="2"/>
        <v>-2239.2418945400432</v>
      </c>
      <c r="P82" s="99">
        <f t="shared" si="3"/>
        <v>11402.07720538353</v>
      </c>
    </row>
    <row r="83" spans="3:16">
      <c r="C83" s="100">
        <v>0</v>
      </c>
      <c r="D83" s="100">
        <v>1</v>
      </c>
      <c r="E83" s="100">
        <v>-2</v>
      </c>
      <c r="F83" s="100">
        <v>0</v>
      </c>
      <c r="G83" s="100">
        <v>-2689</v>
      </c>
      <c r="H83" s="100">
        <v>-7003</v>
      </c>
      <c r="I83" s="100">
        <f t="shared" si="0"/>
        <v>0.99961708524951065</v>
      </c>
      <c r="J83" s="100"/>
      <c r="K83" s="100">
        <f t="shared" si="1"/>
        <v>0</v>
      </c>
      <c r="L83" s="100">
        <f t="shared" si="1"/>
        <v>1</v>
      </c>
      <c r="M83" s="100">
        <f t="shared" si="1"/>
        <v>-2</v>
      </c>
      <c r="N83" s="100">
        <f t="shared" si="1"/>
        <v>0</v>
      </c>
      <c r="O83" s="99">
        <f t="shared" si="2"/>
        <v>-2261.8587315350733</v>
      </c>
      <c r="P83" s="99">
        <f t="shared" si="3"/>
        <v>-3782.2489350002247</v>
      </c>
    </row>
    <row r="84" spans="3:16">
      <c r="C84" s="100">
        <v>2</v>
      </c>
      <c r="D84" s="100">
        <v>0</v>
      </c>
      <c r="E84" s="100">
        <v>-1</v>
      </c>
      <c r="F84" s="100">
        <v>2</v>
      </c>
      <c r="G84" s="100">
        <v>-2602</v>
      </c>
      <c r="H84" s="100">
        <v>0</v>
      </c>
      <c r="I84" s="100">
        <f t="shared" si="0"/>
        <v>1</v>
      </c>
      <c r="J84" s="100"/>
      <c r="K84" s="100">
        <f t="shared" si="1"/>
        <v>2</v>
      </c>
      <c r="L84" s="100">
        <f t="shared" si="1"/>
        <v>0</v>
      </c>
      <c r="M84" s="100">
        <f t="shared" si="1"/>
        <v>-1</v>
      </c>
      <c r="N84" s="100">
        <f t="shared" si="1"/>
        <v>2</v>
      </c>
      <c r="O84" s="99">
        <f t="shared" si="2"/>
        <v>2286.8639691951121</v>
      </c>
      <c r="P84" s="99">
        <f t="shared" si="3"/>
        <v>0</v>
      </c>
    </row>
    <row r="85" spans="3:16">
      <c r="C85" s="100">
        <v>2</v>
      </c>
      <c r="D85" s="100">
        <v>-1</v>
      </c>
      <c r="E85" s="100">
        <v>-2</v>
      </c>
      <c r="F85" s="100">
        <v>0</v>
      </c>
      <c r="G85" s="100">
        <v>2390</v>
      </c>
      <c r="H85" s="100">
        <v>10056</v>
      </c>
      <c r="I85" s="100">
        <f t="shared" si="0"/>
        <v>0.99961708524951065</v>
      </c>
      <c r="J85" s="100"/>
      <c r="K85" s="100">
        <f t="shared" si="1"/>
        <v>2</v>
      </c>
      <c r="L85" s="100">
        <f t="shared" si="1"/>
        <v>-1</v>
      </c>
      <c r="M85" s="100">
        <f t="shared" si="1"/>
        <v>-2</v>
      </c>
      <c r="N85" s="100">
        <f t="shared" si="1"/>
        <v>0</v>
      </c>
      <c r="O85" s="99">
        <f t="shared" si="2"/>
        <v>-2325.6828135030605</v>
      </c>
      <c r="P85" s="99">
        <f t="shared" si="3"/>
        <v>-2300.4301945054567</v>
      </c>
    </row>
    <row r="86" spans="3:16">
      <c r="C86" s="100">
        <v>1</v>
      </c>
      <c r="D86" s="100">
        <v>0</v>
      </c>
      <c r="E86" s="100">
        <v>1</v>
      </c>
      <c r="F86" s="100">
        <v>0</v>
      </c>
      <c r="G86" s="100">
        <v>-2348</v>
      </c>
      <c r="H86" s="100">
        <v>6322</v>
      </c>
      <c r="I86" s="100">
        <f t="shared" si="0"/>
        <v>1</v>
      </c>
      <c r="J86" s="100"/>
      <c r="K86" s="100">
        <f t="shared" si="1"/>
        <v>1</v>
      </c>
      <c r="L86" s="100">
        <f t="shared" si="1"/>
        <v>0</v>
      </c>
      <c r="M86" s="100">
        <f t="shared" si="1"/>
        <v>1</v>
      </c>
      <c r="N86" s="100">
        <f t="shared" si="1"/>
        <v>0</v>
      </c>
      <c r="O86" s="99">
        <f t="shared" si="2"/>
        <v>-75.87301224518184</v>
      </c>
      <c r="P86" s="99">
        <f t="shared" si="3"/>
        <v>6318.6984614007324</v>
      </c>
    </row>
    <row r="87" spans="3:16">
      <c r="C87" s="100">
        <v>2</v>
      </c>
      <c r="D87" s="100">
        <v>-2</v>
      </c>
      <c r="E87" s="100">
        <v>0</v>
      </c>
      <c r="F87" s="100">
        <v>0</v>
      </c>
      <c r="G87" s="100">
        <v>2236</v>
      </c>
      <c r="H87" s="100">
        <v>-9884</v>
      </c>
      <c r="I87" s="100">
        <f t="shared" si="0"/>
        <v>0.99923431712272748</v>
      </c>
      <c r="J87" s="100"/>
      <c r="K87" s="100">
        <f t="shared" si="1"/>
        <v>2</v>
      </c>
      <c r="L87" s="100">
        <f t="shared" si="1"/>
        <v>-2</v>
      </c>
      <c r="M87" s="100">
        <f t="shared" si="1"/>
        <v>0</v>
      </c>
      <c r="N87" s="100">
        <f t="shared" si="1"/>
        <v>0</v>
      </c>
      <c r="O87" s="99">
        <f t="shared" si="2"/>
        <v>-744.88274200697992</v>
      </c>
      <c r="P87" s="99">
        <f t="shared" si="3"/>
        <v>9311.4016681132398</v>
      </c>
    </row>
    <row r="88" spans="3:16">
      <c r="C88" s="100">
        <v>0</v>
      </c>
      <c r="D88" s="100">
        <v>1</v>
      </c>
      <c r="E88" s="100">
        <v>2</v>
      </c>
      <c r="F88" s="100">
        <v>0</v>
      </c>
      <c r="G88" s="100">
        <v>-2120</v>
      </c>
      <c r="H88" s="100">
        <v>5751</v>
      </c>
      <c r="I88" s="100">
        <f t="shared" si="0"/>
        <v>0.99961708524951065</v>
      </c>
      <c r="J88" s="100"/>
      <c r="K88" s="100">
        <f t="shared" si="1"/>
        <v>0</v>
      </c>
      <c r="L88" s="100">
        <f t="shared" si="1"/>
        <v>1</v>
      </c>
      <c r="M88" s="100">
        <f t="shared" si="1"/>
        <v>2</v>
      </c>
      <c r="N88" s="100">
        <f t="shared" si="1"/>
        <v>0</v>
      </c>
      <c r="O88" s="99">
        <f t="shared" si="2"/>
        <v>-2119.139800586679</v>
      </c>
      <c r="P88" s="99">
        <f t="shared" si="3"/>
        <v>-38.861344328825012</v>
      </c>
    </row>
    <row r="89" spans="3:16">
      <c r="C89" s="100">
        <v>0</v>
      </c>
      <c r="D89" s="100">
        <v>2</v>
      </c>
      <c r="E89" s="100">
        <v>0</v>
      </c>
      <c r="F89" s="100">
        <v>0</v>
      </c>
      <c r="G89" s="100">
        <v>-2069</v>
      </c>
      <c r="H89" s="100">
        <v>0</v>
      </c>
      <c r="I89" s="100">
        <f t="shared" si="0"/>
        <v>0.99923431712272748</v>
      </c>
      <c r="J89" s="100"/>
      <c r="K89" s="100">
        <f t="shared" si="1"/>
        <v>0</v>
      </c>
      <c r="L89" s="100">
        <f t="shared" si="1"/>
        <v>2</v>
      </c>
      <c r="M89" s="100">
        <f t="shared" si="1"/>
        <v>0</v>
      </c>
      <c r="N89" s="100">
        <f t="shared" si="1"/>
        <v>0</v>
      </c>
      <c r="O89" s="99">
        <f t="shared" si="2"/>
        <v>-1105.2323448090133</v>
      </c>
      <c r="P89" s="99">
        <f t="shared" si="3"/>
        <v>0</v>
      </c>
    </row>
    <row r="90" spans="3:16">
      <c r="C90" s="100">
        <v>2</v>
      </c>
      <c r="D90" s="100">
        <v>-2</v>
      </c>
      <c r="E90" s="100">
        <v>-1</v>
      </c>
      <c r="F90" s="100">
        <v>0</v>
      </c>
      <c r="G90" s="100">
        <v>2048</v>
      </c>
      <c r="H90" s="100">
        <v>-4950</v>
      </c>
      <c r="I90" s="100">
        <f t="shared" si="0"/>
        <v>0.99923431712272748</v>
      </c>
      <c r="J90" s="100"/>
      <c r="K90" s="100">
        <f t="shared" si="1"/>
        <v>2</v>
      </c>
      <c r="L90" s="100">
        <f t="shared" si="1"/>
        <v>-2</v>
      </c>
      <c r="M90" s="100">
        <f t="shared" si="1"/>
        <v>-1</v>
      </c>
      <c r="N90" s="100">
        <f t="shared" si="1"/>
        <v>0</v>
      </c>
      <c r="O90" s="99">
        <f t="shared" si="2"/>
        <v>-397.54687240083365</v>
      </c>
      <c r="P90" s="99">
        <f t="shared" si="3"/>
        <v>4851.981591893621</v>
      </c>
    </row>
    <row r="91" spans="3:16">
      <c r="C91" s="100">
        <v>2</v>
      </c>
      <c r="D91" s="100">
        <v>0</v>
      </c>
      <c r="E91" s="100">
        <v>1</v>
      </c>
      <c r="F91" s="100">
        <v>-2</v>
      </c>
      <c r="G91" s="100">
        <v>-1773</v>
      </c>
      <c r="H91" s="100">
        <v>4130</v>
      </c>
      <c r="I91" s="100">
        <f t="shared" si="0"/>
        <v>1</v>
      </c>
      <c r="J91" s="100"/>
      <c r="K91" s="100">
        <f t="shared" si="1"/>
        <v>2</v>
      </c>
      <c r="L91" s="100">
        <f t="shared" si="1"/>
        <v>0</v>
      </c>
      <c r="M91" s="100">
        <f t="shared" si="1"/>
        <v>1</v>
      </c>
      <c r="N91" s="100">
        <f t="shared" si="1"/>
        <v>-2</v>
      </c>
      <c r="O91" s="99">
        <f t="shared" si="2"/>
        <v>-1037.7403613527542</v>
      </c>
      <c r="P91" s="99">
        <f t="shared" si="3"/>
        <v>3348.6676320684128</v>
      </c>
    </row>
    <row r="92" spans="3:16">
      <c r="C92" s="100">
        <v>2</v>
      </c>
      <c r="D92" s="100">
        <v>0</v>
      </c>
      <c r="E92" s="100">
        <v>0</v>
      </c>
      <c r="F92" s="100">
        <v>2</v>
      </c>
      <c r="G92" s="100">
        <v>-1595</v>
      </c>
      <c r="H92" s="100">
        <v>0</v>
      </c>
      <c r="I92" s="100">
        <f t="shared" si="0"/>
        <v>1</v>
      </c>
      <c r="J92" s="100"/>
      <c r="K92" s="100">
        <f t="shared" si="1"/>
        <v>2</v>
      </c>
      <c r="L92" s="100">
        <f t="shared" si="1"/>
        <v>0</v>
      </c>
      <c r="M92" s="100">
        <f t="shared" si="1"/>
        <v>0</v>
      </c>
      <c r="N92" s="100">
        <f t="shared" si="1"/>
        <v>2</v>
      </c>
      <c r="O92" s="99">
        <f t="shared" si="2"/>
        <v>1277.7600061448536</v>
      </c>
      <c r="P92" s="99">
        <f t="shared" si="3"/>
        <v>0</v>
      </c>
    </row>
    <row r="93" spans="3:16">
      <c r="C93" s="100">
        <v>4</v>
      </c>
      <c r="D93" s="100">
        <v>-1</v>
      </c>
      <c r="E93" s="100">
        <v>-1</v>
      </c>
      <c r="F93" s="100">
        <v>0</v>
      </c>
      <c r="G93" s="100">
        <v>1215</v>
      </c>
      <c r="H93" s="100">
        <v>-3958</v>
      </c>
      <c r="I93" s="100">
        <f t="shared" si="0"/>
        <v>0.99961708524951065</v>
      </c>
      <c r="J93" s="100"/>
      <c r="K93" s="100">
        <f t="shared" si="1"/>
        <v>4</v>
      </c>
      <c r="L93" s="100">
        <f t="shared" si="1"/>
        <v>-1</v>
      </c>
      <c r="M93" s="100">
        <f t="shared" si="1"/>
        <v>-1</v>
      </c>
      <c r="N93" s="100">
        <f t="shared" si="1"/>
        <v>0</v>
      </c>
      <c r="O93" s="99">
        <f t="shared" si="2"/>
        <v>-1156.4033360697185</v>
      </c>
      <c r="P93" s="99">
        <f t="shared" si="3"/>
        <v>1209.3864390793649</v>
      </c>
    </row>
    <row r="94" spans="3:16">
      <c r="C94" s="100">
        <v>0</v>
      </c>
      <c r="D94" s="100">
        <v>0</v>
      </c>
      <c r="E94" s="100">
        <v>2</v>
      </c>
      <c r="F94" s="100">
        <v>2</v>
      </c>
      <c r="G94" s="100">
        <v>-1110</v>
      </c>
      <c r="H94" s="100">
        <v>0</v>
      </c>
      <c r="I94" s="100">
        <f t="shared" si="0"/>
        <v>1</v>
      </c>
      <c r="J94" s="100"/>
      <c r="K94" s="100">
        <f t="shared" si="1"/>
        <v>0</v>
      </c>
      <c r="L94" s="100">
        <f t="shared" si="1"/>
        <v>0</v>
      </c>
      <c r="M94" s="100">
        <f t="shared" si="1"/>
        <v>2</v>
      </c>
      <c r="N94" s="100">
        <f t="shared" si="1"/>
        <v>2</v>
      </c>
      <c r="O94" s="99">
        <f t="shared" si="2"/>
        <v>448.78580787716066</v>
      </c>
      <c r="P94" s="99">
        <f t="shared" si="3"/>
        <v>0</v>
      </c>
    </row>
    <row r="95" spans="3:16">
      <c r="C95" s="100">
        <v>3</v>
      </c>
      <c r="D95" s="100">
        <v>0</v>
      </c>
      <c r="E95" s="100">
        <v>-1</v>
      </c>
      <c r="F95" s="100">
        <v>0</v>
      </c>
      <c r="G95" s="100">
        <v>-892</v>
      </c>
      <c r="H95" s="100">
        <v>3258</v>
      </c>
      <c r="I95" s="100">
        <f t="shared" si="0"/>
        <v>1</v>
      </c>
      <c r="J95" s="100"/>
      <c r="K95" s="100">
        <f t="shared" si="1"/>
        <v>3</v>
      </c>
      <c r="L95" s="100">
        <f t="shared" si="1"/>
        <v>0</v>
      </c>
      <c r="M95" s="100">
        <f t="shared" si="1"/>
        <v>-1</v>
      </c>
      <c r="N95" s="100">
        <f t="shared" si="1"/>
        <v>0</v>
      </c>
      <c r="O95" s="99">
        <f t="shared" si="2"/>
        <v>412.37460979762233</v>
      </c>
      <c r="P95" s="99">
        <f t="shared" si="3"/>
        <v>2888.9396971427373</v>
      </c>
    </row>
    <row r="96" spans="3:16">
      <c r="C96" s="100">
        <v>2</v>
      </c>
      <c r="D96" s="100">
        <v>1</v>
      </c>
      <c r="E96" s="100">
        <v>1</v>
      </c>
      <c r="F96" s="100">
        <v>0</v>
      </c>
      <c r="G96" s="100">
        <v>-810</v>
      </c>
      <c r="H96" s="100">
        <v>2616</v>
      </c>
      <c r="I96" s="100">
        <f t="shared" si="0"/>
        <v>0.99961708524951065</v>
      </c>
      <c r="J96" s="100"/>
      <c r="K96" s="100">
        <f t="shared" si="1"/>
        <v>2</v>
      </c>
      <c r="L96" s="100">
        <f t="shared" si="1"/>
        <v>1</v>
      </c>
      <c r="M96" s="100">
        <f t="shared" si="1"/>
        <v>1</v>
      </c>
      <c r="N96" s="100">
        <f t="shared" si="1"/>
        <v>0</v>
      </c>
      <c r="O96" s="99">
        <f t="shared" si="2"/>
        <v>-757.28204117930647</v>
      </c>
      <c r="P96" s="99">
        <f t="shared" si="3"/>
        <v>925.51034605588893</v>
      </c>
    </row>
    <row r="97" spans="3:16">
      <c r="C97" s="100">
        <v>4</v>
      </c>
      <c r="D97" s="100">
        <v>-1</v>
      </c>
      <c r="E97" s="100">
        <v>-2</v>
      </c>
      <c r="F97" s="100">
        <v>0</v>
      </c>
      <c r="G97" s="100">
        <v>759</v>
      </c>
      <c r="H97" s="100">
        <v>-1897</v>
      </c>
      <c r="I97" s="100">
        <f t="shared" si="0"/>
        <v>0.99961708524951065</v>
      </c>
      <c r="J97" s="100"/>
      <c r="K97" s="100">
        <f t="shared" si="1"/>
        <v>4</v>
      </c>
      <c r="L97" s="100">
        <f t="shared" si="1"/>
        <v>-1</v>
      </c>
      <c r="M97" s="100">
        <f t="shared" si="1"/>
        <v>-2</v>
      </c>
      <c r="N97" s="100">
        <f t="shared" si="1"/>
        <v>0</v>
      </c>
      <c r="O97" s="99">
        <f t="shared" si="2"/>
        <v>-681.50854769236287</v>
      </c>
      <c r="P97" s="99">
        <f t="shared" si="3"/>
        <v>833.39447343085965</v>
      </c>
    </row>
    <row r="98" spans="3:16">
      <c r="C98" s="100">
        <v>0</v>
      </c>
      <c r="D98" s="100">
        <v>2</v>
      </c>
      <c r="E98" s="100">
        <v>-1</v>
      </c>
      <c r="F98" s="100">
        <v>0</v>
      </c>
      <c r="G98" s="100">
        <v>-713</v>
      </c>
      <c r="H98" s="100">
        <v>-2117</v>
      </c>
      <c r="I98" s="100">
        <f t="shared" si="0"/>
        <v>0.99923431712272748</v>
      </c>
      <c r="J98" s="100"/>
      <c r="K98" s="100">
        <f t="shared" si="1"/>
        <v>0</v>
      </c>
      <c r="L98" s="100">
        <f t="shared" si="1"/>
        <v>2</v>
      </c>
      <c r="M98" s="100">
        <f t="shared" si="1"/>
        <v>-1</v>
      </c>
      <c r="N98" s="100">
        <f t="shared" si="1"/>
        <v>0</v>
      </c>
      <c r="O98" s="99">
        <f t="shared" si="2"/>
        <v>-463.54580648551712</v>
      </c>
      <c r="P98" s="99">
        <f t="shared" si="3"/>
        <v>1606.403426156832</v>
      </c>
    </row>
    <row r="99" spans="3:16">
      <c r="C99" s="100">
        <v>2</v>
      </c>
      <c r="D99" s="100">
        <v>2</v>
      </c>
      <c r="E99" s="100">
        <v>-1</v>
      </c>
      <c r="F99" s="100">
        <v>0</v>
      </c>
      <c r="G99" s="100">
        <v>-700</v>
      </c>
      <c r="H99" s="100">
        <v>2354</v>
      </c>
      <c r="I99" s="100">
        <f t="shared" si="0"/>
        <v>0.99923431712272748</v>
      </c>
      <c r="J99" s="100"/>
      <c r="K99" s="100">
        <f t="shared" si="1"/>
        <v>2</v>
      </c>
      <c r="L99" s="100">
        <f t="shared" si="1"/>
        <v>2</v>
      </c>
      <c r="M99" s="100">
        <f t="shared" si="1"/>
        <v>-1</v>
      </c>
      <c r="N99" s="100">
        <f t="shared" si="1"/>
        <v>0</v>
      </c>
      <c r="O99" s="99">
        <f t="shared" si="2"/>
        <v>-561.77000304366311</v>
      </c>
      <c r="P99" s="99">
        <f t="shared" si="3"/>
        <v>-1401.4054294924363</v>
      </c>
    </row>
    <row r="100" spans="3:16">
      <c r="C100" s="100">
        <v>2</v>
      </c>
      <c r="D100" s="100">
        <v>1</v>
      </c>
      <c r="E100" s="100">
        <v>-2</v>
      </c>
      <c r="F100" s="100">
        <v>0</v>
      </c>
      <c r="G100" s="100">
        <v>691</v>
      </c>
      <c r="H100" s="100">
        <v>0</v>
      </c>
      <c r="I100" s="100">
        <f t="shared" si="0"/>
        <v>0.99961708524951065</v>
      </c>
      <c r="J100" s="100"/>
      <c r="K100" s="100">
        <f t="shared" si="1"/>
        <v>2</v>
      </c>
      <c r="L100" s="100">
        <f t="shared" si="1"/>
        <v>1</v>
      </c>
      <c r="M100" s="100">
        <f t="shared" si="1"/>
        <v>-2</v>
      </c>
      <c r="N100" s="100">
        <f t="shared" si="1"/>
        <v>0</v>
      </c>
      <c r="O100" s="99">
        <f t="shared" si="2"/>
        <v>483.74824552615087</v>
      </c>
      <c r="P100" s="99">
        <f t="shared" si="3"/>
        <v>0</v>
      </c>
    </row>
    <row r="101" spans="3:16">
      <c r="C101" s="100">
        <v>2</v>
      </c>
      <c r="D101" s="100">
        <v>-1</v>
      </c>
      <c r="E101" s="100">
        <v>0</v>
      </c>
      <c r="F101" s="100">
        <v>-2</v>
      </c>
      <c r="G101" s="100">
        <v>596</v>
      </c>
      <c r="H101" s="100">
        <v>0</v>
      </c>
      <c r="I101" s="100">
        <f t="shared" si="0"/>
        <v>0.99961708524951065</v>
      </c>
      <c r="J101" s="100"/>
      <c r="K101" s="100">
        <f t="shared" si="1"/>
        <v>2</v>
      </c>
      <c r="L101" s="100">
        <f t="shared" si="1"/>
        <v>-1</v>
      </c>
      <c r="M101" s="100">
        <f t="shared" si="1"/>
        <v>0</v>
      </c>
      <c r="N101" s="100">
        <f t="shared" si="1"/>
        <v>-2</v>
      </c>
      <c r="O101" s="99">
        <f t="shared" si="2"/>
        <v>-430.65304400358337</v>
      </c>
      <c r="P101" s="99">
        <f t="shared" si="3"/>
        <v>0</v>
      </c>
    </row>
    <row r="102" spans="3:16">
      <c r="C102" s="100">
        <v>4</v>
      </c>
      <c r="D102" s="100">
        <v>0</v>
      </c>
      <c r="E102" s="100">
        <v>1</v>
      </c>
      <c r="F102" s="100">
        <v>0</v>
      </c>
      <c r="G102" s="100">
        <v>549</v>
      </c>
      <c r="H102" s="100">
        <v>-1423</v>
      </c>
      <c r="I102" s="100">
        <f t="shared" si="0"/>
        <v>1</v>
      </c>
      <c r="J102" s="100"/>
      <c r="K102" s="100">
        <f t="shared" si="1"/>
        <v>4</v>
      </c>
      <c r="L102" s="100">
        <f t="shared" si="1"/>
        <v>0</v>
      </c>
      <c r="M102" s="100">
        <f t="shared" si="1"/>
        <v>1</v>
      </c>
      <c r="N102" s="100">
        <f t="shared" si="1"/>
        <v>0</v>
      </c>
      <c r="O102" s="99">
        <f t="shared" si="2"/>
        <v>-164.27652397625212</v>
      </c>
      <c r="P102" s="99">
        <f t="shared" si="3"/>
        <v>-1357.800189039102</v>
      </c>
    </row>
    <row r="103" spans="3:16">
      <c r="C103" s="100">
        <v>0</v>
      </c>
      <c r="D103" s="100">
        <v>0</v>
      </c>
      <c r="E103" s="100">
        <v>4</v>
      </c>
      <c r="F103" s="100">
        <v>0</v>
      </c>
      <c r="G103" s="100">
        <v>537</v>
      </c>
      <c r="H103" s="100">
        <v>-1117</v>
      </c>
      <c r="I103" s="100">
        <f t="shared" si="0"/>
        <v>1</v>
      </c>
      <c r="J103" s="100"/>
      <c r="K103" s="100">
        <f t="shared" si="1"/>
        <v>0</v>
      </c>
      <c r="L103" s="100">
        <f t="shared" si="1"/>
        <v>0</v>
      </c>
      <c r="M103" s="100">
        <f t="shared" si="1"/>
        <v>4</v>
      </c>
      <c r="N103" s="100">
        <f t="shared" si="1"/>
        <v>0</v>
      </c>
      <c r="O103" s="99">
        <f t="shared" si="2"/>
        <v>293.18730915683284</v>
      </c>
      <c r="P103" s="99">
        <f t="shared" si="3"/>
        <v>-935.82595537266491</v>
      </c>
    </row>
    <row r="104" spans="3:16">
      <c r="C104" s="100">
        <v>4</v>
      </c>
      <c r="D104" s="100">
        <v>-1</v>
      </c>
      <c r="E104" s="100">
        <v>0</v>
      </c>
      <c r="F104" s="100">
        <v>0</v>
      </c>
      <c r="G104" s="100">
        <v>520</v>
      </c>
      <c r="H104" s="100">
        <v>-1571</v>
      </c>
      <c r="I104" s="100">
        <f t="shared" si="0"/>
        <v>0.99961708524951065</v>
      </c>
      <c r="J104" s="100"/>
      <c r="K104" s="100">
        <f t="shared" si="1"/>
        <v>4</v>
      </c>
      <c r="L104" s="100">
        <f t="shared" si="1"/>
        <v>-1</v>
      </c>
      <c r="M104" s="100">
        <f t="shared" si="1"/>
        <v>0</v>
      </c>
      <c r="N104" s="100">
        <f t="shared" si="1"/>
        <v>0</v>
      </c>
      <c r="O104" s="99">
        <f t="shared" si="2"/>
        <v>-512.63343278481375</v>
      </c>
      <c r="P104" s="99">
        <f t="shared" si="3"/>
        <v>259.88812750092234</v>
      </c>
    </row>
    <row r="105" spans="3:16">
      <c r="C105" s="100">
        <v>1</v>
      </c>
      <c r="D105" s="100">
        <v>0</v>
      </c>
      <c r="E105" s="100">
        <v>-2</v>
      </c>
      <c r="F105" s="100">
        <v>0</v>
      </c>
      <c r="G105" s="100">
        <v>-487</v>
      </c>
      <c r="H105" s="100">
        <v>-1739</v>
      </c>
      <c r="I105" s="100">
        <f t="shared" si="0"/>
        <v>1</v>
      </c>
      <c r="J105" s="100"/>
      <c r="K105" s="100">
        <f t="shared" si="1"/>
        <v>1</v>
      </c>
      <c r="L105" s="100">
        <f t="shared" si="1"/>
        <v>0</v>
      </c>
      <c r="M105" s="100">
        <f t="shared" si="1"/>
        <v>-2</v>
      </c>
      <c r="N105" s="100">
        <f t="shared" si="1"/>
        <v>0</v>
      </c>
      <c r="O105" s="99">
        <f t="shared" si="2"/>
        <v>190.02466397727878</v>
      </c>
      <c r="P105" s="99">
        <f t="shared" si="3"/>
        <v>-1601.1538248568045</v>
      </c>
    </row>
    <row r="106" spans="3:16">
      <c r="C106" s="100">
        <v>2</v>
      </c>
      <c r="D106" s="100">
        <v>1</v>
      </c>
      <c r="E106" s="100">
        <v>0</v>
      </c>
      <c r="F106" s="100">
        <v>-2</v>
      </c>
      <c r="G106" s="100">
        <v>-399</v>
      </c>
      <c r="H106" s="100">
        <v>0</v>
      </c>
      <c r="I106" s="100">
        <f t="shared" si="0"/>
        <v>0.99961708524951065</v>
      </c>
      <c r="J106" s="100"/>
      <c r="K106" s="100">
        <f t="shared" si="1"/>
        <v>2</v>
      </c>
      <c r="L106" s="100">
        <f t="shared" si="1"/>
        <v>1</v>
      </c>
      <c r="M106" s="100">
        <f t="shared" si="1"/>
        <v>0</v>
      </c>
      <c r="N106" s="100">
        <f t="shared" si="1"/>
        <v>-2</v>
      </c>
      <c r="O106" s="99">
        <f t="shared" si="2"/>
        <v>-390.98768067774751</v>
      </c>
      <c r="P106" s="99">
        <f t="shared" si="3"/>
        <v>0</v>
      </c>
    </row>
    <row r="107" spans="3:16">
      <c r="C107" s="100">
        <v>0</v>
      </c>
      <c r="D107" s="100">
        <v>0</v>
      </c>
      <c r="E107" s="100">
        <v>2</v>
      </c>
      <c r="F107" s="100">
        <v>-2</v>
      </c>
      <c r="G107" s="100">
        <v>-381</v>
      </c>
      <c r="H107" s="100">
        <v>-4421</v>
      </c>
      <c r="I107" s="100">
        <f t="shared" si="0"/>
        <v>1</v>
      </c>
      <c r="J107" s="100"/>
      <c r="K107" s="100">
        <f t="shared" si="1"/>
        <v>0</v>
      </c>
      <c r="L107" s="100">
        <f t="shared" si="1"/>
        <v>0</v>
      </c>
      <c r="M107" s="100">
        <f t="shared" si="1"/>
        <v>2</v>
      </c>
      <c r="N107" s="100">
        <f t="shared" si="1"/>
        <v>-2</v>
      </c>
      <c r="O107" s="99">
        <f t="shared" si="2"/>
        <v>-319.31291749341602</v>
      </c>
      <c r="P107" s="99">
        <f t="shared" si="3"/>
        <v>-2411.7857408799341</v>
      </c>
    </row>
    <row r="108" spans="3:16">
      <c r="C108" s="100">
        <v>1</v>
      </c>
      <c r="D108" s="100">
        <v>1</v>
      </c>
      <c r="E108" s="100">
        <v>1</v>
      </c>
      <c r="F108" s="100">
        <v>0</v>
      </c>
      <c r="G108" s="100">
        <v>351</v>
      </c>
      <c r="H108" s="100">
        <v>0</v>
      </c>
      <c r="I108" s="100">
        <f t="shared" si="0"/>
        <v>0.99961708524951065</v>
      </c>
      <c r="J108" s="100"/>
      <c r="K108" s="100">
        <f t="shared" si="1"/>
        <v>1</v>
      </c>
      <c r="L108" s="100">
        <f t="shared" si="1"/>
        <v>1</v>
      </c>
      <c r="M108" s="100">
        <f t="shared" si="1"/>
        <v>1</v>
      </c>
      <c r="N108" s="100">
        <f t="shared" si="1"/>
        <v>0</v>
      </c>
      <c r="O108" s="99">
        <f t="shared" si="2"/>
        <v>339.98446601996596</v>
      </c>
      <c r="P108" s="99">
        <f t="shared" si="3"/>
        <v>0</v>
      </c>
    </row>
    <row r="109" spans="3:16">
      <c r="C109" s="100">
        <v>3</v>
      </c>
      <c r="D109" s="100">
        <v>0</v>
      </c>
      <c r="E109" s="100">
        <v>-2</v>
      </c>
      <c r="F109" s="100">
        <v>0</v>
      </c>
      <c r="G109" s="100">
        <v>-340</v>
      </c>
      <c r="H109" s="100">
        <v>0</v>
      </c>
      <c r="I109" s="100">
        <f t="shared" si="0"/>
        <v>1</v>
      </c>
      <c r="J109" s="100"/>
      <c r="K109" s="100">
        <f t="shared" si="1"/>
        <v>3</v>
      </c>
      <c r="L109" s="100">
        <f t="shared" si="1"/>
        <v>0</v>
      </c>
      <c r="M109" s="100">
        <f t="shared" si="1"/>
        <v>-2</v>
      </c>
      <c r="N109" s="100">
        <f t="shared" si="1"/>
        <v>0</v>
      </c>
      <c r="O109" s="99">
        <f t="shared" si="2"/>
        <v>198.92713878201593</v>
      </c>
      <c r="P109" s="99">
        <f t="shared" si="3"/>
        <v>0</v>
      </c>
    </row>
    <row r="110" spans="3:16">
      <c r="C110" s="100">
        <v>4</v>
      </c>
      <c r="D110" s="100">
        <v>0</v>
      </c>
      <c r="E110" s="100">
        <v>-3</v>
      </c>
      <c r="F110" s="100">
        <v>0</v>
      </c>
      <c r="G110" s="100">
        <v>330</v>
      </c>
      <c r="H110" s="100">
        <v>0</v>
      </c>
      <c r="I110" s="100">
        <f t="shared" si="0"/>
        <v>1</v>
      </c>
      <c r="J110" s="100"/>
      <c r="K110" s="100">
        <f t="shared" si="1"/>
        <v>4</v>
      </c>
      <c r="L110" s="100">
        <f t="shared" si="1"/>
        <v>0</v>
      </c>
      <c r="M110" s="100">
        <f t="shared" si="1"/>
        <v>-3</v>
      </c>
      <c r="N110" s="100">
        <f t="shared" si="1"/>
        <v>0</v>
      </c>
      <c r="O110" s="99">
        <f t="shared" si="2"/>
        <v>-254.64503355015015</v>
      </c>
      <c r="P110" s="99">
        <f t="shared" si="3"/>
        <v>0</v>
      </c>
    </row>
    <row r="111" spans="3:16">
      <c r="C111" s="100">
        <v>2</v>
      </c>
      <c r="D111" s="100">
        <v>-1</v>
      </c>
      <c r="E111" s="100">
        <v>2</v>
      </c>
      <c r="F111" s="100">
        <v>0</v>
      </c>
      <c r="G111" s="100">
        <v>327</v>
      </c>
      <c r="H111" s="100">
        <v>0</v>
      </c>
      <c r="I111" s="100">
        <f t="shared" si="0"/>
        <v>0.99961708524951065</v>
      </c>
      <c r="J111" s="100"/>
      <c r="K111" s="100">
        <f t="shared" si="1"/>
        <v>2</v>
      </c>
      <c r="L111" s="100">
        <f t="shared" si="1"/>
        <v>-1</v>
      </c>
      <c r="M111" s="100">
        <f t="shared" si="1"/>
        <v>2</v>
      </c>
      <c r="N111" s="100">
        <f t="shared" si="1"/>
        <v>0</v>
      </c>
      <c r="O111" s="99">
        <f t="shared" si="2"/>
        <v>-307.43058406651136</v>
      </c>
      <c r="P111" s="99">
        <f t="shared" si="3"/>
        <v>0</v>
      </c>
    </row>
    <row r="112" spans="3:16">
      <c r="C112" s="100">
        <v>0</v>
      </c>
      <c r="D112" s="100">
        <v>2</v>
      </c>
      <c r="E112" s="100">
        <v>1</v>
      </c>
      <c r="F112" s="100">
        <v>0</v>
      </c>
      <c r="G112" s="100">
        <v>-323</v>
      </c>
      <c r="H112" s="100">
        <v>1165</v>
      </c>
      <c r="I112" s="100">
        <f t="shared" si="0"/>
        <v>0.99923431712272748</v>
      </c>
      <c r="J112" s="100"/>
      <c r="K112" s="100">
        <f t="shared" si="1"/>
        <v>0</v>
      </c>
      <c r="L112" s="100">
        <f t="shared" si="1"/>
        <v>2</v>
      </c>
      <c r="M112" s="100">
        <f t="shared" si="1"/>
        <v>1</v>
      </c>
      <c r="N112" s="100">
        <f t="shared" si="1"/>
        <v>0</v>
      </c>
      <c r="O112" s="99">
        <f t="shared" si="2"/>
        <v>-131.5003565383968</v>
      </c>
      <c r="P112" s="99">
        <f t="shared" si="3"/>
        <v>-1063.1038470046708</v>
      </c>
    </row>
    <row r="113" spans="3:16">
      <c r="C113" s="100">
        <v>1</v>
      </c>
      <c r="D113" s="100">
        <v>1</v>
      </c>
      <c r="E113" s="100">
        <v>-1</v>
      </c>
      <c r="F113" s="100">
        <v>0</v>
      </c>
      <c r="G113" s="100">
        <v>299</v>
      </c>
      <c r="H113" s="100">
        <v>0</v>
      </c>
      <c r="I113" s="100">
        <f t="shared" si="0"/>
        <v>0.99961708524951065</v>
      </c>
      <c r="J113" s="100"/>
      <c r="K113" s="100">
        <f t="shared" si="1"/>
        <v>1</v>
      </c>
      <c r="L113" s="100">
        <f t="shared" si="1"/>
        <v>1</v>
      </c>
      <c r="M113" s="100">
        <f t="shared" si="1"/>
        <v>-1</v>
      </c>
      <c r="N113" s="100">
        <f t="shared" si="1"/>
        <v>0</v>
      </c>
      <c r="O113" s="99">
        <f t="shared" si="2"/>
        <v>256.59148464210767</v>
      </c>
      <c r="P113" s="99">
        <f t="shared" si="3"/>
        <v>0</v>
      </c>
    </row>
    <row r="114" spans="3:16">
      <c r="C114" s="100">
        <v>2</v>
      </c>
      <c r="D114" s="100">
        <v>0</v>
      </c>
      <c r="E114" s="100">
        <v>3</v>
      </c>
      <c r="F114" s="100">
        <v>0</v>
      </c>
      <c r="G114" s="100">
        <v>294</v>
      </c>
      <c r="H114" s="100">
        <v>0</v>
      </c>
      <c r="I114" s="100">
        <f t="shared" si="0"/>
        <v>1</v>
      </c>
      <c r="J114" s="100"/>
      <c r="K114" s="100">
        <f t="shared" si="1"/>
        <v>2</v>
      </c>
      <c r="L114" s="100">
        <f t="shared" si="1"/>
        <v>0</v>
      </c>
      <c r="M114" s="100">
        <f t="shared" si="1"/>
        <v>3</v>
      </c>
      <c r="N114" s="100">
        <f t="shared" si="1"/>
        <v>0</v>
      </c>
      <c r="O114" s="99">
        <f t="shared" si="2"/>
        <v>61.007242028022702</v>
      </c>
      <c r="P114" s="99">
        <f t="shared" si="3"/>
        <v>0</v>
      </c>
    </row>
    <row r="115" spans="3:16">
      <c r="C115" s="100">
        <v>2</v>
      </c>
      <c r="D115" s="100">
        <v>0</v>
      </c>
      <c r="E115" s="100">
        <v>-1</v>
      </c>
      <c r="F115" s="100">
        <v>-2</v>
      </c>
      <c r="G115" s="100">
        <v>0</v>
      </c>
      <c r="H115" s="100">
        <v>8752</v>
      </c>
      <c r="I115" s="100">
        <f t="shared" si="0"/>
        <v>1</v>
      </c>
      <c r="J115" s="100"/>
      <c r="K115" s="100">
        <f t="shared" si="1"/>
        <v>2</v>
      </c>
      <c r="L115" s="100">
        <f t="shared" si="1"/>
        <v>0</v>
      </c>
      <c r="M115" s="100">
        <f t="shared" si="1"/>
        <v>-1</v>
      </c>
      <c r="N115" s="100">
        <f t="shared" si="1"/>
        <v>-2</v>
      </c>
      <c r="O115" s="99">
        <f t="shared" si="2"/>
        <v>0</v>
      </c>
      <c r="P115" s="99">
        <f t="shared" si="3"/>
        <v>8261.2183713346822</v>
      </c>
    </row>
    <row r="116" spans="3:16">
      <c r="O116" s="99">
        <f>SUM(O56:O115)+D43</f>
        <v>50319.246282353532</v>
      </c>
      <c r="P116" s="99">
        <f>SUM(P56:P115)</f>
        <v>-27417548.723665535</v>
      </c>
    </row>
    <row r="117" spans="3:16">
      <c r="O117" s="99">
        <f>O116/1000000</f>
        <v>5.0319246282353534E-2</v>
      </c>
      <c r="P117" s="99">
        <f>P116/1000</f>
        <v>-27417.548723665535</v>
      </c>
    </row>
    <row r="118" spans="3:16">
      <c r="C118" s="100" t="s">
        <v>159</v>
      </c>
      <c r="D118" s="100" t="s">
        <v>32</v>
      </c>
      <c r="E118" s="100" t="s">
        <v>66</v>
      </c>
      <c r="F118" s="100" t="s">
        <v>160</v>
      </c>
      <c r="G118" s="100" t="s">
        <v>171</v>
      </c>
      <c r="I118" s="100" t="s">
        <v>166</v>
      </c>
      <c r="J118" s="100"/>
      <c r="K118" s="100" t="s">
        <v>159</v>
      </c>
      <c r="L118" s="100" t="s">
        <v>166</v>
      </c>
      <c r="M118" s="100" t="s">
        <v>165</v>
      </c>
      <c r="N118" s="100" t="s">
        <v>160</v>
      </c>
      <c r="O118" s="100" t="s">
        <v>172</v>
      </c>
    </row>
    <row r="119" spans="3:16">
      <c r="C119" s="100">
        <v>0</v>
      </c>
      <c r="D119" s="100">
        <v>0</v>
      </c>
      <c r="E119" s="100">
        <v>0</v>
      </c>
      <c r="F119" s="100">
        <v>1</v>
      </c>
      <c r="G119" s="100">
        <v>5128122</v>
      </c>
      <c r="I119" s="100">
        <f t="shared" ref="I119:I178" si="4">IF(ABS(D119)=2,$D$48,IF(ABS(D119)=1,$D$47,1))</f>
        <v>1</v>
      </c>
      <c r="J119" s="100"/>
      <c r="K119" s="100">
        <f>C119</f>
        <v>0</v>
      </c>
      <c r="L119" s="100">
        <f t="shared" ref="L119:N134" si="5">D119</f>
        <v>0</v>
      </c>
      <c r="M119" s="100">
        <f t="shared" si="5"/>
        <v>0</v>
      </c>
      <c r="N119" s="100">
        <f t="shared" si="5"/>
        <v>1</v>
      </c>
      <c r="O119" s="99">
        <f t="shared" ref="O119:O178" si="6">I119*G119*SIN(((K119*$D$9+L119*$D$10+M119*$D$11+N119*$D$12))*PI()/180)</f>
        <v>1770461.2217333238</v>
      </c>
    </row>
    <row r="120" spans="3:16">
      <c r="C120" s="100">
        <v>0</v>
      </c>
      <c r="D120" s="100">
        <v>0</v>
      </c>
      <c r="E120" s="100">
        <v>1</v>
      </c>
      <c r="F120" s="100">
        <v>1</v>
      </c>
      <c r="G120" s="100">
        <v>280602</v>
      </c>
      <c r="I120" s="100">
        <f t="shared" si="4"/>
        <v>1</v>
      </c>
      <c r="J120" s="100"/>
      <c r="K120" s="100">
        <f t="shared" ref="K120:N178" si="7">C120</f>
        <v>0</v>
      </c>
      <c r="L120" s="100">
        <f t="shared" si="5"/>
        <v>0</v>
      </c>
      <c r="M120" s="100">
        <f t="shared" si="5"/>
        <v>1</v>
      </c>
      <c r="N120" s="100">
        <f t="shared" si="5"/>
        <v>1</v>
      </c>
      <c r="O120" s="99">
        <f t="shared" si="6"/>
        <v>57976.294387111942</v>
      </c>
    </row>
    <row r="121" spans="3:16">
      <c r="C121" s="100">
        <v>0</v>
      </c>
      <c r="D121" s="100">
        <v>0</v>
      </c>
      <c r="E121" s="100">
        <v>1</v>
      </c>
      <c r="F121" s="100">
        <v>-1</v>
      </c>
      <c r="G121" s="100">
        <v>277693</v>
      </c>
      <c r="I121" s="100">
        <f t="shared" si="4"/>
        <v>1</v>
      </c>
      <c r="J121" s="100"/>
      <c r="K121" s="100">
        <f t="shared" si="7"/>
        <v>0</v>
      </c>
      <c r="L121" s="100">
        <f t="shared" si="5"/>
        <v>0</v>
      </c>
      <c r="M121" s="100">
        <f t="shared" si="5"/>
        <v>1</v>
      </c>
      <c r="N121" s="100">
        <f t="shared" si="5"/>
        <v>-1</v>
      </c>
      <c r="O121" s="99">
        <f t="shared" si="6"/>
        <v>-132374.03369314747</v>
      </c>
    </row>
    <row r="122" spans="3:16">
      <c r="C122" s="100">
        <v>2</v>
      </c>
      <c r="D122" s="100">
        <v>0</v>
      </c>
      <c r="E122" s="100">
        <v>0</v>
      </c>
      <c r="F122" s="100">
        <v>-1</v>
      </c>
      <c r="G122" s="100">
        <v>173237</v>
      </c>
      <c r="I122" s="100">
        <f t="shared" si="4"/>
        <v>1</v>
      </c>
      <c r="J122" s="100"/>
      <c r="K122" s="100">
        <f t="shared" si="7"/>
        <v>2</v>
      </c>
      <c r="L122" s="100">
        <f t="shared" si="5"/>
        <v>0</v>
      </c>
      <c r="M122" s="100">
        <f t="shared" si="5"/>
        <v>0</v>
      </c>
      <c r="N122" s="100">
        <f t="shared" si="5"/>
        <v>-1</v>
      </c>
      <c r="O122" s="99">
        <f t="shared" si="6"/>
        <v>-22176.481393835325</v>
      </c>
    </row>
    <row r="123" spans="3:16">
      <c r="C123" s="100">
        <v>2</v>
      </c>
      <c r="D123" s="100">
        <v>0</v>
      </c>
      <c r="E123" s="100">
        <v>-1</v>
      </c>
      <c r="F123" s="100">
        <v>1</v>
      </c>
      <c r="G123" s="100">
        <v>55413</v>
      </c>
      <c r="I123" s="100">
        <f t="shared" si="4"/>
        <v>1</v>
      </c>
      <c r="J123" s="100"/>
      <c r="K123" s="100">
        <f t="shared" si="7"/>
        <v>2</v>
      </c>
      <c r="L123" s="100">
        <f t="shared" si="5"/>
        <v>0</v>
      </c>
      <c r="M123" s="100">
        <f t="shared" si="5"/>
        <v>-1</v>
      </c>
      <c r="N123" s="100">
        <f t="shared" si="5"/>
        <v>1</v>
      </c>
      <c r="O123" s="99">
        <f t="shared" si="6"/>
        <v>36581.105737920872</v>
      </c>
    </row>
    <row r="124" spans="3:16">
      <c r="C124" s="100">
        <v>2</v>
      </c>
      <c r="D124" s="100">
        <v>0</v>
      </c>
      <c r="E124" s="100">
        <v>-1</v>
      </c>
      <c r="F124" s="100">
        <v>-1</v>
      </c>
      <c r="G124" s="100">
        <v>46271</v>
      </c>
      <c r="I124" s="100">
        <f t="shared" si="4"/>
        <v>1</v>
      </c>
      <c r="J124" s="100"/>
      <c r="K124" s="100">
        <f t="shared" si="7"/>
        <v>2</v>
      </c>
      <c r="L124" s="100">
        <f t="shared" si="5"/>
        <v>0</v>
      </c>
      <c r="M124" s="100">
        <f t="shared" si="5"/>
        <v>-1</v>
      </c>
      <c r="N124" s="100">
        <f t="shared" si="5"/>
        <v>-1</v>
      </c>
      <c r="O124" s="99">
        <f t="shared" si="6"/>
        <v>741.3588189527095</v>
      </c>
    </row>
    <row r="125" spans="3:16">
      <c r="C125" s="100">
        <v>2</v>
      </c>
      <c r="D125" s="100">
        <v>0</v>
      </c>
      <c r="E125" s="100">
        <v>0</v>
      </c>
      <c r="F125" s="100">
        <v>1</v>
      </c>
      <c r="G125" s="100">
        <v>32573</v>
      </c>
      <c r="I125" s="100">
        <f t="shared" si="4"/>
        <v>1</v>
      </c>
      <c r="J125" s="100"/>
      <c r="K125" s="100">
        <f t="shared" si="7"/>
        <v>2</v>
      </c>
      <c r="L125" s="100">
        <f t="shared" si="5"/>
        <v>0</v>
      </c>
      <c r="M125" s="100">
        <f t="shared" si="5"/>
        <v>0</v>
      </c>
      <c r="N125" s="100">
        <f t="shared" si="5"/>
        <v>1</v>
      </c>
      <c r="O125" s="99">
        <f t="shared" si="6"/>
        <v>17759.031703321405</v>
      </c>
    </row>
    <row r="126" spans="3:16">
      <c r="C126" s="100">
        <v>0</v>
      </c>
      <c r="D126" s="100">
        <v>0</v>
      </c>
      <c r="E126" s="100">
        <v>2</v>
      </c>
      <c r="F126" s="100">
        <v>1</v>
      </c>
      <c r="G126" s="100">
        <v>17198</v>
      </c>
      <c r="I126" s="100">
        <f t="shared" si="4"/>
        <v>1</v>
      </c>
      <c r="J126" s="100"/>
      <c r="K126" s="100">
        <f t="shared" si="7"/>
        <v>0</v>
      </c>
      <c r="L126" s="100">
        <f t="shared" si="5"/>
        <v>0</v>
      </c>
      <c r="M126" s="100">
        <f t="shared" si="5"/>
        <v>2</v>
      </c>
      <c r="N126" s="100">
        <f t="shared" si="5"/>
        <v>1</v>
      </c>
      <c r="O126" s="99">
        <f t="shared" si="6"/>
        <v>1095.2109645111966</v>
      </c>
    </row>
    <row r="127" spans="3:16">
      <c r="C127" s="100">
        <v>2</v>
      </c>
      <c r="D127" s="100">
        <v>0</v>
      </c>
      <c r="E127" s="100">
        <v>1</v>
      </c>
      <c r="F127" s="100">
        <v>-1</v>
      </c>
      <c r="G127" s="100">
        <v>9266</v>
      </c>
      <c r="I127" s="100">
        <f t="shared" si="4"/>
        <v>1</v>
      </c>
      <c r="J127" s="100"/>
      <c r="K127" s="100">
        <f t="shared" si="7"/>
        <v>2</v>
      </c>
      <c r="L127" s="100">
        <f t="shared" si="5"/>
        <v>0</v>
      </c>
      <c r="M127" s="100">
        <f t="shared" si="5"/>
        <v>1</v>
      </c>
      <c r="N127" s="100">
        <f t="shared" si="5"/>
        <v>-1</v>
      </c>
      <c r="O127" s="99">
        <f t="shared" si="6"/>
        <v>-2496.1004673246425</v>
      </c>
    </row>
    <row r="128" spans="3:16">
      <c r="C128" s="100">
        <v>0</v>
      </c>
      <c r="D128" s="100">
        <v>0</v>
      </c>
      <c r="E128" s="100">
        <v>2</v>
      </c>
      <c r="F128" s="100">
        <v>-1</v>
      </c>
      <c r="G128" s="100">
        <v>8822</v>
      </c>
      <c r="I128" s="100">
        <f t="shared" si="4"/>
        <v>1</v>
      </c>
      <c r="J128" s="100"/>
      <c r="K128" s="100">
        <f t="shared" si="7"/>
        <v>0</v>
      </c>
      <c r="L128" s="100">
        <f t="shared" si="5"/>
        <v>0</v>
      </c>
      <c r="M128" s="100">
        <f t="shared" si="5"/>
        <v>2</v>
      </c>
      <c r="N128" s="100">
        <f t="shared" si="5"/>
        <v>-1</v>
      </c>
      <c r="O128" s="99">
        <f t="shared" si="6"/>
        <v>-5277.4773539506559</v>
      </c>
    </row>
    <row r="129" spans="3:15">
      <c r="C129" s="100">
        <v>2</v>
      </c>
      <c r="D129" s="100">
        <v>-1</v>
      </c>
      <c r="E129" s="100">
        <v>0</v>
      </c>
      <c r="F129" s="100">
        <v>-1</v>
      </c>
      <c r="G129" s="100">
        <v>8216</v>
      </c>
      <c r="I129" s="100">
        <f t="shared" si="4"/>
        <v>0.99961708524951065</v>
      </c>
      <c r="J129" s="100"/>
      <c r="K129" s="100">
        <f t="shared" si="7"/>
        <v>2</v>
      </c>
      <c r="L129" s="100">
        <f t="shared" si="5"/>
        <v>-1</v>
      </c>
      <c r="M129" s="100">
        <f t="shared" si="5"/>
        <v>0</v>
      </c>
      <c r="N129" s="100">
        <f t="shared" si="5"/>
        <v>-1</v>
      </c>
      <c r="O129" s="99">
        <f t="shared" si="6"/>
        <v>7530.9365867540446</v>
      </c>
    </row>
    <row r="130" spans="3:15">
      <c r="C130" s="100">
        <v>2</v>
      </c>
      <c r="D130" s="100">
        <v>0</v>
      </c>
      <c r="E130" s="100">
        <v>-2</v>
      </c>
      <c r="F130" s="100">
        <v>-1</v>
      </c>
      <c r="G130" s="100">
        <v>4324</v>
      </c>
      <c r="I130" s="100">
        <f t="shared" si="4"/>
        <v>1</v>
      </c>
      <c r="J130" s="100"/>
      <c r="K130" s="100">
        <f t="shared" si="7"/>
        <v>2</v>
      </c>
      <c r="L130" s="100">
        <f t="shared" si="5"/>
        <v>0</v>
      </c>
      <c r="M130" s="100">
        <f t="shared" si="5"/>
        <v>-2</v>
      </c>
      <c r="N130" s="100">
        <f t="shared" si="5"/>
        <v>-1</v>
      </c>
      <c r="O130" s="99">
        <f t="shared" si="6"/>
        <v>690.64289881983098</v>
      </c>
    </row>
    <row r="131" spans="3:15">
      <c r="C131" s="100">
        <v>2</v>
      </c>
      <c r="D131" s="100">
        <v>0</v>
      </c>
      <c r="E131" s="100">
        <v>1</v>
      </c>
      <c r="F131" s="100">
        <v>1</v>
      </c>
      <c r="G131" s="100">
        <v>4200</v>
      </c>
      <c r="I131" s="100">
        <f t="shared" si="4"/>
        <v>1</v>
      </c>
      <c r="J131" s="100"/>
      <c r="K131" s="100">
        <f t="shared" si="7"/>
        <v>2</v>
      </c>
      <c r="L131" s="100">
        <f t="shared" si="5"/>
        <v>0</v>
      </c>
      <c r="M131" s="100">
        <f t="shared" si="5"/>
        <v>1</v>
      </c>
      <c r="N131" s="100">
        <f t="shared" si="5"/>
        <v>1</v>
      </c>
      <c r="O131" s="99">
        <f t="shared" si="6"/>
        <v>1759.4379570639971</v>
      </c>
    </row>
    <row r="132" spans="3:15">
      <c r="C132" s="100">
        <v>2</v>
      </c>
      <c r="D132" s="100">
        <v>1</v>
      </c>
      <c r="E132" s="100">
        <v>0</v>
      </c>
      <c r="F132" s="100">
        <v>-1</v>
      </c>
      <c r="G132" s="100">
        <v>-3359</v>
      </c>
      <c r="I132" s="100">
        <f t="shared" si="4"/>
        <v>0.99961708524951065</v>
      </c>
      <c r="J132" s="100"/>
      <c r="K132" s="100">
        <f t="shared" si="7"/>
        <v>2</v>
      </c>
      <c r="L132" s="100">
        <f t="shared" si="5"/>
        <v>1</v>
      </c>
      <c r="M132" s="100">
        <f t="shared" si="5"/>
        <v>0</v>
      </c>
      <c r="N132" s="100">
        <f t="shared" si="5"/>
        <v>-1</v>
      </c>
      <c r="O132" s="99">
        <f t="shared" si="6"/>
        <v>3318.1565879118502</v>
      </c>
    </row>
    <row r="133" spans="3:15">
      <c r="C133" s="100">
        <v>2</v>
      </c>
      <c r="D133" s="100">
        <v>-1</v>
      </c>
      <c r="E133" s="100">
        <v>-1</v>
      </c>
      <c r="F133" s="100">
        <v>1</v>
      </c>
      <c r="G133" s="100">
        <v>2463</v>
      </c>
      <c r="I133" s="100">
        <f t="shared" si="4"/>
        <v>0.99961708524951065</v>
      </c>
      <c r="J133" s="100"/>
      <c r="K133" s="100">
        <f t="shared" si="7"/>
        <v>2</v>
      </c>
      <c r="L133" s="100">
        <f t="shared" si="5"/>
        <v>-1</v>
      </c>
      <c r="M133" s="100">
        <f t="shared" si="5"/>
        <v>-1</v>
      </c>
      <c r="N133" s="100">
        <f t="shared" si="5"/>
        <v>1</v>
      </c>
      <c r="O133" s="99">
        <f t="shared" si="6"/>
        <v>2228.5884987697054</v>
      </c>
    </row>
    <row r="134" spans="3:15">
      <c r="C134" s="100">
        <v>2</v>
      </c>
      <c r="D134" s="100">
        <v>-1</v>
      </c>
      <c r="E134" s="100">
        <v>0</v>
      </c>
      <c r="F134" s="100">
        <v>1</v>
      </c>
      <c r="G134" s="100">
        <v>2211</v>
      </c>
      <c r="I134" s="100">
        <f t="shared" si="4"/>
        <v>0.99961708524951065</v>
      </c>
      <c r="J134" s="100"/>
      <c r="K134" s="100">
        <f t="shared" si="7"/>
        <v>2</v>
      </c>
      <c r="L134" s="100">
        <f t="shared" si="5"/>
        <v>-1</v>
      </c>
      <c r="M134" s="100">
        <f t="shared" si="5"/>
        <v>0</v>
      </c>
      <c r="N134" s="100">
        <f t="shared" si="5"/>
        <v>1</v>
      </c>
      <c r="O134" s="99">
        <f t="shared" si="6"/>
        <v>2114.9226638177856</v>
      </c>
    </row>
    <row r="135" spans="3:15">
      <c r="C135" s="100">
        <v>2</v>
      </c>
      <c r="D135" s="100">
        <v>-1</v>
      </c>
      <c r="E135" s="100">
        <v>-1</v>
      </c>
      <c r="F135" s="100">
        <v>-1</v>
      </c>
      <c r="G135" s="100">
        <v>2065</v>
      </c>
      <c r="I135" s="100">
        <f t="shared" si="4"/>
        <v>0.99961708524951065</v>
      </c>
      <c r="J135" s="100"/>
      <c r="K135" s="100">
        <f t="shared" si="7"/>
        <v>2</v>
      </c>
      <c r="L135" s="100">
        <f t="shared" si="7"/>
        <v>-1</v>
      </c>
      <c r="M135" s="100">
        <f t="shared" si="7"/>
        <v>-1</v>
      </c>
      <c r="N135" s="100">
        <f t="shared" si="7"/>
        <v>-1</v>
      </c>
      <c r="O135" s="99">
        <f t="shared" si="6"/>
        <v>1991.6155740724607</v>
      </c>
    </row>
    <row r="136" spans="3:15">
      <c r="C136" s="100">
        <v>0</v>
      </c>
      <c r="D136" s="100">
        <v>1</v>
      </c>
      <c r="E136" s="100">
        <v>-1</v>
      </c>
      <c r="F136" s="100">
        <v>-1</v>
      </c>
      <c r="G136" s="100">
        <v>-1870</v>
      </c>
      <c r="I136" s="100">
        <f t="shared" si="4"/>
        <v>0.99961708524951065</v>
      </c>
      <c r="J136" s="100"/>
      <c r="K136" s="100">
        <f t="shared" si="7"/>
        <v>0</v>
      </c>
      <c r="L136" s="100">
        <f t="shared" si="7"/>
        <v>1</v>
      </c>
      <c r="M136" s="100">
        <f t="shared" si="7"/>
        <v>-1</v>
      </c>
      <c r="N136" s="100">
        <f t="shared" si="7"/>
        <v>-1</v>
      </c>
      <c r="O136" s="99">
        <f t="shared" si="6"/>
        <v>1864.181738814422</v>
      </c>
    </row>
    <row r="137" spans="3:15">
      <c r="C137" s="100">
        <v>4</v>
      </c>
      <c r="D137" s="100">
        <v>0</v>
      </c>
      <c r="E137" s="100">
        <v>-1</v>
      </c>
      <c r="F137" s="100">
        <v>-1</v>
      </c>
      <c r="G137" s="100">
        <v>1828</v>
      </c>
      <c r="I137" s="100">
        <f t="shared" si="4"/>
        <v>1</v>
      </c>
      <c r="J137" s="100"/>
      <c r="K137" s="100">
        <f t="shared" si="7"/>
        <v>4</v>
      </c>
      <c r="L137" s="100">
        <f t="shared" si="7"/>
        <v>0</v>
      </c>
      <c r="M137" s="100">
        <f t="shared" si="7"/>
        <v>-1</v>
      </c>
      <c r="N137" s="100">
        <f t="shared" si="7"/>
        <v>-1</v>
      </c>
      <c r="O137" s="99">
        <f t="shared" si="6"/>
        <v>434.8019527019884</v>
      </c>
    </row>
    <row r="138" spans="3:15">
      <c r="C138" s="100">
        <v>0</v>
      </c>
      <c r="D138" s="100">
        <v>1</v>
      </c>
      <c r="E138" s="100">
        <v>0</v>
      </c>
      <c r="F138" s="100">
        <v>1</v>
      </c>
      <c r="G138" s="100">
        <v>-1794</v>
      </c>
      <c r="I138" s="100">
        <f t="shared" si="4"/>
        <v>0.99961708524951065</v>
      </c>
      <c r="J138" s="100"/>
      <c r="K138" s="100">
        <f t="shared" si="7"/>
        <v>0</v>
      </c>
      <c r="L138" s="100">
        <f t="shared" si="7"/>
        <v>1</v>
      </c>
      <c r="M138" s="100">
        <f t="shared" si="7"/>
        <v>0</v>
      </c>
      <c r="N138" s="100">
        <f t="shared" si="7"/>
        <v>1</v>
      </c>
      <c r="O138" s="99">
        <f t="shared" si="6"/>
        <v>1444.2610706671085</v>
      </c>
    </row>
    <row r="139" spans="3:15">
      <c r="C139" s="100">
        <v>0</v>
      </c>
      <c r="D139" s="100">
        <v>0</v>
      </c>
      <c r="E139" s="100">
        <v>0</v>
      </c>
      <c r="F139" s="100">
        <v>3</v>
      </c>
      <c r="G139" s="100">
        <v>-1749</v>
      </c>
      <c r="I139" s="100">
        <f t="shared" si="4"/>
        <v>1</v>
      </c>
      <c r="J139" s="100"/>
      <c r="K139" s="100">
        <f t="shared" si="7"/>
        <v>0</v>
      </c>
      <c r="L139" s="100">
        <f t="shared" si="7"/>
        <v>0</v>
      </c>
      <c r="M139" s="100">
        <f t="shared" si="7"/>
        <v>0</v>
      </c>
      <c r="N139" s="100">
        <f t="shared" si="7"/>
        <v>3</v>
      </c>
      <c r="O139" s="99">
        <f t="shared" si="6"/>
        <v>-1523.6083939241803</v>
      </c>
    </row>
    <row r="140" spans="3:15">
      <c r="C140" s="100">
        <v>0</v>
      </c>
      <c r="D140" s="100">
        <v>1</v>
      </c>
      <c r="E140" s="100">
        <v>-1</v>
      </c>
      <c r="F140" s="100">
        <v>1</v>
      </c>
      <c r="G140" s="100">
        <v>-1565</v>
      </c>
      <c r="I140" s="100">
        <f t="shared" si="4"/>
        <v>0.99961708524951065</v>
      </c>
      <c r="J140" s="100"/>
      <c r="K140" s="100">
        <f t="shared" si="7"/>
        <v>0</v>
      </c>
      <c r="L140" s="100">
        <f t="shared" si="7"/>
        <v>1</v>
      </c>
      <c r="M140" s="100">
        <f t="shared" si="7"/>
        <v>-1</v>
      </c>
      <c r="N140" s="100">
        <f t="shared" si="7"/>
        <v>1</v>
      </c>
      <c r="O140" s="99">
        <f t="shared" si="6"/>
        <v>1113.3603106906044</v>
      </c>
    </row>
    <row r="141" spans="3:15">
      <c r="C141" s="100">
        <v>1</v>
      </c>
      <c r="D141" s="100">
        <v>0</v>
      </c>
      <c r="E141" s="100">
        <v>0</v>
      </c>
      <c r="F141" s="100">
        <v>1</v>
      </c>
      <c r="G141" s="100">
        <v>-1491</v>
      </c>
      <c r="I141" s="100">
        <f t="shared" si="4"/>
        <v>1</v>
      </c>
      <c r="J141" s="100"/>
      <c r="K141" s="100">
        <f t="shared" si="7"/>
        <v>1</v>
      </c>
      <c r="L141" s="100">
        <f t="shared" si="7"/>
        <v>0</v>
      </c>
      <c r="M141" s="100">
        <f t="shared" si="7"/>
        <v>0</v>
      </c>
      <c r="N141" s="100">
        <f t="shared" si="7"/>
        <v>1</v>
      </c>
      <c r="O141" s="99">
        <f t="shared" si="6"/>
        <v>-668.02299081976673</v>
      </c>
    </row>
    <row r="142" spans="3:15">
      <c r="C142" s="100">
        <v>0</v>
      </c>
      <c r="D142" s="100">
        <v>1</v>
      </c>
      <c r="E142" s="100">
        <v>1</v>
      </c>
      <c r="F142" s="100">
        <v>1</v>
      </c>
      <c r="G142" s="100">
        <v>-1475</v>
      </c>
      <c r="I142" s="100">
        <f t="shared" si="4"/>
        <v>0.99961708524951065</v>
      </c>
      <c r="J142" s="100"/>
      <c r="K142" s="100">
        <f t="shared" si="7"/>
        <v>0</v>
      </c>
      <c r="L142" s="100">
        <f t="shared" si="7"/>
        <v>1</v>
      </c>
      <c r="M142" s="100">
        <f t="shared" si="7"/>
        <v>1</v>
      </c>
      <c r="N142" s="100">
        <f t="shared" si="7"/>
        <v>1</v>
      </c>
      <c r="O142" s="99">
        <f t="shared" si="6"/>
        <v>1300.8539062032278</v>
      </c>
    </row>
    <row r="143" spans="3:15">
      <c r="C143" s="100">
        <v>0</v>
      </c>
      <c r="D143" s="100">
        <v>1</v>
      </c>
      <c r="E143" s="100">
        <v>1</v>
      </c>
      <c r="F143" s="100">
        <v>-1</v>
      </c>
      <c r="G143" s="100">
        <v>-1410</v>
      </c>
      <c r="I143" s="100">
        <f t="shared" si="4"/>
        <v>0.99961708524951065</v>
      </c>
      <c r="J143" s="100"/>
      <c r="K143" s="100">
        <f t="shared" si="7"/>
        <v>0</v>
      </c>
      <c r="L143" s="100">
        <f t="shared" si="7"/>
        <v>1</v>
      </c>
      <c r="M143" s="100">
        <f t="shared" si="7"/>
        <v>1</v>
      </c>
      <c r="N143" s="100">
        <f t="shared" si="7"/>
        <v>-1</v>
      </c>
      <c r="O143" s="99">
        <f t="shared" si="6"/>
        <v>1377.0474307475311</v>
      </c>
    </row>
    <row r="144" spans="3:15">
      <c r="C144" s="100">
        <v>0</v>
      </c>
      <c r="D144" s="100">
        <v>1</v>
      </c>
      <c r="E144" s="100">
        <v>0</v>
      </c>
      <c r="F144" s="100">
        <v>-1</v>
      </c>
      <c r="G144" s="100">
        <v>-1344</v>
      </c>
      <c r="I144" s="100">
        <f t="shared" si="4"/>
        <v>0.99961708524951065</v>
      </c>
      <c r="J144" s="100"/>
      <c r="K144" s="100">
        <f t="shared" si="7"/>
        <v>0</v>
      </c>
      <c r="L144" s="100">
        <f t="shared" si="7"/>
        <v>1</v>
      </c>
      <c r="M144" s="100">
        <f t="shared" si="7"/>
        <v>0</v>
      </c>
      <c r="N144" s="100">
        <f t="shared" si="7"/>
        <v>-1</v>
      </c>
      <c r="O144" s="99">
        <f t="shared" si="6"/>
        <v>1340.1493841984336</v>
      </c>
    </row>
    <row r="145" spans="3:15">
      <c r="C145" s="100">
        <v>1</v>
      </c>
      <c r="D145" s="100">
        <v>0</v>
      </c>
      <c r="E145" s="100">
        <v>0</v>
      </c>
      <c r="F145" s="100">
        <v>-1</v>
      </c>
      <c r="G145" s="100">
        <v>-1335</v>
      </c>
      <c r="I145" s="100">
        <f t="shared" si="4"/>
        <v>1</v>
      </c>
      <c r="J145" s="100"/>
      <c r="K145" s="100">
        <f t="shared" si="7"/>
        <v>1</v>
      </c>
      <c r="L145" s="100">
        <f t="shared" si="7"/>
        <v>0</v>
      </c>
      <c r="M145" s="100">
        <f t="shared" si="7"/>
        <v>0</v>
      </c>
      <c r="N145" s="100">
        <f t="shared" si="7"/>
        <v>-1</v>
      </c>
      <c r="O145" s="99">
        <f t="shared" si="6"/>
        <v>317.89382033301951</v>
      </c>
    </row>
    <row r="146" spans="3:15">
      <c r="C146" s="100">
        <v>0</v>
      </c>
      <c r="D146" s="100">
        <v>0</v>
      </c>
      <c r="E146" s="100">
        <v>3</v>
      </c>
      <c r="F146" s="100">
        <v>1</v>
      </c>
      <c r="G146" s="100">
        <v>1107</v>
      </c>
      <c r="I146" s="100">
        <f t="shared" si="4"/>
        <v>1</v>
      </c>
      <c r="J146" s="100"/>
      <c r="K146" s="100">
        <f t="shared" si="7"/>
        <v>0</v>
      </c>
      <c r="L146" s="100">
        <f t="shared" si="7"/>
        <v>0</v>
      </c>
      <c r="M146" s="100">
        <f t="shared" si="7"/>
        <v>3</v>
      </c>
      <c r="N146" s="100">
        <f t="shared" si="7"/>
        <v>1</v>
      </c>
      <c r="O146" s="99">
        <f t="shared" si="6"/>
        <v>-89.195840375883947</v>
      </c>
    </row>
    <row r="147" spans="3:15">
      <c r="C147" s="100">
        <v>4</v>
      </c>
      <c r="D147" s="100">
        <v>0</v>
      </c>
      <c r="E147" s="100">
        <v>0</v>
      </c>
      <c r="F147" s="100">
        <v>-1</v>
      </c>
      <c r="G147" s="100">
        <v>1021</v>
      </c>
      <c r="I147" s="100">
        <f t="shared" si="4"/>
        <v>1</v>
      </c>
      <c r="J147" s="100"/>
      <c r="K147" s="100">
        <f t="shared" si="7"/>
        <v>4</v>
      </c>
      <c r="L147" s="100">
        <f t="shared" si="7"/>
        <v>0</v>
      </c>
      <c r="M147" s="100">
        <f t="shared" si="7"/>
        <v>0</v>
      </c>
      <c r="N147" s="100">
        <f t="shared" si="7"/>
        <v>-1</v>
      </c>
      <c r="O147" s="99">
        <f t="shared" si="6"/>
        <v>97.632948885405796</v>
      </c>
    </row>
    <row r="148" spans="3:15">
      <c r="C148" s="100">
        <v>4</v>
      </c>
      <c r="D148" s="100">
        <v>0</v>
      </c>
      <c r="E148" s="100">
        <v>-1</v>
      </c>
      <c r="F148" s="100">
        <v>1</v>
      </c>
      <c r="G148" s="100">
        <v>833</v>
      </c>
      <c r="I148" s="100">
        <f t="shared" si="4"/>
        <v>1</v>
      </c>
      <c r="J148" s="100"/>
      <c r="K148" s="100">
        <f t="shared" si="7"/>
        <v>4</v>
      </c>
      <c r="L148" s="100">
        <f t="shared" si="7"/>
        <v>0</v>
      </c>
      <c r="M148" s="100">
        <f t="shared" si="7"/>
        <v>-1</v>
      </c>
      <c r="N148" s="100">
        <f t="shared" si="7"/>
        <v>1</v>
      </c>
      <c r="O148" s="99">
        <f t="shared" si="6"/>
        <v>675.22169127252494</v>
      </c>
    </row>
    <row r="149" spans="3:15">
      <c r="C149" s="100">
        <v>0</v>
      </c>
      <c r="D149" s="100">
        <v>0</v>
      </c>
      <c r="E149" s="100">
        <v>1</v>
      </c>
      <c r="F149" s="100">
        <v>-3</v>
      </c>
      <c r="G149" s="100">
        <v>777</v>
      </c>
      <c r="I149" s="100">
        <f t="shared" si="4"/>
        <v>1</v>
      </c>
      <c r="J149" s="100"/>
      <c r="K149" s="100">
        <f t="shared" si="7"/>
        <v>0</v>
      </c>
      <c r="L149" s="100">
        <f t="shared" si="7"/>
        <v>0</v>
      </c>
      <c r="M149" s="100">
        <f t="shared" si="7"/>
        <v>1</v>
      </c>
      <c r="N149" s="100">
        <f t="shared" si="7"/>
        <v>-3</v>
      </c>
      <c r="O149" s="99">
        <f t="shared" si="6"/>
        <v>-724.72481310430305</v>
      </c>
    </row>
    <row r="150" spans="3:15">
      <c r="C150" s="100">
        <v>4</v>
      </c>
      <c r="D150" s="100">
        <v>0</v>
      </c>
      <c r="E150" s="100">
        <v>-2</v>
      </c>
      <c r="F150" s="100">
        <v>1</v>
      </c>
      <c r="G150" s="100">
        <v>671</v>
      </c>
      <c r="I150" s="100">
        <f t="shared" si="4"/>
        <v>1</v>
      </c>
      <c r="J150" s="100"/>
      <c r="K150" s="100">
        <f t="shared" si="7"/>
        <v>4</v>
      </c>
      <c r="L150" s="100">
        <f t="shared" si="7"/>
        <v>0</v>
      </c>
      <c r="M150" s="100">
        <f t="shared" si="7"/>
        <v>-2</v>
      </c>
      <c r="N150" s="100">
        <f t="shared" si="7"/>
        <v>1</v>
      </c>
      <c r="O150" s="99">
        <f t="shared" si="6"/>
        <v>594.78594619664443</v>
      </c>
    </row>
    <row r="151" spans="3:15">
      <c r="C151" s="100">
        <v>2</v>
      </c>
      <c r="D151" s="100">
        <v>0</v>
      </c>
      <c r="E151" s="100">
        <v>0</v>
      </c>
      <c r="F151" s="100">
        <v>-3</v>
      </c>
      <c r="G151" s="100">
        <v>607</v>
      </c>
      <c r="I151" s="100">
        <f t="shared" si="4"/>
        <v>1</v>
      </c>
      <c r="J151" s="100"/>
      <c r="K151" s="100">
        <f t="shared" si="7"/>
        <v>2</v>
      </c>
      <c r="L151" s="100">
        <f t="shared" si="7"/>
        <v>0</v>
      </c>
      <c r="M151" s="100">
        <f t="shared" si="7"/>
        <v>0</v>
      </c>
      <c r="N151" s="100">
        <f t="shared" si="7"/>
        <v>-3</v>
      </c>
      <c r="O151" s="99">
        <f t="shared" si="6"/>
        <v>-449.30043857204032</v>
      </c>
    </row>
    <row r="152" spans="3:15">
      <c r="C152" s="100">
        <v>2</v>
      </c>
      <c r="D152" s="100">
        <v>0</v>
      </c>
      <c r="E152" s="100">
        <v>2</v>
      </c>
      <c r="F152" s="100">
        <v>-1</v>
      </c>
      <c r="G152" s="100">
        <v>596</v>
      </c>
      <c r="I152" s="100">
        <f t="shared" si="4"/>
        <v>1</v>
      </c>
      <c r="J152" s="100"/>
      <c r="K152" s="100">
        <f t="shared" si="7"/>
        <v>2</v>
      </c>
      <c r="L152" s="100">
        <f t="shared" si="7"/>
        <v>0</v>
      </c>
      <c r="M152" s="100">
        <f t="shared" si="7"/>
        <v>2</v>
      </c>
      <c r="N152" s="100">
        <f t="shared" si="7"/>
        <v>-1</v>
      </c>
      <c r="O152" s="99">
        <f t="shared" si="6"/>
        <v>-241.46750997977458</v>
      </c>
    </row>
    <row r="153" spans="3:15">
      <c r="C153" s="100">
        <v>2</v>
      </c>
      <c r="D153" s="100">
        <v>-1</v>
      </c>
      <c r="E153" s="100">
        <v>1</v>
      </c>
      <c r="F153" s="100">
        <v>-1</v>
      </c>
      <c r="G153" s="100">
        <v>491</v>
      </c>
      <c r="I153" s="100">
        <f t="shared" si="4"/>
        <v>0.99961708524951065</v>
      </c>
      <c r="J153" s="100"/>
      <c r="K153" s="100">
        <f t="shared" si="7"/>
        <v>2</v>
      </c>
      <c r="L153" s="100">
        <f t="shared" si="7"/>
        <v>-1</v>
      </c>
      <c r="M153" s="100">
        <f t="shared" si="7"/>
        <v>1</v>
      </c>
      <c r="N153" s="100">
        <f t="shared" si="7"/>
        <v>-1</v>
      </c>
      <c r="O153" s="99">
        <f t="shared" si="6"/>
        <v>417.20160835002883</v>
      </c>
    </row>
    <row r="154" spans="3:15">
      <c r="C154" s="100">
        <v>2</v>
      </c>
      <c r="D154" s="100">
        <v>0</v>
      </c>
      <c r="E154" s="100">
        <v>-2</v>
      </c>
      <c r="F154" s="100">
        <v>1</v>
      </c>
      <c r="G154" s="100">
        <v>-451</v>
      </c>
      <c r="I154" s="100">
        <f t="shared" si="4"/>
        <v>1</v>
      </c>
      <c r="J154" s="100"/>
      <c r="K154" s="100">
        <f t="shared" si="7"/>
        <v>2</v>
      </c>
      <c r="L154" s="100">
        <f t="shared" si="7"/>
        <v>0</v>
      </c>
      <c r="M154" s="100">
        <f t="shared" si="7"/>
        <v>-2</v>
      </c>
      <c r="N154" s="100">
        <f t="shared" si="7"/>
        <v>1</v>
      </c>
      <c r="O154" s="99">
        <f t="shared" si="6"/>
        <v>-343.37416250498944</v>
      </c>
    </row>
    <row r="155" spans="3:15">
      <c r="C155" s="100">
        <v>0</v>
      </c>
      <c r="D155" s="100">
        <v>0</v>
      </c>
      <c r="E155" s="100">
        <v>3</v>
      </c>
      <c r="F155" s="100">
        <v>-1</v>
      </c>
      <c r="G155" s="100">
        <v>439</v>
      </c>
      <c r="I155" s="100">
        <f t="shared" si="4"/>
        <v>1</v>
      </c>
      <c r="J155" s="100"/>
      <c r="K155" s="100">
        <f t="shared" si="7"/>
        <v>0</v>
      </c>
      <c r="L155" s="100">
        <f t="shared" si="7"/>
        <v>0</v>
      </c>
      <c r="M155" s="100">
        <f t="shared" si="7"/>
        <v>3</v>
      </c>
      <c r="N155" s="100">
        <f t="shared" si="7"/>
        <v>-1</v>
      </c>
      <c r="O155" s="99">
        <f t="shared" si="6"/>
        <v>-310.50195528907358</v>
      </c>
    </row>
    <row r="156" spans="3:15">
      <c r="C156" s="100">
        <v>2</v>
      </c>
      <c r="D156" s="100">
        <v>0</v>
      </c>
      <c r="E156" s="100">
        <v>2</v>
      </c>
      <c r="F156" s="100">
        <v>1</v>
      </c>
      <c r="G156" s="100">
        <v>422</v>
      </c>
      <c r="I156" s="100">
        <f t="shared" si="4"/>
        <v>1</v>
      </c>
      <c r="J156" s="100"/>
      <c r="K156" s="100">
        <f t="shared" si="7"/>
        <v>2</v>
      </c>
      <c r="L156" s="100">
        <f t="shared" si="7"/>
        <v>0</v>
      </c>
      <c r="M156" s="100">
        <f t="shared" si="7"/>
        <v>2</v>
      </c>
      <c r="N156" s="100">
        <f t="shared" si="7"/>
        <v>1</v>
      </c>
      <c r="O156" s="99">
        <f t="shared" si="6"/>
        <v>119.80674371787553</v>
      </c>
    </row>
    <row r="157" spans="3:15">
      <c r="C157" s="100">
        <v>2</v>
      </c>
      <c r="D157" s="100">
        <v>0</v>
      </c>
      <c r="E157" s="100">
        <v>-3</v>
      </c>
      <c r="F157" s="100">
        <v>-1</v>
      </c>
      <c r="G157" s="100">
        <v>421</v>
      </c>
      <c r="I157" s="100">
        <f t="shared" si="4"/>
        <v>1</v>
      </c>
      <c r="J157" s="100"/>
      <c r="K157" s="100">
        <f t="shared" si="7"/>
        <v>2</v>
      </c>
      <c r="L157" s="100">
        <f t="shared" si="7"/>
        <v>0</v>
      </c>
      <c r="M157" s="100">
        <f t="shared" si="7"/>
        <v>-3</v>
      </c>
      <c r="N157" s="100">
        <f t="shared" si="7"/>
        <v>-1</v>
      </c>
      <c r="O157" s="99">
        <f t="shared" si="6"/>
        <v>126.3421468383322</v>
      </c>
    </row>
    <row r="158" spans="3:15">
      <c r="C158" s="100">
        <v>2</v>
      </c>
      <c r="D158" s="100">
        <v>1</v>
      </c>
      <c r="E158" s="100">
        <v>-1</v>
      </c>
      <c r="F158" s="100">
        <v>1</v>
      </c>
      <c r="G158" s="100">
        <v>-366</v>
      </c>
      <c r="I158" s="100">
        <f t="shared" si="4"/>
        <v>0.99961708524951065</v>
      </c>
      <c r="J158" s="100"/>
      <c r="K158" s="100">
        <f t="shared" si="7"/>
        <v>2</v>
      </c>
      <c r="L158" s="100">
        <f t="shared" si="7"/>
        <v>1</v>
      </c>
      <c r="M158" s="100">
        <f t="shared" si="7"/>
        <v>-1</v>
      </c>
      <c r="N158" s="100">
        <f t="shared" si="7"/>
        <v>1</v>
      </c>
      <c r="O158" s="99">
        <f t="shared" si="6"/>
        <v>196.73859924839189</v>
      </c>
    </row>
    <row r="159" spans="3:15">
      <c r="C159" s="100">
        <v>2</v>
      </c>
      <c r="D159" s="100">
        <v>1</v>
      </c>
      <c r="E159" s="100">
        <v>0</v>
      </c>
      <c r="F159" s="100">
        <v>1</v>
      </c>
      <c r="G159" s="100">
        <v>-351</v>
      </c>
      <c r="I159" s="100">
        <f t="shared" si="4"/>
        <v>0.99961708524951065</v>
      </c>
      <c r="J159" s="100"/>
      <c r="K159" s="100">
        <f t="shared" si="7"/>
        <v>2</v>
      </c>
      <c r="L159" s="100">
        <f t="shared" si="7"/>
        <v>1</v>
      </c>
      <c r="M159" s="100">
        <f t="shared" si="7"/>
        <v>0</v>
      </c>
      <c r="N159" s="100">
        <f t="shared" si="7"/>
        <v>1</v>
      </c>
      <c r="O159" s="99">
        <f t="shared" si="6"/>
        <v>229.27634736012885</v>
      </c>
    </row>
    <row r="160" spans="3:15">
      <c r="C160" s="100">
        <v>4</v>
      </c>
      <c r="D160" s="100">
        <v>0</v>
      </c>
      <c r="E160" s="100">
        <v>0</v>
      </c>
      <c r="F160" s="100">
        <v>1</v>
      </c>
      <c r="G160" s="100">
        <v>331</v>
      </c>
      <c r="I160" s="100">
        <f t="shared" si="4"/>
        <v>1</v>
      </c>
      <c r="J160" s="100"/>
      <c r="K160" s="100">
        <f t="shared" si="7"/>
        <v>4</v>
      </c>
      <c r="L160" s="100">
        <f t="shared" si="7"/>
        <v>0</v>
      </c>
      <c r="M160" s="100">
        <f t="shared" si="7"/>
        <v>0</v>
      </c>
      <c r="N160" s="100">
        <f t="shared" si="7"/>
        <v>1</v>
      </c>
      <c r="O160" s="99">
        <f t="shared" si="6"/>
        <v>237.62281504012122</v>
      </c>
    </row>
    <row r="161" spans="3:15">
      <c r="C161" s="100">
        <v>2</v>
      </c>
      <c r="D161" s="100">
        <v>-1</v>
      </c>
      <c r="E161" s="100">
        <v>1</v>
      </c>
      <c r="F161" s="100">
        <v>1</v>
      </c>
      <c r="G161" s="100">
        <v>315</v>
      </c>
      <c r="I161" s="100">
        <f t="shared" si="4"/>
        <v>0.99961708524951065</v>
      </c>
      <c r="J161" s="100"/>
      <c r="K161" s="100">
        <f t="shared" si="7"/>
        <v>2</v>
      </c>
      <c r="L161" s="100">
        <f t="shared" si="7"/>
        <v>-1</v>
      </c>
      <c r="M161" s="100">
        <f t="shared" si="7"/>
        <v>1</v>
      </c>
      <c r="N161" s="100">
        <f t="shared" si="7"/>
        <v>1</v>
      </c>
      <c r="O161" s="99">
        <f t="shared" si="6"/>
        <v>311.33261035354917</v>
      </c>
    </row>
    <row r="162" spans="3:15">
      <c r="C162" s="100">
        <v>2</v>
      </c>
      <c r="D162" s="100">
        <v>-2</v>
      </c>
      <c r="E162" s="100">
        <v>0</v>
      </c>
      <c r="F162" s="100">
        <v>-1</v>
      </c>
      <c r="G162" s="100">
        <v>302</v>
      </c>
      <c r="I162" s="100">
        <f t="shared" si="4"/>
        <v>0.99923431712272748</v>
      </c>
      <c r="J162" s="100"/>
      <c r="K162" s="100">
        <f t="shared" si="7"/>
        <v>2</v>
      </c>
      <c r="L162" s="100">
        <f t="shared" si="7"/>
        <v>-2</v>
      </c>
      <c r="M162" s="100">
        <f t="shared" si="7"/>
        <v>0</v>
      </c>
      <c r="N162" s="100">
        <f t="shared" si="7"/>
        <v>-1</v>
      </c>
      <c r="O162" s="99">
        <f t="shared" si="6"/>
        <v>192.64373574568734</v>
      </c>
    </row>
    <row r="163" spans="3:15">
      <c r="C163" s="100">
        <v>0</v>
      </c>
      <c r="D163" s="100">
        <v>0</v>
      </c>
      <c r="E163" s="100">
        <v>1</v>
      </c>
      <c r="F163" s="100">
        <v>3</v>
      </c>
      <c r="G163" s="100">
        <v>-283</v>
      </c>
      <c r="I163" s="100">
        <f t="shared" si="4"/>
        <v>1</v>
      </c>
      <c r="J163" s="100"/>
      <c r="K163" s="100">
        <f t="shared" si="7"/>
        <v>0</v>
      </c>
      <c r="L163" s="100">
        <f t="shared" si="7"/>
        <v>0</v>
      </c>
      <c r="M163" s="100">
        <f t="shared" si="7"/>
        <v>1</v>
      </c>
      <c r="N163" s="100">
        <f t="shared" si="7"/>
        <v>3</v>
      </c>
      <c r="O163" s="99">
        <f t="shared" si="6"/>
        <v>-223.96930617433284</v>
      </c>
    </row>
    <row r="164" spans="3:15">
      <c r="C164" s="100">
        <v>2</v>
      </c>
      <c r="D164" s="100">
        <v>1</v>
      </c>
      <c r="E164" s="100">
        <v>1</v>
      </c>
      <c r="F164" s="100">
        <v>-1</v>
      </c>
      <c r="G164" s="100">
        <v>-229</v>
      </c>
      <c r="I164" s="100">
        <f t="shared" si="4"/>
        <v>0.99961708524951065</v>
      </c>
      <c r="J164" s="100"/>
      <c r="K164" s="100">
        <f t="shared" si="7"/>
        <v>2</v>
      </c>
      <c r="L164" s="100">
        <f t="shared" si="7"/>
        <v>1</v>
      </c>
      <c r="M164" s="100">
        <f t="shared" si="7"/>
        <v>1</v>
      </c>
      <c r="N164" s="100">
        <f t="shared" si="7"/>
        <v>-1</v>
      </c>
      <c r="O164" s="99">
        <f t="shared" si="6"/>
        <v>228.90249224954067</v>
      </c>
    </row>
    <row r="165" spans="3:15">
      <c r="C165" s="100">
        <v>1</v>
      </c>
      <c r="D165" s="100">
        <v>1</v>
      </c>
      <c r="E165" s="100">
        <v>0</v>
      </c>
      <c r="F165" s="100">
        <v>-1</v>
      </c>
      <c r="G165" s="100">
        <v>223</v>
      </c>
      <c r="I165" s="100">
        <f t="shared" si="4"/>
        <v>0.99961708524951065</v>
      </c>
      <c r="J165" s="100"/>
      <c r="K165" s="100">
        <f t="shared" si="7"/>
        <v>1</v>
      </c>
      <c r="L165" s="100">
        <f t="shared" si="7"/>
        <v>1</v>
      </c>
      <c r="M165" s="100">
        <f t="shared" si="7"/>
        <v>0</v>
      </c>
      <c r="N165" s="100">
        <f t="shared" si="7"/>
        <v>-1</v>
      </c>
      <c r="O165" s="99">
        <f t="shared" si="6"/>
        <v>-222.72191789265835</v>
      </c>
    </row>
    <row r="166" spans="3:15">
      <c r="C166" s="100">
        <v>1</v>
      </c>
      <c r="D166" s="100">
        <v>1</v>
      </c>
      <c r="E166" s="100">
        <v>0</v>
      </c>
      <c r="F166" s="100">
        <v>1</v>
      </c>
      <c r="G166" s="100">
        <v>223</v>
      </c>
      <c r="I166" s="100">
        <f t="shared" si="4"/>
        <v>0.99961708524951065</v>
      </c>
      <c r="J166" s="100"/>
      <c r="K166" s="100">
        <f t="shared" si="7"/>
        <v>1</v>
      </c>
      <c r="L166" s="100">
        <f t="shared" si="7"/>
        <v>1</v>
      </c>
      <c r="M166" s="100">
        <f t="shared" si="7"/>
        <v>0</v>
      </c>
      <c r="N166" s="100">
        <f t="shared" si="7"/>
        <v>1</v>
      </c>
      <c r="O166" s="99">
        <f t="shared" si="6"/>
        <v>-163.62236907505465</v>
      </c>
    </row>
    <row r="167" spans="3:15">
      <c r="C167" s="100">
        <v>0</v>
      </c>
      <c r="D167" s="100">
        <v>1</v>
      </c>
      <c r="E167" s="100">
        <v>-2</v>
      </c>
      <c r="F167" s="100">
        <v>-1</v>
      </c>
      <c r="G167" s="100">
        <v>-220</v>
      </c>
      <c r="I167" s="100">
        <f t="shared" si="4"/>
        <v>0.99961708524951065</v>
      </c>
      <c r="J167" s="100"/>
      <c r="K167" s="100">
        <f t="shared" si="7"/>
        <v>0</v>
      </c>
      <c r="L167" s="100">
        <f t="shared" si="7"/>
        <v>1</v>
      </c>
      <c r="M167" s="100">
        <f t="shared" si="7"/>
        <v>-2</v>
      </c>
      <c r="N167" s="100">
        <f t="shared" si="7"/>
        <v>-1</v>
      </c>
      <c r="O167" s="99">
        <f t="shared" si="6"/>
        <v>214.69701564881964</v>
      </c>
    </row>
    <row r="168" spans="3:15">
      <c r="C168" s="100">
        <v>2</v>
      </c>
      <c r="D168" s="100">
        <v>1</v>
      </c>
      <c r="E168" s="100">
        <v>-1</v>
      </c>
      <c r="F168" s="100">
        <v>-1</v>
      </c>
      <c r="G168" s="100">
        <v>-220</v>
      </c>
      <c r="I168" s="100">
        <f t="shared" si="4"/>
        <v>0.99961708524951065</v>
      </c>
      <c r="J168" s="100"/>
      <c r="K168" s="100">
        <f t="shared" si="7"/>
        <v>2</v>
      </c>
      <c r="L168" s="100">
        <f t="shared" si="7"/>
        <v>1</v>
      </c>
      <c r="M168" s="100">
        <f t="shared" si="7"/>
        <v>-1</v>
      </c>
      <c r="N168" s="100">
        <f t="shared" si="7"/>
        <v>-1</v>
      </c>
      <c r="O168" s="99">
        <f t="shared" si="6"/>
        <v>210.22067707275511</v>
      </c>
    </row>
    <row r="169" spans="3:15">
      <c r="C169" s="100">
        <v>1</v>
      </c>
      <c r="D169" s="100">
        <v>0</v>
      </c>
      <c r="E169" s="100">
        <v>1</v>
      </c>
      <c r="F169" s="100">
        <v>1</v>
      </c>
      <c r="G169" s="100">
        <v>-185</v>
      </c>
      <c r="I169" s="100">
        <f t="shared" si="4"/>
        <v>1</v>
      </c>
      <c r="J169" s="100"/>
      <c r="K169" s="100">
        <f t="shared" si="7"/>
        <v>1</v>
      </c>
      <c r="L169" s="100">
        <f t="shared" si="7"/>
        <v>0</v>
      </c>
      <c r="M169" s="100">
        <f t="shared" si="7"/>
        <v>1</v>
      </c>
      <c r="N169" s="100">
        <f t="shared" si="7"/>
        <v>1</v>
      </c>
      <c r="O169" s="99">
        <f t="shared" si="6"/>
        <v>-58.226576484396148</v>
      </c>
    </row>
    <row r="170" spans="3:15">
      <c r="C170" s="100">
        <v>2</v>
      </c>
      <c r="D170" s="100">
        <v>-1</v>
      </c>
      <c r="E170" s="100">
        <v>-2</v>
      </c>
      <c r="F170" s="100">
        <v>-1</v>
      </c>
      <c r="G170" s="100">
        <v>181</v>
      </c>
      <c r="I170" s="100">
        <f t="shared" si="4"/>
        <v>0.99961708524951065</v>
      </c>
      <c r="J170" s="100"/>
      <c r="K170" s="100">
        <f t="shared" si="7"/>
        <v>2</v>
      </c>
      <c r="L170" s="100">
        <f t="shared" si="7"/>
        <v>-1</v>
      </c>
      <c r="M170" s="100">
        <f t="shared" si="7"/>
        <v>-2</v>
      </c>
      <c r="N170" s="100">
        <f t="shared" si="7"/>
        <v>-1</v>
      </c>
      <c r="O170" s="99">
        <f t="shared" si="6"/>
        <v>179.59456647555129</v>
      </c>
    </row>
    <row r="171" spans="3:15">
      <c r="C171" s="100">
        <v>0</v>
      </c>
      <c r="D171" s="100">
        <v>1</v>
      </c>
      <c r="E171" s="100">
        <v>2</v>
      </c>
      <c r="F171" s="100">
        <v>1</v>
      </c>
      <c r="G171" s="100">
        <v>-177</v>
      </c>
      <c r="I171" s="100">
        <f t="shared" si="4"/>
        <v>0.99961708524951065</v>
      </c>
      <c r="J171" s="100"/>
      <c r="K171" s="100">
        <f t="shared" si="7"/>
        <v>0</v>
      </c>
      <c r="L171" s="100">
        <f t="shared" si="7"/>
        <v>1</v>
      </c>
      <c r="M171" s="100">
        <f t="shared" si="7"/>
        <v>2</v>
      </c>
      <c r="N171" s="100">
        <f t="shared" si="7"/>
        <v>1</v>
      </c>
      <c r="O171" s="99">
        <f t="shared" si="6"/>
        <v>166.46222120585907</v>
      </c>
    </row>
    <row r="172" spans="3:15">
      <c r="C172" s="100">
        <v>4</v>
      </c>
      <c r="D172" s="100">
        <v>0</v>
      </c>
      <c r="E172" s="100">
        <v>-2</v>
      </c>
      <c r="F172" s="100">
        <v>-1</v>
      </c>
      <c r="G172" s="100">
        <v>176</v>
      </c>
      <c r="I172" s="100">
        <f t="shared" si="4"/>
        <v>1</v>
      </c>
      <c r="J172" s="100"/>
      <c r="K172" s="100">
        <f t="shared" si="7"/>
        <v>4</v>
      </c>
      <c r="L172" s="100">
        <f t="shared" si="7"/>
        <v>0</v>
      </c>
      <c r="M172" s="100">
        <f t="shared" si="7"/>
        <v>-2</v>
      </c>
      <c r="N172" s="100">
        <f t="shared" si="7"/>
        <v>-1</v>
      </c>
      <c r="O172" s="99">
        <f t="shared" si="6"/>
        <v>66.024342233309966</v>
      </c>
    </row>
    <row r="173" spans="3:15">
      <c r="C173" s="100">
        <v>4</v>
      </c>
      <c r="D173" s="100">
        <v>-1</v>
      </c>
      <c r="E173" s="100">
        <v>-1</v>
      </c>
      <c r="F173" s="100">
        <v>-1</v>
      </c>
      <c r="G173" s="100">
        <v>166</v>
      </c>
      <c r="I173" s="100">
        <f t="shared" si="4"/>
        <v>0.99961708524951065</v>
      </c>
      <c r="J173" s="100"/>
      <c r="K173" s="100">
        <f t="shared" si="7"/>
        <v>4</v>
      </c>
      <c r="L173" s="100">
        <f t="shared" si="7"/>
        <v>-1</v>
      </c>
      <c r="M173" s="100">
        <f t="shared" si="7"/>
        <v>-1</v>
      </c>
      <c r="N173" s="100">
        <f t="shared" si="7"/>
        <v>-1</v>
      </c>
      <c r="O173" s="99">
        <f t="shared" si="6"/>
        <v>165.79110134419568</v>
      </c>
    </row>
    <row r="174" spans="3:15">
      <c r="C174" s="100">
        <v>1</v>
      </c>
      <c r="D174" s="100">
        <v>0</v>
      </c>
      <c r="E174" s="100">
        <v>1</v>
      </c>
      <c r="F174" s="100">
        <v>-1</v>
      </c>
      <c r="G174" s="100">
        <v>-164</v>
      </c>
      <c r="I174" s="100">
        <f t="shared" si="4"/>
        <v>1</v>
      </c>
      <c r="J174" s="100"/>
      <c r="K174" s="100">
        <f t="shared" si="7"/>
        <v>1</v>
      </c>
      <c r="L174" s="100">
        <f t="shared" si="7"/>
        <v>0</v>
      </c>
      <c r="M174" s="100">
        <f t="shared" si="7"/>
        <v>1</v>
      </c>
      <c r="N174" s="100">
        <f t="shared" si="7"/>
        <v>-1</v>
      </c>
      <c r="O174" s="99">
        <f t="shared" si="6"/>
        <v>61.56432454890642</v>
      </c>
    </row>
    <row r="175" spans="3:15">
      <c r="C175" s="100">
        <v>4</v>
      </c>
      <c r="D175" s="100">
        <v>0</v>
      </c>
      <c r="E175" s="100">
        <v>1</v>
      </c>
      <c r="F175" s="100">
        <v>-1</v>
      </c>
      <c r="G175" s="100">
        <v>132</v>
      </c>
      <c r="I175" s="100">
        <f t="shared" si="4"/>
        <v>1</v>
      </c>
      <c r="J175" s="100"/>
      <c r="K175" s="100">
        <f t="shared" si="7"/>
        <v>4</v>
      </c>
      <c r="L175" s="100">
        <f t="shared" si="7"/>
        <v>0</v>
      </c>
      <c r="M175" s="100">
        <f t="shared" si="7"/>
        <v>1</v>
      </c>
      <c r="N175" s="100">
        <f t="shared" si="7"/>
        <v>-1</v>
      </c>
      <c r="O175" s="99">
        <f t="shared" si="6"/>
        <v>-6.4148161358749931</v>
      </c>
    </row>
    <row r="176" spans="3:15">
      <c r="C176" s="100">
        <v>1</v>
      </c>
      <c r="D176" s="100">
        <v>0</v>
      </c>
      <c r="E176" s="100">
        <v>-1</v>
      </c>
      <c r="F176" s="100">
        <v>-1</v>
      </c>
      <c r="G176" s="100">
        <v>-119</v>
      </c>
      <c r="I176" s="100">
        <f t="shared" si="4"/>
        <v>1</v>
      </c>
      <c r="J176" s="100"/>
      <c r="K176" s="100">
        <f t="shared" si="7"/>
        <v>1</v>
      </c>
      <c r="L176" s="100">
        <f t="shared" si="7"/>
        <v>0</v>
      </c>
      <c r="M176" s="100">
        <f t="shared" si="7"/>
        <v>-1</v>
      </c>
      <c r="N176" s="100">
        <f t="shared" si="7"/>
        <v>-1</v>
      </c>
      <c r="O176" s="99">
        <f t="shared" si="6"/>
        <v>11.411802874309414</v>
      </c>
    </row>
    <row r="177" spans="3:15">
      <c r="C177" s="100">
        <v>4</v>
      </c>
      <c r="D177" s="100">
        <v>-1</v>
      </c>
      <c r="E177" s="100">
        <v>0</v>
      </c>
      <c r="F177" s="100">
        <v>-1</v>
      </c>
      <c r="G177" s="100">
        <v>115</v>
      </c>
      <c r="I177" s="100">
        <f t="shared" si="4"/>
        <v>0.99961708524951065</v>
      </c>
      <c r="J177" s="100"/>
      <c r="K177" s="100">
        <f t="shared" si="7"/>
        <v>4</v>
      </c>
      <c r="L177" s="100">
        <f t="shared" si="7"/>
        <v>-1</v>
      </c>
      <c r="M177" s="100">
        <f t="shared" si="7"/>
        <v>0</v>
      </c>
      <c r="N177" s="100">
        <f t="shared" si="7"/>
        <v>-1</v>
      </c>
      <c r="O177" s="99">
        <f t="shared" si="6"/>
        <v>112.96799896664386</v>
      </c>
    </row>
    <row r="178" spans="3:15">
      <c r="C178" s="100">
        <v>2</v>
      </c>
      <c r="D178" s="100">
        <v>-2</v>
      </c>
      <c r="E178" s="100">
        <v>0</v>
      </c>
      <c r="F178" s="100">
        <v>1</v>
      </c>
      <c r="G178" s="100">
        <v>107</v>
      </c>
      <c r="I178" s="100">
        <f t="shared" si="4"/>
        <v>0.99923431712272748</v>
      </c>
      <c r="J178" s="100"/>
      <c r="K178" s="100">
        <f t="shared" si="7"/>
        <v>2</v>
      </c>
      <c r="L178" s="100">
        <f t="shared" si="7"/>
        <v>-2</v>
      </c>
      <c r="M178" s="100">
        <f t="shared" si="7"/>
        <v>0</v>
      </c>
      <c r="N178" s="100">
        <f t="shared" si="7"/>
        <v>1</v>
      </c>
      <c r="O178" s="99">
        <f t="shared" si="6"/>
        <v>-1.3478238624594134</v>
      </c>
    </row>
    <row r="179" spans="3:15">
      <c r="G179" s="99"/>
      <c r="O179" s="99">
        <f>SUM(O119:O178)+D45</f>
        <v>1751203.57411583</v>
      </c>
    </row>
    <row r="180" spans="3:15">
      <c r="O180" s="99">
        <f>O179/1000000</f>
        <v>1.7512035741158301</v>
      </c>
    </row>
    <row r="186" spans="3:15">
      <c r="O186" s="99">
        <f>ACOS(0)*180/PI()</f>
        <v>90</v>
      </c>
    </row>
  </sheetData>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dimension ref="B3:J34"/>
  <sheetViews>
    <sheetView workbookViewId="0">
      <selection activeCell="F30" sqref="F30"/>
    </sheetView>
  </sheetViews>
  <sheetFormatPr defaultRowHeight="15"/>
  <cols>
    <col min="5" max="5" width="13.5703125" customWidth="1"/>
    <col min="6" max="6" width="14.42578125" customWidth="1"/>
    <col min="7" max="7" width="11.5703125" customWidth="1"/>
    <col min="9" max="9" width="14" customWidth="1"/>
    <col min="10" max="10" width="63.140625" customWidth="1"/>
  </cols>
  <sheetData>
    <row r="3" spans="2:10">
      <c r="G3">
        <v>29.530588999999999</v>
      </c>
      <c r="J3" t="s">
        <v>366</v>
      </c>
    </row>
    <row r="4" spans="2:10">
      <c r="G4">
        <f>29.530588853 + 0.000000002162*Summary!T3</f>
        <v>29.530593209430002</v>
      </c>
      <c r="J4" s="219"/>
    </row>
    <row r="5" spans="2:10">
      <c r="J5" s="219" t="s">
        <v>367</v>
      </c>
    </row>
    <row r="6" spans="2:10">
      <c r="J6" s="219" t="s">
        <v>368</v>
      </c>
    </row>
    <row r="7" spans="2:10">
      <c r="J7" s="219" t="s">
        <v>369</v>
      </c>
    </row>
    <row r="8" spans="2:10">
      <c r="J8" s="219" t="s">
        <v>370</v>
      </c>
    </row>
    <row r="9" spans="2:10">
      <c r="J9" s="219" t="s">
        <v>371</v>
      </c>
    </row>
    <row r="11" spans="2:10">
      <c r="H11" t="s">
        <v>383</v>
      </c>
      <c r="I11" t="s">
        <v>384</v>
      </c>
    </row>
    <row r="12" spans="2:10">
      <c r="B12">
        <v>1</v>
      </c>
      <c r="C12">
        <f>G$4*B12</f>
        <v>29.530593209430002</v>
      </c>
      <c r="E12" t="s">
        <v>330</v>
      </c>
      <c r="F12">
        <f>Summary!T3-1+((Summary!U3-1)*G4/F27)+(Summary!V3/F27)</f>
        <v>2014.2202833794129</v>
      </c>
      <c r="H12" t="s">
        <v>385</v>
      </c>
      <c r="I12" t="s">
        <v>386</v>
      </c>
    </row>
    <row r="13" spans="2:10">
      <c r="B13">
        <v>2</v>
      </c>
      <c r="C13">
        <f t="shared" ref="C13:C23" si="0">G$4*B13</f>
        <v>59.061186418860004</v>
      </c>
      <c r="E13" t="s">
        <v>148</v>
      </c>
      <c r="F13">
        <f>Summary!U3</f>
        <v>3</v>
      </c>
      <c r="H13" t="s">
        <v>387</v>
      </c>
      <c r="I13" t="s">
        <v>388</v>
      </c>
    </row>
    <row r="14" spans="2:10">
      <c r="B14">
        <v>3</v>
      </c>
      <c r="C14">
        <f t="shared" si="0"/>
        <v>88.591779628289999</v>
      </c>
      <c r="E14" t="s">
        <v>372</v>
      </c>
      <c r="F14">
        <f>Summary!V3</f>
        <v>19</v>
      </c>
      <c r="H14" t="s">
        <v>389</v>
      </c>
      <c r="I14" t="s">
        <v>390</v>
      </c>
    </row>
    <row r="15" spans="2:10">
      <c r="B15">
        <v>4</v>
      </c>
      <c r="C15">
        <f t="shared" si="0"/>
        <v>118.12237283772001</v>
      </c>
      <c r="H15" t="s">
        <v>391</v>
      </c>
      <c r="I15" t="s">
        <v>392</v>
      </c>
    </row>
    <row r="16" spans="2:10">
      <c r="B16">
        <v>5</v>
      </c>
      <c r="C16">
        <f t="shared" si="0"/>
        <v>147.65296604715002</v>
      </c>
      <c r="E16" t="s">
        <v>375</v>
      </c>
      <c r="F16">
        <v>622</v>
      </c>
      <c r="H16" t="s">
        <v>393</v>
      </c>
      <c r="I16" t="s">
        <v>394</v>
      </c>
    </row>
    <row r="17" spans="2:10">
      <c r="B17">
        <v>6</v>
      </c>
      <c r="C17">
        <f t="shared" si="0"/>
        <v>177.18355925658</v>
      </c>
      <c r="E17" t="s">
        <v>376</v>
      </c>
      <c r="F17">
        <v>16</v>
      </c>
    </row>
    <row r="18" spans="2:10">
      <c r="B18">
        <v>7</v>
      </c>
      <c r="C18">
        <f t="shared" si="0"/>
        <v>206.71415246601001</v>
      </c>
      <c r="E18" t="s">
        <v>376</v>
      </c>
      <c r="F18">
        <v>197</v>
      </c>
    </row>
    <row r="19" spans="2:10">
      <c r="B19">
        <v>8</v>
      </c>
      <c r="C19">
        <f t="shared" si="0"/>
        <v>236.24474567544002</v>
      </c>
    </row>
    <row r="20" spans="2:10">
      <c r="B20">
        <v>9</v>
      </c>
      <c r="C20">
        <f t="shared" si="0"/>
        <v>265.77533888487</v>
      </c>
    </row>
    <row r="21" spans="2:10">
      <c r="B21">
        <v>10</v>
      </c>
      <c r="C21">
        <f t="shared" si="0"/>
        <v>295.30593209430003</v>
      </c>
      <c r="F21">
        <f>F16+(F18/365.24222)</f>
        <v>622.5393680938638</v>
      </c>
    </row>
    <row r="22" spans="2:10">
      <c r="B22">
        <v>11</v>
      </c>
      <c r="C22">
        <f t="shared" si="0"/>
        <v>324.83652530373001</v>
      </c>
      <c r="F22">
        <f>F12*F28</f>
        <v>1954.2467951046929</v>
      </c>
      <c r="H22">
        <v>365.24222200000003</v>
      </c>
      <c r="I22">
        <v>29.530596060000001</v>
      </c>
    </row>
    <row r="23" spans="2:10">
      <c r="B23">
        <v>12</v>
      </c>
      <c r="C23">
        <f t="shared" si="0"/>
        <v>354.36711851315999</v>
      </c>
      <c r="F23">
        <f>SUM(F21:F22)</f>
        <v>2576.7861631985566</v>
      </c>
    </row>
    <row r="26" spans="2:10">
      <c r="E26" t="s">
        <v>378</v>
      </c>
      <c r="F26">
        <v>365.24221999999997</v>
      </c>
      <c r="G26">
        <v>365.24222200000003</v>
      </c>
      <c r="H26">
        <v>29</v>
      </c>
    </row>
    <row r="27" spans="2:10">
      <c r="E27" t="s">
        <v>396</v>
      </c>
      <c r="F27">
        <f>G4*12</f>
        <v>354.36711851315999</v>
      </c>
      <c r="H27">
        <v>12</v>
      </c>
      <c r="I27">
        <v>0.5</v>
      </c>
    </row>
    <row r="28" spans="2:10">
      <c r="E28" t="s">
        <v>380</v>
      </c>
      <c r="F28">
        <f>F27/F26</f>
        <v>0.97022496061150876</v>
      </c>
      <c r="H28">
        <v>44</v>
      </c>
      <c r="I28">
        <v>3.0555556000000001E-2</v>
      </c>
    </row>
    <row r="29" spans="2:10">
      <c r="E29" t="s">
        <v>395</v>
      </c>
      <c r="F29">
        <f>F23</f>
        <v>2576.7861631985566</v>
      </c>
      <c r="H29">
        <v>3.5</v>
      </c>
      <c r="I29" s="231">
        <v>4.0509300000000002E-5</v>
      </c>
    </row>
    <row r="30" spans="2:10">
      <c r="F30">
        <f>TRUNC(F29)</f>
        <v>2576</v>
      </c>
    </row>
    <row r="31" spans="2:10">
      <c r="F31">
        <f>F29-F30</f>
        <v>0.78616319855655092</v>
      </c>
    </row>
    <row r="32" spans="2:10">
      <c r="F32">
        <f>IF(DN!V7=29,ROUNDUP(F31*366,0),ROUNDUP(Miladi!F31*Miladi!F26,0))</f>
        <v>288</v>
      </c>
      <c r="J32">
        <f>IF(F34=2,"hh",1)</f>
        <v>1</v>
      </c>
    </row>
    <row r="34" spans="10:10">
      <c r="J34" s="90" t="str">
        <f>IF(F34=0,"Muharam",IF(F34=1,"Safar",IF(F34=2,"R abee Awal",IF(F34=3,"R abee Thanee",IF(F34=4,"J amadee Awal",IF(F34=5,"Jamadee Thanee",IF(F34=6,"Rajab",IF(F34=7,"Shaban",IF(F34=8,"Ramadan",IF(F34=9,"Shawwal",IF(F34=10,"Thel Qeada",IF(F34=11,"Thel Heja"))))))))))))</f>
        <v>Muharam</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dimension ref="A3:J36"/>
  <sheetViews>
    <sheetView topLeftCell="A17" workbookViewId="0">
      <selection activeCell="F28" sqref="F28"/>
    </sheetView>
  </sheetViews>
  <sheetFormatPr defaultRowHeight="15"/>
  <cols>
    <col min="5" max="5" width="13.5703125" customWidth="1"/>
    <col min="6" max="6" width="14.42578125" customWidth="1"/>
    <col min="7" max="7" width="11.5703125" customWidth="1"/>
    <col min="9" max="9" width="14" customWidth="1"/>
    <col min="10" max="10" width="63.140625" customWidth="1"/>
  </cols>
  <sheetData>
    <row r="3" spans="1:10">
      <c r="G3">
        <v>29.530588999999999</v>
      </c>
      <c r="J3" t="s">
        <v>366</v>
      </c>
    </row>
    <row r="4" spans="1:10">
      <c r="G4">
        <f>29.530588853 + 0.000000002162*Summary!T3</f>
        <v>29.530593209430002</v>
      </c>
      <c r="J4" s="219"/>
    </row>
    <row r="5" spans="1:10">
      <c r="J5" s="219" t="s">
        <v>367</v>
      </c>
    </row>
    <row r="6" spans="1:10">
      <c r="J6" s="219" t="s">
        <v>368</v>
      </c>
    </row>
    <row r="7" spans="1:10">
      <c r="J7" s="219" t="s">
        <v>369</v>
      </c>
    </row>
    <row r="8" spans="1:10">
      <c r="J8" s="219" t="s">
        <v>370</v>
      </c>
    </row>
    <row r="9" spans="1:10">
      <c r="J9" s="219" t="s">
        <v>371</v>
      </c>
    </row>
    <row r="11" spans="1:10">
      <c r="H11" t="s">
        <v>383</v>
      </c>
      <c r="I11" t="s">
        <v>384</v>
      </c>
    </row>
    <row r="12" spans="1:10">
      <c r="E12" t="s">
        <v>330</v>
      </c>
      <c r="F12">
        <f>Summary!T3+(DN!D15/365.2422)</f>
        <v>2015.2135569219547</v>
      </c>
      <c r="H12" t="s">
        <v>385</v>
      </c>
      <c r="I12" t="s">
        <v>386</v>
      </c>
    </row>
    <row r="13" spans="1:10">
      <c r="B13" t="s">
        <v>398</v>
      </c>
      <c r="E13" t="s">
        <v>148</v>
      </c>
      <c r="F13">
        <f>Summary!U3</f>
        <v>3</v>
      </c>
      <c r="H13" t="s">
        <v>387</v>
      </c>
      <c r="I13" t="s">
        <v>388</v>
      </c>
    </row>
    <row r="14" spans="1:10">
      <c r="B14" t="s">
        <v>399</v>
      </c>
      <c r="E14" t="s">
        <v>372</v>
      </c>
      <c r="F14">
        <f>Summary!V3</f>
        <v>19</v>
      </c>
      <c r="H14" t="s">
        <v>389</v>
      </c>
      <c r="I14" t="s">
        <v>390</v>
      </c>
    </row>
    <row r="15" spans="1:10">
      <c r="A15" t="s">
        <v>402</v>
      </c>
      <c r="B15" t="s">
        <v>400</v>
      </c>
      <c r="H15" t="s">
        <v>391</v>
      </c>
      <c r="I15" t="s">
        <v>392</v>
      </c>
    </row>
    <row r="16" spans="1:10">
      <c r="B16" t="s">
        <v>401</v>
      </c>
      <c r="E16" t="s">
        <v>375</v>
      </c>
      <c r="F16">
        <v>622</v>
      </c>
      <c r="H16" t="s">
        <v>393</v>
      </c>
      <c r="I16" t="s">
        <v>394</v>
      </c>
    </row>
    <row r="17" spans="2:10">
      <c r="E17" t="s">
        <v>376</v>
      </c>
      <c r="F17">
        <v>16</v>
      </c>
    </row>
    <row r="18" spans="2:10">
      <c r="E18" t="s">
        <v>376</v>
      </c>
      <c r="F18">
        <v>197</v>
      </c>
    </row>
    <row r="20" spans="2:10">
      <c r="C20" t="s">
        <v>404</v>
      </c>
    </row>
    <row r="21" spans="2:10">
      <c r="C21" t="s">
        <v>405</v>
      </c>
      <c r="F21">
        <f>F16+(F18/365.2422)</f>
        <v>622.53936812339862</v>
      </c>
    </row>
    <row r="22" spans="2:10">
      <c r="B22" t="s">
        <v>403</v>
      </c>
      <c r="C22" t="s">
        <v>406</v>
      </c>
      <c r="H22">
        <v>365.24222200000003</v>
      </c>
      <c r="I22">
        <v>29.530596060000001</v>
      </c>
    </row>
    <row r="23" spans="2:10">
      <c r="C23" t="s">
        <v>401</v>
      </c>
      <c r="E23" t="s">
        <v>377</v>
      </c>
      <c r="F23">
        <f>F12-F21</f>
        <v>1392.6741887985561</v>
      </c>
    </row>
    <row r="24" spans="2:10">
      <c r="E24" t="s">
        <v>378</v>
      </c>
      <c r="F24">
        <v>365.24222200000003</v>
      </c>
      <c r="G24">
        <v>365.24222200000003</v>
      </c>
      <c r="H24">
        <v>29</v>
      </c>
    </row>
    <row r="25" spans="2:10">
      <c r="E25" t="s">
        <v>379</v>
      </c>
      <c r="F25">
        <f>G4*12</f>
        <v>354.36711851315999</v>
      </c>
      <c r="H25">
        <v>12</v>
      </c>
      <c r="I25">
        <v>0.5</v>
      </c>
    </row>
    <row r="26" spans="2:10">
      <c r="E26" t="s">
        <v>380</v>
      </c>
      <c r="F26">
        <f>F25/F24</f>
        <v>0.97022495529873309</v>
      </c>
      <c r="H26">
        <v>44</v>
      </c>
      <c r="I26">
        <v>3.0555556000000001E-2</v>
      </c>
    </row>
    <row r="27" spans="2:10">
      <c r="E27" t="s">
        <v>381</v>
      </c>
      <c r="F27">
        <f>F23/F26+1</f>
        <v>1436.4136957544558</v>
      </c>
      <c r="H27">
        <v>3.5</v>
      </c>
      <c r="I27" s="231">
        <v>4.0509300000000002E-5</v>
      </c>
    </row>
    <row r="28" spans="2:10">
      <c r="F28">
        <f>TRUNC(F27)</f>
        <v>1436</v>
      </c>
    </row>
    <row r="29" spans="2:10">
      <c r="F29">
        <f>F27-F28</f>
        <v>0.41369575445582996</v>
      </c>
    </row>
    <row r="30" spans="2:10">
      <c r="F30">
        <f>F29*F25</f>
        <v>146.60017244764023</v>
      </c>
      <c r="J30">
        <f>IF(F32=2,"hh",1)</f>
        <v>1</v>
      </c>
    </row>
    <row r="31" spans="2:10">
      <c r="F31">
        <f>F30/(G4)</f>
        <v>4.9643490534699595</v>
      </c>
    </row>
    <row r="32" spans="2:10" ht="21">
      <c r="F32">
        <f>TRUNC(F31)</f>
        <v>4</v>
      </c>
      <c r="J32" s="233" t="str">
        <f>IF(F32=0,"Muharam",IF(F32=1,"Safar",IF(F32=2,"Rabee Awal",IF(F32=3,"Rabee Thanee",IF(F32=4,"Jamadee Awal",IF(F32=5,"Jamadee Thanee",IF(F32=6,"Rajab",IF(F32=7,"Shaban",IF(F32=8,"Ramadan",IF(F32=9,"Shawwal",IF(F32=10,"Thel Qeada",IF(F32=11,"Thel Heja"))))))))))))</f>
        <v>Jamadee Awal</v>
      </c>
    </row>
    <row r="33" spans="6:6">
      <c r="F33">
        <f>F31-F32</f>
        <v>0.96434905346995947</v>
      </c>
    </row>
    <row r="34" spans="6:6">
      <c r="F34">
        <f>F33*G4</f>
        <v>28.477799609920236</v>
      </c>
    </row>
    <row r="35" spans="6:6">
      <c r="F35">
        <f>ROUNDUP(F34,0)</f>
        <v>29</v>
      </c>
    </row>
    <row r="36" spans="6:6">
      <c r="F36">
        <f>F34-F35</f>
        <v>-0.52220039007976382</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dimension ref="C4:V18"/>
  <sheetViews>
    <sheetView topLeftCell="C5" workbookViewId="0">
      <selection activeCell="P7" sqref="P7"/>
    </sheetView>
  </sheetViews>
  <sheetFormatPr defaultRowHeight="15"/>
  <cols>
    <col min="3" max="3" width="6.28515625" bestFit="1" customWidth="1"/>
    <col min="8" max="8" width="13.85546875" bestFit="1" customWidth="1"/>
    <col min="16" max="16" width="31.7109375" customWidth="1"/>
  </cols>
  <sheetData>
    <row r="4" spans="3:22">
      <c r="H4" t="s">
        <v>397</v>
      </c>
    </row>
    <row r="6" spans="3:22" ht="21">
      <c r="C6" s="135" t="s">
        <v>184</v>
      </c>
      <c r="D6" s="135">
        <f>Summary!T3</f>
        <v>2015</v>
      </c>
      <c r="G6" s="135" t="s">
        <v>184</v>
      </c>
      <c r="H6" s="135">
        <f>Hijri!F28</f>
        <v>1436</v>
      </c>
      <c r="K6">
        <f>Hijri!F30</f>
        <v>146.60017244764023</v>
      </c>
      <c r="L6">
        <v>1</v>
      </c>
      <c r="M6">
        <v>29.530591951146</v>
      </c>
      <c r="O6" s="135" t="s">
        <v>184</v>
      </c>
      <c r="P6" s="135">
        <f>Miladi!F30</f>
        <v>2576</v>
      </c>
      <c r="R6">
        <f>P6/4</f>
        <v>644</v>
      </c>
      <c r="S6">
        <f>TRUNC(Miladi!F32)</f>
        <v>288</v>
      </c>
      <c r="T6">
        <v>1</v>
      </c>
      <c r="U6">
        <f>V6</f>
        <v>31</v>
      </c>
      <c r="V6">
        <v>31</v>
      </c>
    </row>
    <row r="7" spans="3:22" ht="21">
      <c r="C7" s="220" t="s">
        <v>185</v>
      </c>
      <c r="D7" s="220">
        <f>Summary!U3</f>
        <v>3</v>
      </c>
      <c r="G7" s="220" t="s">
        <v>185</v>
      </c>
      <c r="H7" s="220">
        <f>IF(K6&lt;M6,1,IF(K6&lt;M7,2,IF(K6&lt;M8,3,IF(K6&lt;M9,4,IF(K6&lt;M10,5,IF(K6&lt;M11,6,IF(K6&lt;M12,7,IF(K6&lt;M13,8,IF(K6&lt;M14,9,IF(K6&lt;M15,10,IF(K6&lt;M16,11,IF(K6&lt;M17,12))))))))))))</f>
        <v>5</v>
      </c>
      <c r="L7">
        <v>2</v>
      </c>
      <c r="M7">
        <v>59.061183902292001</v>
      </c>
      <c r="O7" s="220" t="s">
        <v>185</v>
      </c>
      <c r="P7" s="220">
        <f>IF(S6&lt;U6+1,1,IF(S6&lt;U7+1,2,IF(S6&lt;U8+1,3,IF(S6&lt;U9+1,4,IF(S6&lt;U10+1,5,IF(S6&lt;U11+1,6,IF(S6&lt;U12+1,7,IF(S6&lt;U13+1,8,IF(S6&lt;U14+1,9,IF(S6&lt;U15+1,10,IF(S6&lt;U16+1,11,IF(S6&lt;U17+1,12))))))))))))</f>
        <v>10</v>
      </c>
      <c r="R7">
        <f>TRUNC(R6)</f>
        <v>644</v>
      </c>
      <c r="T7">
        <v>2</v>
      </c>
      <c r="U7">
        <f>U6+V7</f>
        <v>60</v>
      </c>
      <c r="V7">
        <f>IF(R8=0,29,28)</f>
        <v>29</v>
      </c>
    </row>
    <row r="8" spans="3:22" ht="23.25">
      <c r="C8" s="221" t="s">
        <v>154</v>
      </c>
      <c r="D8" s="221">
        <f>Summary!V3</f>
        <v>19</v>
      </c>
      <c r="G8" s="221" t="s">
        <v>154</v>
      </c>
      <c r="H8" s="221">
        <f>ROUNDUP((K6-(H7-1)*Miladi!G4),0)</f>
        <v>29</v>
      </c>
      <c r="L8">
        <v>3</v>
      </c>
      <c r="M8">
        <v>88.591775853438008</v>
      </c>
      <c r="O8" s="221" t="s">
        <v>154</v>
      </c>
      <c r="P8" s="221">
        <f>IF(P7=1,S6,IF(P7=2,S6-U6,IF(P7=3,S6-U7,IF(P7=4,S6-U8,IF(P7=5,S6-U9,IF(P7=6,S6-U10,IF(P7=7,S6-U11,IF(P7=8,S6-U12,IF(P7=9,S6-U13,IF(P7=10,S6-U14,IF(P7=11,S6-U15,IF(P7=12,S6-U16))))))))))))</f>
        <v>14</v>
      </c>
      <c r="R8">
        <f>R6-R7</f>
        <v>0</v>
      </c>
      <c r="T8">
        <v>3</v>
      </c>
      <c r="U8">
        <f t="shared" ref="U8:U17" si="0">U7+V8</f>
        <v>91</v>
      </c>
      <c r="V8">
        <v>31</v>
      </c>
    </row>
    <row r="9" spans="3:22">
      <c r="C9" t="s">
        <v>373</v>
      </c>
      <c r="D9">
        <f>D14</f>
        <v>2</v>
      </c>
      <c r="G9" t="s">
        <v>373</v>
      </c>
      <c r="H9">
        <f>H14</f>
        <v>1</v>
      </c>
      <c r="L9">
        <v>4</v>
      </c>
      <c r="M9">
        <v>118.122367804584</v>
      </c>
      <c r="O9" t="s">
        <v>373</v>
      </c>
      <c r="P9">
        <f>P14</f>
        <v>1</v>
      </c>
      <c r="T9">
        <v>4</v>
      </c>
      <c r="U9">
        <f t="shared" si="0"/>
        <v>121</v>
      </c>
      <c r="V9">
        <v>30</v>
      </c>
    </row>
    <row r="10" spans="3:22">
      <c r="L10">
        <v>5</v>
      </c>
      <c r="M10">
        <v>147.65295975573</v>
      </c>
      <c r="T10">
        <v>5</v>
      </c>
      <c r="U10">
        <f t="shared" si="0"/>
        <v>152</v>
      </c>
      <c r="V10">
        <v>31</v>
      </c>
    </row>
    <row r="11" spans="3:22">
      <c r="D11">
        <f>D6/4</f>
        <v>503.75</v>
      </c>
      <c r="H11">
        <f>H6/4</f>
        <v>359</v>
      </c>
      <c r="L11">
        <v>6</v>
      </c>
      <c r="M11">
        <v>177.18355170687602</v>
      </c>
      <c r="P11">
        <f>P6/4</f>
        <v>644</v>
      </c>
      <c r="T11">
        <v>6</v>
      </c>
      <c r="U11">
        <f t="shared" si="0"/>
        <v>182</v>
      </c>
      <c r="V11">
        <v>30</v>
      </c>
    </row>
    <row r="12" spans="3:22">
      <c r="D12">
        <f>TRUNC(D11)</f>
        <v>503</v>
      </c>
      <c r="H12">
        <f>TRUNC(H11)</f>
        <v>359</v>
      </c>
      <c r="L12">
        <v>7</v>
      </c>
      <c r="M12">
        <v>206.71414365802201</v>
      </c>
      <c r="P12">
        <f>TRUNC(P11)</f>
        <v>644</v>
      </c>
      <c r="T12">
        <v>7</v>
      </c>
      <c r="U12">
        <f t="shared" si="0"/>
        <v>213</v>
      </c>
      <c r="V12">
        <v>31</v>
      </c>
    </row>
    <row r="13" spans="3:22">
      <c r="D13">
        <f>D11-D12</f>
        <v>0.75</v>
      </c>
      <c r="H13">
        <f>H11-H12</f>
        <v>0</v>
      </c>
      <c r="L13">
        <v>8</v>
      </c>
      <c r="M13">
        <v>236.244735609168</v>
      </c>
      <c r="P13">
        <f>P11-P12</f>
        <v>0</v>
      </c>
      <c r="T13">
        <v>8</v>
      </c>
      <c r="U13">
        <f t="shared" si="0"/>
        <v>244</v>
      </c>
      <c r="V13">
        <v>31</v>
      </c>
    </row>
    <row r="14" spans="3:22">
      <c r="D14">
        <f>IF(D13&gt;0.0001,2,1)</f>
        <v>2</v>
      </c>
      <c r="H14">
        <f>IF(H13&gt;0.0001,2,1)</f>
        <v>1</v>
      </c>
      <c r="L14">
        <v>9</v>
      </c>
      <c r="M14">
        <v>265.775327560314</v>
      </c>
      <c r="P14">
        <f>IF(P13&gt;0.0001,2,1)</f>
        <v>1</v>
      </c>
      <c r="T14">
        <v>9</v>
      </c>
      <c r="U14">
        <f t="shared" si="0"/>
        <v>274</v>
      </c>
      <c r="V14">
        <v>30</v>
      </c>
    </row>
    <row r="15" spans="3:22" ht="28.5">
      <c r="C15" s="222" t="s">
        <v>374</v>
      </c>
      <c r="D15" s="223">
        <f>INT(275*D7/9)-D9*INT((D7+9)/12)+D8-30</f>
        <v>78</v>
      </c>
      <c r="G15" s="222" t="s">
        <v>374</v>
      </c>
      <c r="H15" s="223">
        <f>INT(275*H7/9)-H9*INT((H7+9)/12)+H8-30</f>
        <v>150</v>
      </c>
      <c r="L15">
        <v>10</v>
      </c>
      <c r="M15">
        <v>295.30591951145999</v>
      </c>
      <c r="O15" s="222" t="s">
        <v>374</v>
      </c>
      <c r="P15" s="223">
        <f>INT(275*P7/9)-P9*INT((P7+9)/12)+P8-30</f>
        <v>288</v>
      </c>
      <c r="T15">
        <v>10</v>
      </c>
      <c r="U15">
        <f t="shared" si="0"/>
        <v>305</v>
      </c>
      <c r="V15">
        <v>31</v>
      </c>
    </row>
    <row r="16" spans="3:22">
      <c r="L16">
        <v>11</v>
      </c>
      <c r="M16">
        <v>324.83651146260598</v>
      </c>
      <c r="T16">
        <v>11</v>
      </c>
      <c r="U16">
        <f t="shared" si="0"/>
        <v>335</v>
      </c>
      <c r="V16">
        <v>30</v>
      </c>
    </row>
    <row r="17" spans="12:22">
      <c r="L17">
        <v>12</v>
      </c>
      <c r="M17">
        <v>354.36710341375203</v>
      </c>
      <c r="T17">
        <v>12</v>
      </c>
      <c r="U17">
        <f t="shared" si="0"/>
        <v>366</v>
      </c>
      <c r="V17">
        <v>31</v>
      </c>
    </row>
    <row r="18" spans="12:22" ht="23.25">
      <c r="O18" s="221" t="s">
        <v>154</v>
      </c>
      <c r="P18" s="232">
        <f>IF(P15=S6,P8,IF(P8=1,"one day less in previous month",P8-1))</f>
        <v>14</v>
      </c>
    </row>
  </sheetData>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dimension ref="D2:M29"/>
  <sheetViews>
    <sheetView workbookViewId="0">
      <selection activeCell="E6" sqref="E6"/>
    </sheetView>
  </sheetViews>
  <sheetFormatPr defaultRowHeight="15"/>
  <cols>
    <col min="5" max="5" width="33.7109375" customWidth="1"/>
    <col min="8" max="8" width="17.140625" customWidth="1"/>
    <col min="9" max="9" width="18.7109375" customWidth="1"/>
  </cols>
  <sheetData>
    <row r="2" spans="4:13">
      <c r="E2" s="102" t="s">
        <v>252</v>
      </c>
      <c r="F2" s="102" t="s">
        <v>253</v>
      </c>
      <c r="G2" s="102" t="s">
        <v>159</v>
      </c>
      <c r="I2" s="102" t="s">
        <v>257</v>
      </c>
      <c r="J2" s="102" t="s">
        <v>32</v>
      </c>
      <c r="K2" s="102" t="s">
        <v>258</v>
      </c>
      <c r="L2" s="102" t="s">
        <v>255</v>
      </c>
      <c r="M2" s="102" t="s">
        <v>256</v>
      </c>
    </row>
    <row r="3" spans="4:13" ht="21">
      <c r="E3" s="224">
        <f>Summary!T3</f>
        <v>2015</v>
      </c>
      <c r="F3" s="225">
        <f>Summary!U3</f>
        <v>3</v>
      </c>
      <c r="G3" s="226">
        <f>Summary!V3</f>
        <v>19</v>
      </c>
      <c r="H3">
        <f>G3+I4+J4+K4</f>
        <v>19.82210648148148</v>
      </c>
      <c r="I3" s="227">
        <f>Summary!X3</f>
        <v>19</v>
      </c>
      <c r="J3" s="227">
        <f>Summary!Y3</f>
        <v>43</v>
      </c>
      <c r="K3" s="227">
        <f>Summary!Z3</f>
        <v>50</v>
      </c>
      <c r="L3" s="227">
        <f>Summary!AA3</f>
        <v>35</v>
      </c>
      <c r="M3" s="227">
        <f>Summary!AB3</f>
        <v>32</v>
      </c>
    </row>
    <row r="4" spans="4:13">
      <c r="E4" s="102">
        <f>IF(F3=2,E3-1,IF(F3=1,E3-1,E3))</f>
        <v>2015</v>
      </c>
      <c r="F4" s="102">
        <f>IF(F3=1,F3+12,IF(F3=2,F3+12,F3))</f>
        <v>3</v>
      </c>
      <c r="G4" s="102">
        <f>IF(H3&lt;3,G3,H3)</f>
        <v>19.82210648148148</v>
      </c>
      <c r="I4" s="102">
        <f>I3/24</f>
        <v>0.79166666666666663</v>
      </c>
      <c r="J4" s="102">
        <f>J3/(24*60)</f>
        <v>2.9861111111111113E-2</v>
      </c>
      <c r="K4" s="102">
        <f>(K3)/(24*3600)</f>
        <v>5.7870370370370367E-4</v>
      </c>
      <c r="L4" s="102"/>
      <c r="M4" s="102"/>
    </row>
    <row r="6" spans="4:13" ht="26.25">
      <c r="D6" s="228" t="str">
        <f>'[2]Calander day'!C49</f>
        <v>Day=</v>
      </c>
      <c r="E6" s="229" t="str">
        <f>'D-week'!D49</f>
        <v>Thursday</v>
      </c>
    </row>
    <row r="10" spans="4:13">
      <c r="D10" t="s">
        <v>259</v>
      </c>
      <c r="E10">
        <f>INT(E4/100)</f>
        <v>20</v>
      </c>
    </row>
    <row r="11" spans="4:13">
      <c r="D11" t="s">
        <v>260</v>
      </c>
      <c r="E11">
        <f>IF(E3&lt;1582,0,2-E10+INT(E10/4))</f>
        <v>-13</v>
      </c>
    </row>
    <row r="12" spans="4:13" ht="28.5">
      <c r="D12" s="104" t="s">
        <v>128</v>
      </c>
      <c r="E12" s="105">
        <f>INT(365.25*(E4+4716))+INT(30.6001*(F4+1))+G4+E11-1524.5</f>
        <v>2457101.3221064815</v>
      </c>
    </row>
    <row r="15" spans="4:13" ht="15.75">
      <c r="H15" s="103"/>
    </row>
    <row r="16" spans="4:13" ht="15.75">
      <c r="H16" s="103"/>
    </row>
    <row r="17" spans="4:13" ht="15.75">
      <c r="H17" s="103"/>
    </row>
    <row r="19" spans="4:13">
      <c r="E19" s="102" t="s">
        <v>252</v>
      </c>
      <c r="F19" s="102" t="s">
        <v>253</v>
      </c>
      <c r="G19" s="102" t="s">
        <v>159</v>
      </c>
      <c r="I19" s="102" t="s">
        <v>257</v>
      </c>
      <c r="J19" s="102" t="s">
        <v>32</v>
      </c>
      <c r="K19" s="102" t="s">
        <v>258</v>
      </c>
      <c r="L19" s="102" t="s">
        <v>255</v>
      </c>
      <c r="M19" s="102" t="s">
        <v>256</v>
      </c>
    </row>
    <row r="20" spans="4:13">
      <c r="E20" s="102">
        <v>2015</v>
      </c>
      <c r="F20" s="102">
        <v>6</v>
      </c>
      <c r="G20" s="102">
        <v>6</v>
      </c>
      <c r="H20">
        <f>G20+I21+J21+K21</f>
        <v>6.1819444444444445</v>
      </c>
      <c r="I20" s="102">
        <v>4</v>
      </c>
      <c r="J20" s="102">
        <v>22</v>
      </c>
      <c r="K20" s="102">
        <f>[3]D!M4</f>
        <v>0</v>
      </c>
      <c r="L20" s="102">
        <v>35.04</v>
      </c>
      <c r="M20" s="102">
        <v>32.200000000000003</v>
      </c>
    </row>
    <row r="21" spans="4:13">
      <c r="E21" s="102">
        <f>IF(F20&lt;3,E20-1,E20)</f>
        <v>2015</v>
      </c>
      <c r="F21" s="102">
        <f>IF(F20&lt;3,F20+12,F20)</f>
        <v>6</v>
      </c>
      <c r="G21" s="102">
        <f>IF(H20&lt;3,G20,H20)</f>
        <v>6.1819444444444445</v>
      </c>
      <c r="I21" s="102">
        <f>I20/24</f>
        <v>0.16666666666666666</v>
      </c>
      <c r="J21" s="102">
        <f>J20/(24*60)</f>
        <v>1.5277777777777777E-2</v>
      </c>
      <c r="K21" s="102">
        <f>(K20)/(24*3600)</f>
        <v>0</v>
      </c>
      <c r="L21" s="102"/>
      <c r="M21" s="102"/>
    </row>
    <row r="27" spans="4:13">
      <c r="D27" t="s">
        <v>259</v>
      </c>
      <c r="E27">
        <f>INT(E21/100)</f>
        <v>20</v>
      </c>
    </row>
    <row r="28" spans="4:13">
      <c r="D28" t="s">
        <v>260</v>
      </c>
      <c r="E28">
        <f>2-E27+INT(E27/4)</f>
        <v>-13</v>
      </c>
    </row>
    <row r="29" spans="4:13" ht="28.5">
      <c r="D29" s="104" t="s">
        <v>128</v>
      </c>
      <c r="E29" s="105">
        <f>INT(365.25*(E21+4716))+INT(30.6001*(F21+1))+G21+E28-1524.5</f>
        <v>2457179.6819444443</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B6:I49"/>
  <sheetViews>
    <sheetView workbookViewId="0">
      <selection activeCell="C6" sqref="C6"/>
    </sheetView>
  </sheetViews>
  <sheetFormatPr defaultRowHeight="15"/>
  <cols>
    <col min="2" max="2" width="10.7109375" customWidth="1"/>
    <col min="3" max="3" width="11" customWidth="1"/>
    <col min="4" max="4" width="19.7109375" customWidth="1"/>
    <col min="7" max="7" width="8.85546875" customWidth="1"/>
    <col min="8" max="8" width="11.5703125" bestFit="1" customWidth="1"/>
  </cols>
  <sheetData>
    <row r="6" spans="3:9">
      <c r="C6" t="str">
        <f>[2]meeus!D12</f>
        <v>JD=</v>
      </c>
      <c r="D6" s="152">
        <f>day!E12</f>
        <v>2457101.3221064815</v>
      </c>
    </row>
    <row r="7" spans="3:9">
      <c r="C7" t="s">
        <v>321</v>
      </c>
      <c r="D7" s="152">
        <f>D6+0.5</f>
        <v>2457101.8221064815</v>
      </c>
    </row>
    <row r="8" spans="3:9">
      <c r="C8" t="s">
        <v>322</v>
      </c>
      <c r="D8" s="152">
        <f>TRUNC(D7)</f>
        <v>2457101</v>
      </c>
    </row>
    <row r="9" spans="3:9">
      <c r="C9" t="s">
        <v>138</v>
      </c>
      <c r="D9" s="152">
        <f>D7-D8</f>
        <v>0.82210648152977228</v>
      </c>
    </row>
    <row r="10" spans="3:9">
      <c r="D10" s="102"/>
    </row>
    <row r="11" spans="3:9">
      <c r="C11" t="s">
        <v>323</v>
      </c>
      <c r="D11" s="102">
        <f>INT((D8-1867216.25)/36524.25)</f>
        <v>16</v>
      </c>
      <c r="H11" s="125"/>
    </row>
    <row r="12" spans="3:9">
      <c r="C12" t="s">
        <v>259</v>
      </c>
      <c r="D12" s="102">
        <f>D8+1+D11-INT(D11/4)</f>
        <v>2457114</v>
      </c>
    </row>
    <row r="13" spans="3:9">
      <c r="C13" t="s">
        <v>259</v>
      </c>
      <c r="D13" s="102">
        <f>IF(D8&lt;2299161,D8,D12)</f>
        <v>2457114</v>
      </c>
    </row>
    <row r="14" spans="3:9">
      <c r="D14" s="102"/>
      <c r="I14">
        <v>1582</v>
      </c>
    </row>
    <row r="15" spans="3:9">
      <c r="C15" t="s">
        <v>260</v>
      </c>
      <c r="D15" s="102">
        <f>D13+1524</f>
        <v>2458638</v>
      </c>
    </row>
    <row r="16" spans="3:9">
      <c r="C16" t="s">
        <v>324</v>
      </c>
      <c r="D16" s="102">
        <f>INT((D15-122.1)/365.25)</f>
        <v>6731</v>
      </c>
    </row>
    <row r="17" spans="2:4">
      <c r="C17" t="s">
        <v>154</v>
      </c>
      <c r="D17" s="102">
        <f>INT(365.25*D16)</f>
        <v>2458497</v>
      </c>
    </row>
    <row r="18" spans="2:4">
      <c r="C18" t="s">
        <v>143</v>
      </c>
      <c r="D18" s="102">
        <f>INT((D15-D17)/30.6001)</f>
        <v>4</v>
      </c>
    </row>
    <row r="19" spans="2:4">
      <c r="D19" s="102"/>
    </row>
    <row r="20" spans="2:4">
      <c r="D20" s="102"/>
    </row>
    <row r="21" spans="2:4">
      <c r="B21" t="s">
        <v>325</v>
      </c>
      <c r="D21" s="152">
        <f>D15-D17-INT(30.6001*D18)+D9</f>
        <v>19.822106481529772</v>
      </c>
    </row>
    <row r="22" spans="2:4">
      <c r="D22" s="152">
        <f>TRUNC(D21)</f>
        <v>19</v>
      </c>
    </row>
    <row r="23" spans="2:4">
      <c r="D23" s="152">
        <f>(D21-D22)*24</f>
        <v>19.730555556714535</v>
      </c>
    </row>
    <row r="24" spans="2:4">
      <c r="D24" s="153">
        <f>TRUNC(D23)</f>
        <v>19</v>
      </c>
    </row>
    <row r="25" spans="2:4">
      <c r="D25" s="153">
        <f>(D23-D24)*60.00001</f>
        <v>43.833340708427656</v>
      </c>
    </row>
    <row r="26" spans="2:4">
      <c r="D26" s="230">
        <f>TRUNC(D25)</f>
        <v>43</v>
      </c>
    </row>
    <row r="27" spans="2:4">
      <c r="D27" s="230">
        <f>(D25-D26)*60</f>
        <v>50.00044250565935</v>
      </c>
    </row>
    <row r="30" spans="2:4">
      <c r="B30" t="s">
        <v>326</v>
      </c>
      <c r="D30">
        <f>IF(D18&lt;14,D18-1,IF(D18=14,D18-13, IF(D18=15,D18-13)))</f>
        <v>3</v>
      </c>
    </row>
    <row r="33" spans="2:4">
      <c r="B33" t="s">
        <v>327</v>
      </c>
      <c r="D33">
        <f>IF(D30&gt;2,D16-4716,IF(D30=2,D16-4715,IF(D30=1,D16-4715)))</f>
        <v>2015</v>
      </c>
    </row>
    <row r="36" spans="2:4" ht="18.75">
      <c r="C36" s="154" t="s">
        <v>328</v>
      </c>
      <c r="D36" s="155">
        <f>TIME(D24,D26,D27)</f>
        <v>0.82210648148148147</v>
      </c>
    </row>
    <row r="37" spans="2:4" ht="18.75">
      <c r="C37" s="156" t="s">
        <v>329</v>
      </c>
      <c r="D37" s="157">
        <f>D22</f>
        <v>19</v>
      </c>
    </row>
    <row r="38" spans="2:4" ht="18.75">
      <c r="C38" s="158" t="s">
        <v>296</v>
      </c>
      <c r="D38" s="159">
        <f>D30</f>
        <v>3</v>
      </c>
    </row>
    <row r="39" spans="2:4" ht="18.75">
      <c r="C39" s="160" t="s">
        <v>330</v>
      </c>
      <c r="D39" s="161">
        <f>D33</f>
        <v>2015</v>
      </c>
    </row>
    <row r="43" spans="2:4">
      <c r="C43" s="102" t="s">
        <v>128</v>
      </c>
      <c r="D43" s="152">
        <f>D6</f>
        <v>2457101.3221064815</v>
      </c>
    </row>
    <row r="44" spans="2:4">
      <c r="C44" s="102" t="s">
        <v>331</v>
      </c>
      <c r="D44" s="152">
        <f>D43+1.5</f>
        <v>2457102.8221064815</v>
      </c>
    </row>
    <row r="45" spans="2:4">
      <c r="C45" s="102"/>
      <c r="D45" s="102">
        <f>D44/7</f>
        <v>351014.68887235451</v>
      </c>
    </row>
    <row r="46" spans="2:4">
      <c r="C46" s="102"/>
      <c r="D46" s="102">
        <f>TRUNC(D45)</f>
        <v>351014</v>
      </c>
    </row>
    <row r="47" spans="2:4">
      <c r="C47" s="102"/>
      <c r="D47" s="102">
        <f>D45-D46</f>
        <v>0.68887235451256856</v>
      </c>
    </row>
    <row r="48" spans="2:4">
      <c r="C48" s="102"/>
      <c r="D48" s="102">
        <f>TRUNC(D47*7.001)</f>
        <v>4</v>
      </c>
    </row>
    <row r="49" spans="3:4" ht="23.25">
      <c r="C49" s="162" t="s">
        <v>329</v>
      </c>
      <c r="D49" s="163" t="str">
        <f>IF(D48=0,"Sunday",IF(D48=1,"Monday",IF(D48=2,"Tuesday",IF(D48=3,"Wedenesday",IF(D48=4,"Thursday",IF(D48=5,"Friday",IF(D48=6,"Saturday")))))))</f>
        <v>Thursday</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J6:X111"/>
  <sheetViews>
    <sheetView topLeftCell="A12" zoomScale="81" zoomScaleNormal="81" workbookViewId="0">
      <selection activeCell="K21" sqref="K21"/>
    </sheetView>
  </sheetViews>
  <sheetFormatPr defaultRowHeight="15"/>
  <cols>
    <col min="11" max="11" width="29" customWidth="1"/>
    <col min="24" max="24" width="13.7109375" bestFit="1" customWidth="1"/>
  </cols>
  <sheetData>
    <row r="6" spans="10:24">
      <c r="J6" t="s">
        <v>125</v>
      </c>
      <c r="K6">
        <f>ROUND((Summary!T3+DN!D15/365-2000.03)*13.3686,0)</f>
        <v>203</v>
      </c>
    </row>
    <row r="7" spans="10:24">
      <c r="W7" t="str">
        <f>J21</f>
        <v>JDE=</v>
      </c>
      <c r="X7" s="152">
        <f>K21</f>
        <v>2457108.1043285159</v>
      </c>
    </row>
    <row r="8" spans="10:24">
      <c r="J8" t="s">
        <v>152</v>
      </c>
      <c r="K8">
        <f>K6/1336.86</f>
        <v>0.15184836108493038</v>
      </c>
      <c r="W8" t="s">
        <v>321</v>
      </c>
      <c r="X8" s="152">
        <f>X7+0.5</f>
        <v>2457108.6043285159</v>
      </c>
    </row>
    <row r="9" spans="10:24">
      <c r="W9" t="s">
        <v>322</v>
      </c>
      <c r="X9" s="152">
        <f>TRUNC(X8)</f>
        <v>2457108</v>
      </c>
    </row>
    <row r="10" spans="10:24">
      <c r="W10" t="s">
        <v>138</v>
      </c>
      <c r="X10" s="152">
        <f>X8-X9</f>
        <v>0.6043285159394145</v>
      </c>
    </row>
    <row r="11" spans="10:24">
      <c r="X11" s="102"/>
    </row>
    <row r="12" spans="10:24">
      <c r="W12" t="s">
        <v>323</v>
      </c>
      <c r="X12" s="102">
        <f>INT((X9-1867216.25)/36524.25)</f>
        <v>16</v>
      </c>
    </row>
    <row r="13" spans="10:24">
      <c r="J13" t="s">
        <v>154</v>
      </c>
      <c r="K13">
        <f>MOD(152.2029+333.0705546*K6-0.0004025*K8^2+0.00000011*K8^3,360)</f>
        <v>85.525474519556155</v>
      </c>
      <c r="W13" t="s">
        <v>259</v>
      </c>
      <c r="X13" s="102">
        <f>X9+1+X12-INT(X12/4)</f>
        <v>2457121</v>
      </c>
    </row>
    <row r="14" spans="10:24">
      <c r="J14" t="s">
        <v>136</v>
      </c>
      <c r="K14">
        <f>MOD(14.8591+26.9281592*K6-0.0000544*K8^2-0.0000001*K8^3,360)</f>
        <v>81.275416345298254</v>
      </c>
      <c r="W14" t="s">
        <v>259</v>
      </c>
      <c r="X14" s="102">
        <f>IF(X9&lt;2299161,X9,X13)</f>
        <v>2457121</v>
      </c>
    </row>
    <row r="15" spans="10:24">
      <c r="J15" t="s">
        <v>155</v>
      </c>
      <c r="K15">
        <f>MOD(4.6881+356.9562795*K6+0.0103126*K8^2+0.00001251*K8^3,360)</f>
        <v>106.81307633096003</v>
      </c>
      <c r="X15" s="102"/>
    </row>
    <row r="16" spans="10:24">
      <c r="J16" t="s">
        <v>138</v>
      </c>
      <c r="K16">
        <f>MOD(325.8867+1.4467806*K6-0.0020708*K8^2-0.00000215*K8^3,360)</f>
        <v>259.58311404412154</v>
      </c>
      <c r="W16" t="s">
        <v>260</v>
      </c>
      <c r="X16" s="102">
        <f>X14+1524</f>
        <v>2458645</v>
      </c>
    </row>
    <row r="17" spans="10:24">
      <c r="J17" t="s">
        <v>143</v>
      </c>
      <c r="K17">
        <f>1-0.002516*K8-0.0000074*K8^2</f>
        <v>0.99961777889486714</v>
      </c>
      <c r="W17" t="s">
        <v>324</v>
      </c>
      <c r="X17" s="102">
        <f>INT((X16-122.1)/365.25)</f>
        <v>6731</v>
      </c>
    </row>
    <row r="18" spans="10:24">
      <c r="W18" t="s">
        <v>154</v>
      </c>
      <c r="X18" s="102">
        <f>INT(365.25*X17)</f>
        <v>2458497</v>
      </c>
    </row>
    <row r="19" spans="10:24">
      <c r="W19" t="s">
        <v>143</v>
      </c>
      <c r="X19" s="102">
        <f>INT((X16-X18)/30.6001)</f>
        <v>4</v>
      </c>
    </row>
    <row r="20" spans="10:24">
      <c r="X20" s="102"/>
    </row>
    <row r="21" spans="10:24">
      <c r="J21" t="s">
        <v>153</v>
      </c>
      <c r="K21" s="236">
        <f>2451562.5897+27.321582241*K6+0.000100695*K8^2-0.0000000141*K8^3+Q66</f>
        <v>2457108.1043285159</v>
      </c>
      <c r="N21" t="s">
        <v>408</v>
      </c>
      <c r="X21" s="102"/>
    </row>
    <row r="22" spans="10:24">
      <c r="N22">
        <v>0.89749999999999996</v>
      </c>
      <c r="P22">
        <f>COS(K16*PI()/180)</f>
        <v>-0.18080901119144768</v>
      </c>
      <c r="Q22">
        <f>N22*P22</f>
        <v>-0.16227608754432429</v>
      </c>
      <c r="V22" t="s">
        <v>325</v>
      </c>
      <c r="X22" s="152">
        <f>X16-X18-INT(30.6001*X19)+X10</f>
        <v>26.604328515939415</v>
      </c>
    </row>
    <row r="23" spans="10:24">
      <c r="J23" t="s">
        <v>318</v>
      </c>
      <c r="K23">
        <f>23.6961-0.013004*K8+P111</f>
        <v>18.241143659271444</v>
      </c>
      <c r="N23">
        <v>-0.47260000000000002</v>
      </c>
      <c r="P23">
        <f>SIN(K15*PI()/180)</f>
        <v>0.9572535083105147</v>
      </c>
      <c r="Q23">
        <f t="shared" ref="Q23:Q65" si="0">N23*P23</f>
        <v>-0.45239800802754926</v>
      </c>
      <c r="X23" s="152">
        <f>TRUNC(X22)</f>
        <v>26</v>
      </c>
    </row>
    <row r="24" spans="10:24">
      <c r="K24">
        <f>TRUNC(K23)</f>
        <v>18</v>
      </c>
      <c r="N24">
        <v>-0.10299999999999999</v>
      </c>
      <c r="P24">
        <f>SIN(2*K16*PI()/180)</f>
        <v>0.35565791597354957</v>
      </c>
      <c r="Q24">
        <f t="shared" si="0"/>
        <v>-3.6632765345275604E-2</v>
      </c>
      <c r="X24" s="152">
        <f>(X22-X23)*24</f>
        <v>14.503884382545948</v>
      </c>
    </row>
    <row r="25" spans="10:24">
      <c r="K25">
        <f>(K23-K24)*60</f>
        <v>14.468619556286626</v>
      </c>
      <c r="N25">
        <v>-9.7600000000000006E-2</v>
      </c>
      <c r="P25">
        <f>SIN((2*K13-K15)*PI()/180)</f>
        <v>0.90060626395503807</v>
      </c>
      <c r="Q25">
        <f t="shared" si="0"/>
        <v>-8.7899171362011724E-2</v>
      </c>
      <c r="X25" s="153">
        <f>TRUNC(X24)</f>
        <v>14</v>
      </c>
    </row>
    <row r="26" spans="10:24">
      <c r="K26">
        <f>TRUNC(K25)</f>
        <v>14</v>
      </c>
      <c r="N26">
        <v>-4.6199999999999998E-2</v>
      </c>
      <c r="P26">
        <f>COS((K15-K16)*PI()/180)</f>
        <v>-0.88917721664478944</v>
      </c>
      <c r="Q26">
        <f t="shared" si="0"/>
        <v>4.1079987408989271E-2</v>
      </c>
      <c r="X26" s="153">
        <f>(X24-X25)*60.00001</f>
        <v>30.233067991600709</v>
      </c>
    </row>
    <row r="27" spans="10:24">
      <c r="K27">
        <f>ROUND((K25-K26)*60,0)</f>
        <v>28</v>
      </c>
      <c r="N27">
        <v>-4.6100000000000002E-2</v>
      </c>
      <c r="P27">
        <f>COS((K15+K16)*PI()/180)</f>
        <v>0.99377532858869799</v>
      </c>
      <c r="Q27">
        <f t="shared" si="0"/>
        <v>-4.5813042647938979E-2</v>
      </c>
      <c r="X27" s="230">
        <f>TRUNC(X26)</f>
        <v>30</v>
      </c>
    </row>
    <row r="28" spans="10:24">
      <c r="K28" s="237"/>
      <c r="N28">
        <v>-4.3799999999999999E-2</v>
      </c>
      <c r="P28">
        <f>SIN(2*K13*PI()/180)</f>
        <v>0.15555612270246266</v>
      </c>
      <c r="Q28">
        <f t="shared" si="0"/>
        <v>-6.8133581743678642E-3</v>
      </c>
      <c r="X28" s="230">
        <f>(X26-X27)*60</f>
        <v>13.984079496042554</v>
      </c>
    </row>
    <row r="29" spans="10:24">
      <c r="N29">
        <v>1.6199999999999999E-2</v>
      </c>
      <c r="P29">
        <f>SIN(K14*PI()/180)*K17</f>
        <v>0.9880510966042656</v>
      </c>
      <c r="Q29">
        <f t="shared" si="0"/>
        <v>1.6006427764989103E-2</v>
      </c>
    </row>
    <row r="30" spans="10:24">
      <c r="N30">
        <v>-1.5699999999999999E-2</v>
      </c>
      <c r="P30">
        <f>COS(3*K16*PI()/180)</f>
        <v>0.51878307418704828</v>
      </c>
      <c r="Q30">
        <f t="shared" si="0"/>
        <v>-8.1448942647366577E-3</v>
      </c>
    </row>
    <row r="31" spans="10:24">
      <c r="N31">
        <v>1.4500000000000001E-2</v>
      </c>
      <c r="P31">
        <f>SIN((K15+2*K16)*PI()/180)</f>
        <v>-0.99753878872575008</v>
      </c>
      <c r="Q31">
        <f t="shared" si="0"/>
        <v>-1.4464312436523376E-2</v>
      </c>
      <c r="V31" t="s">
        <v>326</v>
      </c>
      <c r="X31">
        <f>IF(X19&lt;14,X19-1,IF(X19=14,X19-13, IF(X19=15,X19-13)))</f>
        <v>3</v>
      </c>
    </row>
    <row r="32" spans="10:24">
      <c r="N32">
        <v>1.3599999999999999E-2</v>
      </c>
      <c r="P32">
        <f>COS((2*K13-K16)*PI()/180)</f>
        <v>2.5615751343842991E-2</v>
      </c>
      <c r="Q32">
        <f t="shared" si="0"/>
        <v>3.4837421827626467E-4</v>
      </c>
    </row>
    <row r="33" spans="14:24">
      <c r="N33">
        <v>-9.4999999999999998E-3</v>
      </c>
      <c r="P33">
        <f>COS((2*K13-K15-K16)*PI()/180)</f>
        <v>-0.96434876091581889</v>
      </c>
      <c r="Q33">
        <f t="shared" si="0"/>
        <v>9.16131322870028E-3</v>
      </c>
    </row>
    <row r="34" spans="14:24">
      <c r="N34">
        <v>-9.1000000000000004E-3</v>
      </c>
      <c r="P34">
        <f>COS((2*K13-K15+K16)*PI()/180)</f>
        <v>0.80717658973066408</v>
      </c>
      <c r="Q34">
        <f t="shared" si="0"/>
        <v>-7.3453069665490433E-3</v>
      </c>
      <c r="V34" t="s">
        <v>327</v>
      </c>
      <c r="X34">
        <f>IF(X31&gt;2,X17-4716,IF(X31=2,X17-4715,IF(X31=1,X17-4715)))</f>
        <v>2015</v>
      </c>
    </row>
    <row r="35" spans="14:24">
      <c r="N35">
        <v>-8.8999999999999999E-3</v>
      </c>
      <c r="P35">
        <f>COS((2*K13+K16)*PI()/180)</f>
        <v>0.3316003151259192</v>
      </c>
      <c r="Q35">
        <f t="shared" si="0"/>
        <v>-2.951242804620681E-3</v>
      </c>
    </row>
    <row r="36" spans="14:24">
      <c r="N36">
        <v>7.4999999999999997E-3</v>
      </c>
      <c r="P36">
        <f>SIN(2*K15*PI()/180)</f>
        <v>-0.55377167853069009</v>
      </c>
      <c r="Q36">
        <f t="shared" si="0"/>
        <v>-4.1532875889801757E-3</v>
      </c>
    </row>
    <row r="37" spans="14:24" ht="18.75">
      <c r="N37">
        <v>-6.7999999999999996E-3</v>
      </c>
      <c r="P37">
        <f>SIN((K15-2*K16)*PI()/180)</f>
        <v>-0.79179048965812993</v>
      </c>
      <c r="Q37">
        <f t="shared" si="0"/>
        <v>5.3841753296752833E-3</v>
      </c>
      <c r="W37" s="154" t="s">
        <v>328</v>
      </c>
      <c r="X37" s="155">
        <f>TIME(X25,X27,X28)</f>
        <v>0.60431712962962958</v>
      </c>
    </row>
    <row r="38" spans="14:24" ht="18.75">
      <c r="N38">
        <v>6.1000000000000004E-3</v>
      </c>
      <c r="P38">
        <f>COS((2*K15-K16)*PI()/180)</f>
        <v>0.69519851773051033</v>
      </c>
      <c r="Q38">
        <f t="shared" si="0"/>
        <v>4.2407109581561134E-3</v>
      </c>
      <c r="W38" s="156" t="s">
        <v>329</v>
      </c>
      <c r="X38" s="157">
        <f>X23</f>
        <v>26</v>
      </c>
    </row>
    <row r="39" spans="14:24" ht="18.75">
      <c r="N39">
        <v>-4.7000000000000002E-3</v>
      </c>
      <c r="P39">
        <f>SIN((K15+3*K16)*PI()/180)</f>
        <v>0.24932514819319498</v>
      </c>
      <c r="Q39">
        <f t="shared" si="0"/>
        <v>-1.1718281965080164E-3</v>
      </c>
      <c r="W39" s="158" t="s">
        <v>296</v>
      </c>
      <c r="X39" s="159">
        <f>X31</f>
        <v>3</v>
      </c>
    </row>
    <row r="40" spans="14:24" ht="18.75">
      <c r="N40">
        <v>-4.3E-3</v>
      </c>
      <c r="P40">
        <f>SIN((2*K13-K14-K15)*PI()/180)*K17</f>
        <v>-0.29288628012024892</v>
      </c>
      <c r="Q40">
        <f t="shared" si="0"/>
        <v>1.2594110045170703E-3</v>
      </c>
      <c r="W40" s="160" t="s">
        <v>330</v>
      </c>
      <c r="X40" s="161">
        <f>X34</f>
        <v>2015</v>
      </c>
    </row>
    <row r="41" spans="14:24">
      <c r="N41">
        <v>-4.0000000000000001E-3</v>
      </c>
      <c r="P41">
        <f>COS((K15-2*K16)*PI()/180)</f>
        <v>0.61079278031664619</v>
      </c>
      <c r="Q41">
        <f t="shared" si="0"/>
        <v>-2.4431711212665849E-3</v>
      </c>
    </row>
    <row r="42" spans="14:24">
      <c r="N42">
        <v>-3.7000000000000002E-3</v>
      </c>
      <c r="P42">
        <f>SIN((2*K13-2*K15)*PI()/180)</f>
        <v>-0.67655733936643603</v>
      </c>
      <c r="Q42">
        <f t="shared" si="0"/>
        <v>2.5032621556558133E-3</v>
      </c>
    </row>
    <row r="43" spans="14:24">
      <c r="N43">
        <v>3.0999999999999999E-3</v>
      </c>
      <c r="P43">
        <f>SIN(K16*PI()/180)</f>
        <v>-0.98351822630390073</v>
      </c>
      <c r="Q43">
        <f t="shared" si="0"/>
        <v>-3.0489065015420922E-3</v>
      </c>
    </row>
    <row r="44" spans="14:24">
      <c r="N44">
        <v>3.0000000000000001E-3</v>
      </c>
      <c r="P44">
        <f>SIN((2*K13+K15)*PI()/180)</f>
        <v>-0.99059556608536337</v>
      </c>
      <c r="Q44">
        <f t="shared" si="0"/>
        <v>-2.9717866982560902E-3</v>
      </c>
      <c r="W44" s="102" t="s">
        <v>128</v>
      </c>
      <c r="X44" s="152">
        <f>X7</f>
        <v>2457108.1043285159</v>
      </c>
    </row>
    <row r="45" spans="14:24">
      <c r="N45">
        <v>-2.8999999999999998E-3</v>
      </c>
      <c r="P45">
        <f>COS((K15+2*K16)*PI()/180)*K17</f>
        <v>-7.0089995212527623E-2</v>
      </c>
      <c r="Q45">
        <f t="shared" si="0"/>
        <v>2.0326098611633009E-4</v>
      </c>
      <c r="W45" s="102" t="s">
        <v>331</v>
      </c>
      <c r="X45" s="152">
        <f>X44+1.5</f>
        <v>2457109.6043285159</v>
      </c>
    </row>
    <row r="46" spans="14:24">
      <c r="N46">
        <v>-2.8999999999999998E-3</v>
      </c>
      <c r="P46">
        <f>SIN((2*K13-K14)*PI()/180)*K17</f>
        <v>0.99961010767650582</v>
      </c>
      <c r="Q46">
        <f t="shared" si="0"/>
        <v>-2.8988693122618666E-3</v>
      </c>
      <c r="W46" s="102"/>
      <c r="X46" s="102">
        <f>X45/7</f>
        <v>351015.65776121657</v>
      </c>
    </row>
    <row r="47" spans="14:24">
      <c r="N47">
        <v>-2.7000000000000001E-3</v>
      </c>
      <c r="P47">
        <f>SIN((K15+K16)*PI()/180)</f>
        <v>0.11140285583603877</v>
      </c>
      <c r="Q47">
        <f t="shared" si="0"/>
        <v>-3.0078771075730469E-4</v>
      </c>
      <c r="W47" s="102"/>
      <c r="X47" s="102">
        <f>TRUNC(X46)</f>
        <v>351015</v>
      </c>
    </row>
    <row r="48" spans="14:24">
      <c r="N48">
        <v>2.3999999999999998E-3</v>
      </c>
      <c r="P48">
        <f>SIN((K14-K15)*PI()/180)*K17</f>
        <v>-0.43093948757491957</v>
      </c>
      <c r="Q48">
        <f t="shared" si="0"/>
        <v>-1.0342547701798069E-3</v>
      </c>
      <c r="W48" s="102"/>
      <c r="X48" s="102">
        <f>X46-X47</f>
        <v>0.65776121657108888</v>
      </c>
    </row>
    <row r="49" spans="14:24">
      <c r="N49">
        <v>-2.0999999999999999E-3</v>
      </c>
      <c r="P49">
        <f>SIN((K15-3*K16)*PI()/180)</f>
        <v>0.74388868744213399</v>
      </c>
      <c r="Q49">
        <f t="shared" si="0"/>
        <v>-1.5621662436284814E-3</v>
      </c>
      <c r="W49" s="102"/>
      <c r="X49" s="102">
        <f>TRUNC(X48*7.001)</f>
        <v>4</v>
      </c>
    </row>
    <row r="50" spans="14:24" ht="23.25">
      <c r="N50">
        <v>1.9E-3</v>
      </c>
      <c r="P50">
        <f>SIN((2*K15+K16)*PI()/180)</f>
        <v>0.91907161322403108</v>
      </c>
      <c r="Q50">
        <f t="shared" si="0"/>
        <v>1.746236065125659E-3</v>
      </c>
      <c r="W50" s="162" t="s">
        <v>329</v>
      </c>
      <c r="X50" s="163" t="str">
        <f>IF(X49=0,"Sunday",IF(X49=1,"Monday",IF(X49=2,"Tuesday",IF(X49=3,"Wedenesday",IF(X49=4,"Thursday",IF(X49=5,"Friday",IF(X49=6,"Saturday")))))))</f>
        <v>Thursday</v>
      </c>
    </row>
    <row r="51" spans="14:24">
      <c r="N51">
        <v>1.8E-3</v>
      </c>
      <c r="P51">
        <f>COS((2*K13-2*K15-K16)*PI()/180)</f>
        <v>0.53226053470275236</v>
      </c>
      <c r="Q51">
        <f t="shared" si="0"/>
        <v>9.5806896246495427E-4</v>
      </c>
    </row>
    <row r="52" spans="14:24">
      <c r="N52">
        <v>1.8E-3</v>
      </c>
      <c r="P52">
        <f>SIN(3*K16*PI()/180)</f>
        <v>0.85490591408472283</v>
      </c>
      <c r="Q52">
        <f t="shared" si="0"/>
        <v>1.538830645352501E-3</v>
      </c>
    </row>
    <row r="53" spans="14:24">
      <c r="N53">
        <v>1.6999999999999999E-3</v>
      </c>
      <c r="P53">
        <f>COS((K15+3*K16)*PI()/180)</f>
        <v>-0.96841983172508472</v>
      </c>
      <c r="Q53">
        <f t="shared" si="0"/>
        <v>-1.6463137139326438E-3</v>
      </c>
    </row>
    <row r="54" spans="14:24">
      <c r="N54">
        <v>1.6999999999999999E-3</v>
      </c>
      <c r="P54">
        <f>COS(2*K15*PI()/180)</f>
        <v>-0.83266855834557729</v>
      </c>
      <c r="Q54">
        <f t="shared" si="0"/>
        <v>-1.4155365491874813E-3</v>
      </c>
    </row>
    <row r="55" spans="14:24">
      <c r="N55">
        <v>-1.4E-3</v>
      </c>
      <c r="P55">
        <f>COS((2*K13-K15)*PI()/180)</f>
        <v>0.43463589051635898</v>
      </c>
      <c r="Q55">
        <f t="shared" si="0"/>
        <v>-6.0849024672290258E-4</v>
      </c>
    </row>
    <row r="56" spans="14:24">
      <c r="N56">
        <v>1.2999999999999999E-3</v>
      </c>
      <c r="P56">
        <f>COS((2*K13+K15+K16)*PI()/180)</f>
        <v>-0.99900755353949022</v>
      </c>
      <c r="Q56">
        <f t="shared" si="0"/>
        <v>-1.2987098196013372E-3</v>
      </c>
    </row>
    <row r="57" spans="14:24">
      <c r="N57">
        <v>1.2999999999999999E-3</v>
      </c>
      <c r="P57">
        <f>COS(K15*PI()/180)</f>
        <v>-0.28925027368562917</v>
      </c>
      <c r="Q57">
        <f t="shared" si="0"/>
        <v>-3.7602535579131789E-4</v>
      </c>
    </row>
    <row r="58" spans="14:24">
      <c r="N58">
        <v>1.1999999999999999E-3</v>
      </c>
      <c r="P58">
        <f>SIN((3*K15+K16)*PI()/180)</f>
        <v>-0.64308628715952565</v>
      </c>
      <c r="Q58">
        <f t="shared" si="0"/>
        <v>-7.7170354459143076E-4</v>
      </c>
    </row>
    <row r="59" spans="14:24">
      <c r="N59">
        <v>1.1000000000000001E-3</v>
      </c>
      <c r="P59">
        <f>SIN((2*K13-K15+K16)*PI()/180)</f>
        <v>-0.59031004818720068</v>
      </c>
      <c r="Q59">
        <f t="shared" si="0"/>
        <v>-6.4934105300592084E-4</v>
      </c>
    </row>
    <row r="60" spans="14:24">
      <c r="N60">
        <v>-1.1000000000000001E-3</v>
      </c>
      <c r="P60">
        <f>COS((2*K13-2*K15)*PI()/180)</f>
        <v>0.73638995549193165</v>
      </c>
      <c r="Q60">
        <f t="shared" si="0"/>
        <v>-8.1002895104112483E-4</v>
      </c>
    </row>
    <row r="61" spans="14:24">
      <c r="N61">
        <v>1E-3</v>
      </c>
      <c r="P61">
        <f>COS((K13+K16)*PI()/180)</f>
        <v>0.96641461233920178</v>
      </c>
      <c r="Q61">
        <f t="shared" si="0"/>
        <v>9.6641461233920177E-4</v>
      </c>
    </row>
    <row r="62" spans="14:24">
      <c r="N62">
        <v>1E-3</v>
      </c>
      <c r="P62">
        <f>SIN((K14+K15)*PI()/180)*K17</f>
        <v>-0.14064861264141962</v>
      </c>
      <c r="Q62">
        <f t="shared" si="0"/>
        <v>-1.4064861264141961E-4</v>
      </c>
    </row>
    <row r="63" spans="14:24">
      <c r="N63">
        <v>-8.9999999999999998E-4</v>
      </c>
      <c r="P63">
        <f>SIN((2*K13-2*K16)*PI()/180)</f>
        <v>0.20594323935673997</v>
      </c>
      <c r="Q63">
        <f t="shared" si="0"/>
        <v>-1.8534891542106596E-4</v>
      </c>
    </row>
    <row r="64" spans="14:24">
      <c r="N64">
        <v>6.9999999999999999E-4</v>
      </c>
      <c r="P64">
        <f>COS((2*K15+K16)*PI()/180)</f>
        <v>-0.39409056036116497</v>
      </c>
      <c r="Q64">
        <f t="shared" si="0"/>
        <v>-2.7586339225281546E-4</v>
      </c>
    </row>
    <row r="65" spans="14:17">
      <c r="N65">
        <v>-6.9999999999999999E-4</v>
      </c>
      <c r="P65">
        <f>COS((3*K15+K16)*PI()/180)</f>
        <v>-0.76579372370591814</v>
      </c>
      <c r="Q65">
        <f t="shared" si="0"/>
        <v>5.3605560659414266E-4</v>
      </c>
    </row>
    <row r="66" spans="14:17">
      <c r="Q66">
        <f>SUM(Q22:Q65)</f>
        <v>-0.76656872892451522</v>
      </c>
    </row>
    <row r="72" spans="14:17">
      <c r="N72" t="s">
        <v>409</v>
      </c>
    </row>
    <row r="74" spans="14:17">
      <c r="N74">
        <v>5.1093000000000002</v>
      </c>
      <c r="O74">
        <f>SIN(K16*PI()/180)</f>
        <v>-0.98351822630390073</v>
      </c>
      <c r="P74">
        <f>N74*O74</f>
        <v>-5.0250896736545201</v>
      </c>
    </row>
    <row r="75" spans="14:17">
      <c r="N75">
        <v>0.26579999999999998</v>
      </c>
      <c r="O75">
        <f>COS(2*K16*PI()/180)</f>
        <v>-0.93461620294394188</v>
      </c>
      <c r="P75">
        <f t="shared" ref="P75:P110" si="1">N75*O75</f>
        <v>-0.24842098674249974</v>
      </c>
    </row>
    <row r="76" spans="14:17">
      <c r="N76">
        <v>0.14480000000000001</v>
      </c>
      <c r="O76">
        <f>SIN((2*K13-K16)*PI()/180)</f>
        <v>-0.99967186280453568</v>
      </c>
      <c r="P76">
        <f t="shared" si="1"/>
        <v>-0.14475248573409677</v>
      </c>
    </row>
    <row r="77" spans="14:17">
      <c r="N77">
        <v>-3.2199999999999999E-2</v>
      </c>
      <c r="O77">
        <f>SIN(3*K16*PI()/180)</f>
        <v>0.85490591408472283</v>
      </c>
      <c r="P77">
        <f t="shared" si="1"/>
        <v>-2.7527970433528073E-2</v>
      </c>
    </row>
    <row r="78" spans="14:17">
      <c r="N78">
        <v>1.3299999999999999E-2</v>
      </c>
      <c r="O78">
        <f>COS((2*K13-2*K16)*PI()/180)</f>
        <v>0.97856393872002689</v>
      </c>
      <c r="P78">
        <f t="shared" si="1"/>
        <v>1.3014900384976357E-2</v>
      </c>
    </row>
    <row r="79" spans="14:17">
      <c r="N79">
        <v>1.2500000000000001E-2</v>
      </c>
      <c r="O79">
        <f>COS(2*K13*PI()/180)</f>
        <v>-0.9878270560628396</v>
      </c>
      <c r="P79">
        <f t="shared" si="1"/>
        <v>-1.2347838200785496E-2</v>
      </c>
    </row>
    <row r="80" spans="14:17">
      <c r="N80">
        <v>-1.24E-2</v>
      </c>
      <c r="O80">
        <f>SIN((K15-K16)*PI()/180)</f>
        <v>-0.45756297643037647</v>
      </c>
      <c r="P80">
        <f t="shared" si="1"/>
        <v>5.6737809077366677E-3</v>
      </c>
    </row>
    <row r="81" spans="14:16">
      <c r="N81">
        <v>-1.01E-2</v>
      </c>
      <c r="O81">
        <f>SIN((K15+2*K16)*PI()/180)</f>
        <v>-0.99753878872575008</v>
      </c>
      <c r="P81">
        <f t="shared" si="1"/>
        <v>1.0075141766130075E-2</v>
      </c>
    </row>
    <row r="82" spans="14:16">
      <c r="N82">
        <v>9.7000000000000003E-3</v>
      </c>
      <c r="O82">
        <f>COS(K16*PI()/180)</f>
        <v>-0.18080901119144768</v>
      </c>
      <c r="P82">
        <f t="shared" si="1"/>
        <v>-1.7538474085570426E-3</v>
      </c>
    </row>
    <row r="83" spans="14:16">
      <c r="N83">
        <v>-8.6999999999999994E-3</v>
      </c>
      <c r="O83">
        <f>SIN((2*K13+K14-K16)*PI()/180)*K17</f>
        <v>-0.12626753231494628</v>
      </c>
      <c r="P83">
        <f t="shared" si="1"/>
        <v>1.0985275311400325E-3</v>
      </c>
    </row>
    <row r="84" spans="14:16">
      <c r="N84">
        <v>7.4000000000000003E-3</v>
      </c>
      <c r="O84">
        <f>SIN((K15+3*K16)*PI()/180)</f>
        <v>0.24932514819319498</v>
      </c>
      <c r="P84">
        <f t="shared" si="1"/>
        <v>1.845006096629643E-3</v>
      </c>
    </row>
    <row r="85" spans="14:16">
      <c r="N85">
        <v>6.7000000000000002E-3</v>
      </c>
      <c r="O85">
        <f>SIN((K13+K16)*PI()/180)</f>
        <v>-0.25698793173468359</v>
      </c>
      <c r="P85">
        <f t="shared" si="1"/>
        <v>-1.7218191426223801E-3</v>
      </c>
    </row>
    <row r="86" spans="14:16">
      <c r="N86">
        <v>6.3E-3</v>
      </c>
      <c r="O86">
        <f>SIN((K15-2*K16)*PI()/180)</f>
        <v>-0.79179048965812993</v>
      </c>
      <c r="P86">
        <f t="shared" si="1"/>
        <v>-4.9882800848462189E-3</v>
      </c>
    </row>
    <row r="87" spans="14:16">
      <c r="N87">
        <v>6.0000000000000001E-3</v>
      </c>
      <c r="O87">
        <f>SIN((2*K13-K14-K16)*PI()/180)*K17</f>
        <v>-0.17688687472619927</v>
      </c>
      <c r="P87">
        <f t="shared" si="1"/>
        <v>-1.0613212483571955E-3</v>
      </c>
    </row>
    <row r="88" spans="14:16">
      <c r="N88">
        <v>-5.7000000000000002E-3</v>
      </c>
      <c r="O88">
        <f>SIN((2*K13-K15-K16)*PI()/180)</f>
        <v>0.26463459207013118</v>
      </c>
      <c r="P88">
        <f t="shared" si="1"/>
        <v>-1.5084171747997478E-3</v>
      </c>
    </row>
    <row r="89" spans="14:16">
      <c r="N89">
        <v>-5.5999999999999999E-3</v>
      </c>
      <c r="O89">
        <f>COS((K15+K16)*PI()/180)</f>
        <v>0.99377532858869799</v>
      </c>
      <c r="P89">
        <f t="shared" si="1"/>
        <v>-5.5651418400967084E-3</v>
      </c>
    </row>
    <row r="90" spans="14:16">
      <c r="N90">
        <v>5.1999999999999998E-3</v>
      </c>
      <c r="O90">
        <f>COS((K15+2*K16)*PI()/180)</f>
        <v>-7.011679533152762E-2</v>
      </c>
      <c r="P90">
        <f t="shared" si="1"/>
        <v>-3.6460733572394363E-4</v>
      </c>
    </row>
    <row r="91" spans="14:16">
      <c r="N91">
        <v>4.1000000000000003E-3</v>
      </c>
      <c r="O91">
        <f>COS((2*K15+K16)*PI()/180)</f>
        <v>-0.39409056036116497</v>
      </c>
      <c r="P91">
        <f t="shared" si="1"/>
        <v>-1.6157712974807766E-3</v>
      </c>
    </row>
    <row r="92" spans="14:16">
      <c r="N92">
        <v>-4.0000000000000001E-3</v>
      </c>
      <c r="O92">
        <f>COS((K15-3*K16)*PI()/180)</f>
        <v>0.66830353934093378</v>
      </c>
      <c r="P92">
        <f t="shared" si="1"/>
        <v>-2.673214157363735E-3</v>
      </c>
    </row>
    <row r="93" spans="14:16">
      <c r="N93">
        <v>3.8E-3</v>
      </c>
      <c r="O93">
        <f>COS((2*K15-K16)*PI()/180)</f>
        <v>0.69519851773051033</v>
      </c>
      <c r="P93">
        <f t="shared" si="1"/>
        <v>2.6417543673759392E-3</v>
      </c>
    </row>
    <row r="94" spans="14:16">
      <c r="N94">
        <v>-3.3999999999999998E-3</v>
      </c>
      <c r="O94">
        <f>COS((K15-2*K16)*PI()/180)</f>
        <v>0.61079278031664619</v>
      </c>
      <c r="P94">
        <f t="shared" si="1"/>
        <v>-2.076695453076597E-3</v>
      </c>
    </row>
    <row r="95" spans="14:16">
      <c r="N95">
        <v>-2.8999999999999998E-3</v>
      </c>
      <c r="O95">
        <f>SIN(2*K15*PI()/180)</f>
        <v>-0.55377167853069009</v>
      </c>
      <c r="P95">
        <f t="shared" si="1"/>
        <v>1.6059378677390011E-3</v>
      </c>
    </row>
    <row r="96" spans="14:16">
      <c r="N96">
        <v>2.8999999999999998E-3</v>
      </c>
      <c r="O96">
        <f>SIN((3*K15+K16)*PI()/180)</f>
        <v>-0.64308628715952565</v>
      </c>
      <c r="P96">
        <f t="shared" si="1"/>
        <v>-1.8649502327626243E-3</v>
      </c>
    </row>
    <row r="97" spans="14:16">
      <c r="N97">
        <v>-2.8E-3</v>
      </c>
      <c r="O97">
        <f>COS((2*K13+K14-K16)*PI()/180)*K17</f>
        <v>0.99161091874071328</v>
      </c>
      <c r="P97">
        <f t="shared" si="1"/>
        <v>-2.7765105724739973E-3</v>
      </c>
    </row>
    <row r="98" spans="14:16">
      <c r="N98">
        <v>-2.8E-3</v>
      </c>
      <c r="O98">
        <f>COS((K15-K16)*PI()/180)</f>
        <v>-0.88917721664478944</v>
      </c>
      <c r="P98">
        <f t="shared" si="1"/>
        <v>2.4896962066054103E-3</v>
      </c>
    </row>
    <row r="99" spans="14:16">
      <c r="N99">
        <v>-2.3E-3</v>
      </c>
      <c r="O99">
        <f>COS(3*K16*PI()/180)</f>
        <v>0.51878307418704828</v>
      </c>
      <c r="P99">
        <f t="shared" si="1"/>
        <v>-1.193201070630211E-3</v>
      </c>
    </row>
    <row r="100" spans="14:16">
      <c r="N100">
        <v>-2.0999999999999999E-3</v>
      </c>
      <c r="O100">
        <f>SIN((2*K13+K16)*PI()/180)</f>
        <v>0.94341996534331996</v>
      </c>
      <c r="P100">
        <f t="shared" si="1"/>
        <v>-1.9811819272209717E-3</v>
      </c>
    </row>
    <row r="101" spans="14:16">
      <c r="N101">
        <v>1.9E-3</v>
      </c>
      <c r="O101">
        <f>COS((K15+3*K16)*PI()/180)</f>
        <v>-0.96841983172508472</v>
      </c>
      <c r="P101">
        <f t="shared" si="1"/>
        <v>-1.8399976802776609E-3</v>
      </c>
    </row>
    <row r="102" spans="14:16">
      <c r="N102">
        <v>1.8E-3</v>
      </c>
      <c r="O102">
        <f>COS((K13+K16)*PI()/180)</f>
        <v>0.96641461233920178</v>
      </c>
      <c r="P102">
        <f t="shared" si="1"/>
        <v>1.7395463022105632E-3</v>
      </c>
    </row>
    <row r="103" spans="14:16">
      <c r="N103">
        <v>1.6999999999999999E-3</v>
      </c>
      <c r="O103">
        <f>SIN((2*K15-K16)*PI()/180)</f>
        <v>-0.71881779398210588</v>
      </c>
      <c r="P103">
        <f t="shared" si="1"/>
        <v>-1.2219902497695799E-3</v>
      </c>
    </row>
    <row r="104" spans="14:16">
      <c r="N104">
        <v>1.5E-3</v>
      </c>
      <c r="O104">
        <f>COS((3*K15+K16)*PI()/180)</f>
        <v>-0.76579372370591814</v>
      </c>
      <c r="P104">
        <f t="shared" si="1"/>
        <v>-1.1486905855588772E-3</v>
      </c>
    </row>
    <row r="105" spans="14:16">
      <c r="N105">
        <v>1.4E-3</v>
      </c>
      <c r="O105">
        <f>COS((2*K13+2*K15+K16)*PI()/180)</f>
        <v>0.2463261014246971</v>
      </c>
      <c r="P105">
        <f t="shared" si="1"/>
        <v>3.4485654199457595E-4</v>
      </c>
    </row>
    <row r="106" spans="14:16">
      <c r="N106">
        <v>-1.1999999999999999E-3</v>
      </c>
      <c r="O106">
        <f>SIN((2*K13-2*K15-K16)*PI()/180)</f>
        <v>0.84658060643859545</v>
      </c>
      <c r="P106">
        <f t="shared" si="1"/>
        <v>-1.0158967277263144E-3</v>
      </c>
    </row>
    <row r="107" spans="14:16">
      <c r="N107">
        <v>-1.1999999999999999E-3</v>
      </c>
      <c r="O107">
        <f>COS(2*K15*PI()/180)</f>
        <v>-0.83266855834557729</v>
      </c>
      <c r="P107">
        <f t="shared" si="1"/>
        <v>9.9920227001469271E-4</v>
      </c>
    </row>
    <row r="108" spans="14:16">
      <c r="N108">
        <v>-1E-3</v>
      </c>
      <c r="O108">
        <f>COS(K15*PI()/180)</f>
        <v>-0.28925027368562917</v>
      </c>
      <c r="P108">
        <f t="shared" si="1"/>
        <v>2.8925027368562918E-4</v>
      </c>
    </row>
    <row r="109" spans="14:16">
      <c r="N109">
        <v>-1E-3</v>
      </c>
      <c r="O109">
        <f>SIN(2*K16*PI()/180)</f>
        <v>0.35565791597354957</v>
      </c>
      <c r="P109">
        <f t="shared" si="1"/>
        <v>-3.5565791597354956E-4</v>
      </c>
    </row>
    <row r="110" spans="14:16">
      <c r="N110">
        <v>5.9999999999999995E-4</v>
      </c>
      <c r="O110">
        <f>SIN((K15+K16)*PI()/180)</f>
        <v>0.11140285583603877</v>
      </c>
      <c r="P110">
        <f t="shared" si="1"/>
        <v>6.6841713501623255E-5</v>
      </c>
    </row>
    <row r="111" spans="14:16">
      <c r="P111">
        <f>SUM(P74:P110)</f>
        <v>-5.4529817046410081</v>
      </c>
    </row>
  </sheetData>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dimension ref="E2:N102"/>
  <sheetViews>
    <sheetView topLeftCell="C1" workbookViewId="0">
      <selection activeCell="C1" sqref="A1:XFD1048576"/>
    </sheetView>
  </sheetViews>
  <sheetFormatPr defaultRowHeight="15"/>
  <cols>
    <col min="5" max="5" width="16.7109375" customWidth="1"/>
    <col min="6" max="6" width="12" bestFit="1" customWidth="1"/>
    <col min="8" max="8" width="14.42578125" customWidth="1"/>
    <col min="14" max="14" width="13.7109375" bestFit="1" customWidth="1"/>
  </cols>
  <sheetData>
    <row r="2" spans="5:13">
      <c r="E2" t="str">
        <f>day!E2</f>
        <v>y</v>
      </c>
      <c r="F2" t="str">
        <f>day!F2</f>
        <v>m</v>
      </c>
      <c r="G2" t="str">
        <f>day!G2</f>
        <v>D</v>
      </c>
      <c r="H2">
        <f>day!H2</f>
        <v>0</v>
      </c>
      <c r="I2" t="str">
        <f>day!I2</f>
        <v>H</v>
      </c>
      <c r="J2" t="str">
        <f>day!J2</f>
        <v>M</v>
      </c>
      <c r="K2" t="str">
        <f>day!K2</f>
        <v>S</v>
      </c>
      <c r="L2" t="str">
        <f>day!L2</f>
        <v>Long.</v>
      </c>
      <c r="M2" t="str">
        <f>day!M2</f>
        <v>Lat.</v>
      </c>
    </row>
    <row r="3" spans="5:13">
      <c r="E3">
        <f>day!E3</f>
        <v>2015</v>
      </c>
      <c r="F3">
        <f>day!F3</f>
        <v>3</v>
      </c>
      <c r="G3">
        <f>day!G3</f>
        <v>19</v>
      </c>
      <c r="H3">
        <f>day!H3</f>
        <v>19.82210648148148</v>
      </c>
      <c r="I3">
        <f>day!I3</f>
        <v>19</v>
      </c>
      <c r="J3">
        <f>day!J3</f>
        <v>43</v>
      </c>
      <c r="K3">
        <f>day!K3</f>
        <v>50</v>
      </c>
      <c r="L3">
        <f>day!L3</f>
        <v>35</v>
      </c>
      <c r="M3">
        <f>day!M3</f>
        <v>32</v>
      </c>
    </row>
    <row r="4" spans="5:13">
      <c r="E4">
        <f>day!E4</f>
        <v>2015</v>
      </c>
      <c r="F4">
        <f>day!F4</f>
        <v>3</v>
      </c>
      <c r="G4">
        <f>day!G4</f>
        <v>19.82210648148148</v>
      </c>
      <c r="H4">
        <f>day!H4</f>
        <v>0</v>
      </c>
      <c r="I4">
        <f>day!I4</f>
        <v>0.79166666666666663</v>
      </c>
      <c r="J4">
        <f>day!J4</f>
        <v>2.9861111111111113E-2</v>
      </c>
      <c r="K4">
        <f>day!K4</f>
        <v>5.7870370370370367E-4</v>
      </c>
      <c r="L4">
        <f>day!L4</f>
        <v>0</v>
      </c>
      <c r="M4">
        <f>day!M4</f>
        <v>0</v>
      </c>
    </row>
    <row r="6" spans="5:13">
      <c r="E6" t="str">
        <f>day!E6</f>
        <v>Thursday</v>
      </c>
    </row>
    <row r="10" spans="5:13">
      <c r="E10">
        <f>day!E10</f>
        <v>20</v>
      </c>
    </row>
    <row r="11" spans="5:13">
      <c r="E11">
        <f>day!E11</f>
        <v>-13</v>
      </c>
    </row>
    <row r="12" spans="5:13">
      <c r="E12">
        <f>day!E12</f>
        <v>2457101.3221064815</v>
      </c>
    </row>
    <row r="14" spans="5:13">
      <c r="E14" t="s">
        <v>373</v>
      </c>
      <c r="F14">
        <f>(F17-2000.05)*13.4223</f>
        <v>203.52974886037012</v>
      </c>
    </row>
    <row r="15" spans="5:13">
      <c r="E15" t="s">
        <v>152</v>
      </c>
      <c r="F15">
        <f>F18/1342.23</f>
        <v>0.15163552361396343</v>
      </c>
    </row>
    <row r="16" spans="5:13">
      <c r="E16" t="s">
        <v>417</v>
      </c>
      <c r="F16">
        <f>DN!D15</f>
        <v>78</v>
      </c>
    </row>
    <row r="17" spans="5:8">
      <c r="E17" t="s">
        <v>295</v>
      </c>
      <c r="F17">
        <f>E3+(F16/365.25)</f>
        <v>2015.2135523613963</v>
      </c>
    </row>
    <row r="18" spans="5:8">
      <c r="E18" t="s">
        <v>373</v>
      </c>
      <c r="F18">
        <f>IF(F14&lt;0,INT(F14)+1,F14)</f>
        <v>203.52974886037012</v>
      </c>
    </row>
    <row r="19" spans="5:8">
      <c r="E19" t="s">
        <v>154</v>
      </c>
      <c r="F19">
        <f>MOD(183.638+331.73735691*F18+0.0015057*F15^2+0.00000209*F15^3-0.00000001*F15^4,360)</f>
        <v>22.058974123632652</v>
      </c>
    </row>
    <row r="20" spans="5:8">
      <c r="E20" t="s">
        <v>136</v>
      </c>
      <c r="F20">
        <f>MOD(17.4006+26.8203725*F18+0.0000999*F15^2+0.00000006*F15^3,360)</f>
        <v>76.144281563820186</v>
      </c>
    </row>
    <row r="21" spans="5:8">
      <c r="E21" t="s">
        <v>155</v>
      </c>
      <c r="F21">
        <f>MOD(38.3776+355.52747322*F18+0.0123577*F15^2+0.000014628*F15^3-0.000000069*F15^4,360)</f>
        <v>38.795221624226542</v>
      </c>
    </row>
    <row r="22" spans="5:8">
      <c r="E22" t="s">
        <v>418</v>
      </c>
      <c r="F22">
        <f>MOD(123.9767-1.440989*F18+0.0020625*F15^2+0.000002*F15^3-0.000000016*F15^4,360)</f>
        <v>190.69261815015616</v>
      </c>
    </row>
    <row r="23" spans="5:8">
      <c r="E23" t="s">
        <v>419</v>
      </c>
      <c r="F23">
        <f>MOD(299.75+132.85*F15-0.009173*F15^2,360)</f>
        <v>319.89456839428038</v>
      </c>
    </row>
    <row r="24" spans="5:8">
      <c r="E24" t="s">
        <v>302</v>
      </c>
      <c r="F24">
        <f>MOD(F22+272.75-2.3*F15,360)</f>
        <v>103.09385644584404</v>
      </c>
    </row>
    <row r="25" spans="5:8">
      <c r="E25" t="s">
        <v>143</v>
      </c>
      <c r="F25">
        <f>1-0.002516*F15-0.0000074*F15^4</f>
        <v>0.99961848111025675</v>
      </c>
    </row>
    <row r="27" spans="5:8">
      <c r="H27">
        <v>2451565.1619000002</v>
      </c>
    </row>
    <row r="28" spans="5:8">
      <c r="H28">
        <f>27.212220817*F18</f>
        <v>5538.4964688169457</v>
      </c>
    </row>
    <row r="29" spans="5:8">
      <c r="H29">
        <f>0.0002572*F15*F15</f>
        <v>5.9138849959763183E-6</v>
      </c>
    </row>
    <row r="30" spans="5:8">
      <c r="H30">
        <f>0.000000021*F15^3</f>
        <v>7.3218724755483072E-11</v>
      </c>
    </row>
    <row r="31" spans="5:8">
      <c r="H31">
        <f>-0.000000000088*F15^4</f>
        <v>-4.6525011936414391E-14</v>
      </c>
    </row>
    <row r="32" spans="5:8">
      <c r="H32">
        <f>-0.4721*SIN(F21*PI()/180)</f>
        <v>-0.29578897392594772</v>
      </c>
    </row>
    <row r="33" spans="8:8">
      <c r="H33">
        <f>-0.1649*SIN(2*F19*PI()/180)</f>
        <v>-0.11479310999871967</v>
      </c>
    </row>
    <row r="34" spans="8:8">
      <c r="H34">
        <f>-0.0868*SIN((2*F19-F21)*PI()/180)</f>
        <v>-8.0520487636966034E-3</v>
      </c>
    </row>
    <row r="35" spans="8:8">
      <c r="H35">
        <f>0.0084*SIN((2*F19+F21)*PI()/180)</f>
        <v>8.3358267082588467E-3</v>
      </c>
    </row>
    <row r="36" spans="8:8">
      <c r="H36">
        <f>F25*-0.0083*SIN((2*F19-F20)*PI()/180)</f>
        <v>4.3998852022555275E-3</v>
      </c>
    </row>
    <row r="37" spans="8:8">
      <c r="H37">
        <f>F25*-0.0039*SIN((2*F19-F20-F21)*PI()/180)</f>
        <v>3.6821447519175174E-3</v>
      </c>
    </row>
    <row r="38" spans="8:8">
      <c r="H38">
        <f>0.0034*SIN(2*F21*PI()/180)</f>
        <v>3.3205639217960296E-3</v>
      </c>
    </row>
    <row r="39" spans="8:8">
      <c r="H39">
        <f>-0.0031*SIN((2*F19-2*F21)*PI()/180)</f>
        <v>1.7097634987960578E-3</v>
      </c>
    </row>
    <row r="40" spans="8:8">
      <c r="H40">
        <f>F25*0.003*SIN((2*F19+F20)*PI()/180)</f>
        <v>2.5901952786116633E-3</v>
      </c>
    </row>
    <row r="41" spans="8:8">
      <c r="H41">
        <f>F25*0.0028*SIN((F20-F21)*PI()/180)</f>
        <v>1.6980259865766335E-3</v>
      </c>
    </row>
    <row r="42" spans="8:8">
      <c r="H42">
        <f>F25*0.0026*SIN(F20*PI()/180)</f>
        <v>2.5233817353625177E-3</v>
      </c>
    </row>
    <row r="43" spans="8:8">
      <c r="H43">
        <f>0.0025*SIN(4*F19*PI()/180)</f>
        <v>2.4988151085518517E-3</v>
      </c>
    </row>
    <row r="44" spans="8:8">
      <c r="H44">
        <f>0.0024*SIN(F19*PI()/180)</f>
        <v>9.0134577196597499E-4</v>
      </c>
    </row>
    <row r="45" spans="8:8">
      <c r="H45">
        <f>F25*0.0022*SIN((F20+F21)*PI()/180)</f>
        <v>1.9940966484826347E-3</v>
      </c>
    </row>
    <row r="46" spans="8:8">
      <c r="H46">
        <f>0.0017*SIN(F22*PI()/180)</f>
        <v>-3.1541802785553849E-4</v>
      </c>
    </row>
    <row r="47" spans="8:8">
      <c r="H47">
        <f>0.0014*SIN((4*F19-F21)*PI()/180)</f>
        <v>1.0636263503056779E-3</v>
      </c>
    </row>
    <row r="48" spans="8:8">
      <c r="H48">
        <f>F25*0.0005*SIN((2*F19+F20-F21)*PI()/180)</f>
        <v>4.9427664635817606E-4</v>
      </c>
    </row>
    <row r="49" spans="8:14">
      <c r="H49">
        <f>0.0004*F25*SIN((2*F19-F20+F21)*PI()/180)</f>
        <v>4.712792060552499E-5</v>
      </c>
    </row>
    <row r="50" spans="8:14">
      <c r="H50">
        <f>F25*-0.0003*SIN((2*F19-2*F20)*PI()/180)</f>
        <v>2.8493088585968788E-4</v>
      </c>
    </row>
    <row r="51" spans="8:14">
      <c r="H51">
        <f>F25*0.0003*SIN((4*F19-F20)*PI()/180)</f>
        <v>6.2818663831139154E-5</v>
      </c>
    </row>
    <row r="52" spans="8:14">
      <c r="H52">
        <f>0.0003*SIN(F23*PI()/180)</f>
        <v>-1.9325884228783385E-4</v>
      </c>
    </row>
    <row r="53" spans="8:14">
      <c r="H53">
        <f>0.0003*SIN(F24*PI()/180)</f>
        <v>2.9220007932677513E-4</v>
      </c>
    </row>
    <row r="56" spans="8:14">
      <c r="H56">
        <f>SUM(H27:H55)</f>
        <v>2457103.2751309467</v>
      </c>
    </row>
    <row r="59" spans="8:14">
      <c r="M59" t="s">
        <v>128</v>
      </c>
      <c r="N59" s="152">
        <f>H56</f>
        <v>2457103.2751309467</v>
      </c>
    </row>
    <row r="60" spans="8:14">
      <c r="M60" t="s">
        <v>321</v>
      </c>
      <c r="N60" s="152">
        <f>N59+0.5</f>
        <v>2457103.7751309467</v>
      </c>
    </row>
    <row r="61" spans="8:14">
      <c r="M61" t="s">
        <v>322</v>
      </c>
      <c r="N61" s="152">
        <f>TRUNC(N60)</f>
        <v>2457103</v>
      </c>
    </row>
    <row r="62" spans="8:14">
      <c r="M62" t="s">
        <v>138</v>
      </c>
      <c r="N62" s="152">
        <f>N60-N61</f>
        <v>0.7751309466548264</v>
      </c>
    </row>
    <row r="63" spans="8:14">
      <c r="N63" s="102"/>
    </row>
    <row r="64" spans="8:14">
      <c r="M64" t="s">
        <v>323</v>
      </c>
      <c r="N64" s="102">
        <f>INT((N61-1867216.25)/36524.25)</f>
        <v>16</v>
      </c>
    </row>
    <row r="65" spans="12:14">
      <c r="M65" t="s">
        <v>259</v>
      </c>
      <c r="N65" s="102">
        <f>N61+1+N64-INT(N64/4)</f>
        <v>2457116</v>
      </c>
    </row>
    <row r="66" spans="12:14">
      <c r="M66" t="s">
        <v>259</v>
      </c>
      <c r="N66" s="102">
        <f>IF(N61&lt;2299161,N61,N65)</f>
        <v>2457116</v>
      </c>
    </row>
    <row r="67" spans="12:14">
      <c r="N67" s="102"/>
    </row>
    <row r="68" spans="12:14">
      <c r="M68" t="s">
        <v>260</v>
      </c>
      <c r="N68" s="102">
        <f>N66+1524</f>
        <v>2458640</v>
      </c>
    </row>
    <row r="69" spans="12:14">
      <c r="M69" t="s">
        <v>324</v>
      </c>
      <c r="N69" s="102">
        <f>INT((N68-122.1)/365.25)</f>
        <v>6731</v>
      </c>
    </row>
    <row r="70" spans="12:14">
      <c r="M70" t="s">
        <v>154</v>
      </c>
      <c r="N70" s="102">
        <f>INT(365.25*N69)</f>
        <v>2458497</v>
      </c>
    </row>
    <row r="71" spans="12:14">
      <c r="M71" t="s">
        <v>143</v>
      </c>
      <c r="N71" s="102">
        <f>INT((N68-N70)/30.6001)</f>
        <v>4</v>
      </c>
    </row>
    <row r="72" spans="12:14">
      <c r="N72" s="102"/>
    </row>
    <row r="73" spans="12:14">
      <c r="N73" s="102"/>
    </row>
    <row r="74" spans="12:14">
      <c r="L74" t="s">
        <v>325</v>
      </c>
      <c r="N74" s="152">
        <f>N68-N70-INT(30.6001*N71)+N62</f>
        <v>21.775130946654826</v>
      </c>
    </row>
    <row r="75" spans="12:14">
      <c r="N75" s="152">
        <f>TRUNC(N74)</f>
        <v>21</v>
      </c>
    </row>
    <row r="76" spans="12:14">
      <c r="N76" s="152">
        <f>(N74-N75)*24</f>
        <v>18.603142719715834</v>
      </c>
    </row>
    <row r="77" spans="12:14">
      <c r="N77" s="153">
        <f>TRUNC(N76)</f>
        <v>18</v>
      </c>
    </row>
    <row r="78" spans="12:14">
      <c r="N78" s="153">
        <f>(N76-N77)*60.00001</f>
        <v>36.188569214377218</v>
      </c>
    </row>
    <row r="79" spans="12:14">
      <c r="N79" s="230">
        <f>TRUNC(N78)</f>
        <v>36</v>
      </c>
    </row>
    <row r="80" spans="12:14">
      <c r="N80" s="230">
        <f>(N78-N79)*60</f>
        <v>11.314152862633051</v>
      </c>
    </row>
    <row r="83" spans="12:14">
      <c r="L83" t="s">
        <v>326</v>
      </c>
      <c r="N83">
        <f>IF(N71&lt;14,N71-1,IF(N71=14,N71-13, IF(N71=15,N71-13)))</f>
        <v>3</v>
      </c>
    </row>
    <row r="86" spans="12:14">
      <c r="L86" t="s">
        <v>327</v>
      </c>
      <c r="N86">
        <f>IF(N83&gt;2,N69-4716,IF(N83=2,N69-4715,IF(N83=1,N69-4715)))</f>
        <v>2015</v>
      </c>
    </row>
    <row r="89" spans="12:14" ht="18.75">
      <c r="M89" s="154" t="s">
        <v>328</v>
      </c>
      <c r="N89" s="155">
        <f>TIME(N77,N79,N80)</f>
        <v>0.77512731481481489</v>
      </c>
    </row>
    <row r="90" spans="12:14" ht="18.75">
      <c r="M90" s="156" t="s">
        <v>329</v>
      </c>
      <c r="N90" s="157">
        <f>N75</f>
        <v>21</v>
      </c>
    </row>
    <row r="91" spans="12:14" ht="18.75">
      <c r="M91" s="158" t="s">
        <v>296</v>
      </c>
      <c r="N91" s="159">
        <f>N83</f>
        <v>3</v>
      </c>
    </row>
    <row r="92" spans="12:14" ht="18.75">
      <c r="M92" s="160" t="s">
        <v>330</v>
      </c>
      <c r="N92" s="161">
        <f>N86</f>
        <v>2015</v>
      </c>
    </row>
    <row r="96" spans="12:14">
      <c r="M96" s="102" t="s">
        <v>128</v>
      </c>
      <c r="N96" s="152">
        <f>N59</f>
        <v>2457103.2751309467</v>
      </c>
    </row>
    <row r="97" spans="13:14">
      <c r="M97" s="102" t="s">
        <v>331</v>
      </c>
      <c r="N97" s="152">
        <f>N96+1.5</f>
        <v>2457104.7751309467</v>
      </c>
    </row>
    <row r="98" spans="13:14">
      <c r="M98" s="102"/>
      <c r="N98" s="102">
        <f>N97/7</f>
        <v>351014.96787584951</v>
      </c>
    </row>
    <row r="99" spans="13:14">
      <c r="M99" s="102"/>
      <c r="N99" s="102">
        <f>TRUNC(N98)</f>
        <v>351014</v>
      </c>
    </row>
    <row r="100" spans="13:14">
      <c r="M100" s="102"/>
      <c r="N100" s="102">
        <f>N98-N99</f>
        <v>0.96787584951380268</v>
      </c>
    </row>
    <row r="101" spans="13:14">
      <c r="M101" s="102"/>
      <c r="N101" s="102">
        <f>TRUNC(N100*7.001)</f>
        <v>6</v>
      </c>
    </row>
    <row r="102" spans="13:14" ht="23.25">
      <c r="M102" s="162" t="s">
        <v>329</v>
      </c>
      <c r="N102" s="163" t="str">
        <f>IF(N101=0,"Sunday",IF(N101=1,"Monday",IF(N101=2,"Tuesday",IF(N101=3,"Wedenesday",IF(N101=4,"Thursday",IF(N101=5,"Friday",IF(N101=6,"Saturday")))))))</f>
        <v>Saturday</v>
      </c>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E2:N102"/>
  <sheetViews>
    <sheetView topLeftCell="B79" workbookViewId="0">
      <selection activeCell="F18" sqref="F18"/>
    </sheetView>
  </sheetViews>
  <sheetFormatPr defaultRowHeight="15"/>
  <cols>
    <col min="5" max="5" width="16.7109375" customWidth="1"/>
    <col min="6" max="6" width="12" bestFit="1" customWidth="1"/>
    <col min="8" max="8" width="14.42578125" customWidth="1"/>
    <col min="14" max="14" width="13.7109375" bestFit="1" customWidth="1"/>
  </cols>
  <sheetData>
    <row r="2" spans="5:13">
      <c r="E2" t="str">
        <f>day!E2</f>
        <v>y</v>
      </c>
      <c r="F2" t="str">
        <f>day!F2</f>
        <v>m</v>
      </c>
      <c r="G2" t="str">
        <f>day!G2</f>
        <v>D</v>
      </c>
      <c r="H2">
        <f>day!H2</f>
        <v>0</v>
      </c>
      <c r="I2" t="str">
        <f>day!I2</f>
        <v>H</v>
      </c>
      <c r="J2" t="str">
        <f>day!J2</f>
        <v>M</v>
      </c>
      <c r="K2" t="str">
        <f>day!K2</f>
        <v>S</v>
      </c>
      <c r="L2" t="str">
        <f>day!L2</f>
        <v>Long.</v>
      </c>
      <c r="M2" t="str">
        <f>day!M2</f>
        <v>Lat.</v>
      </c>
    </row>
    <row r="3" spans="5:13">
      <c r="E3">
        <f>day!E3</f>
        <v>2015</v>
      </c>
      <c r="F3">
        <f>day!F3</f>
        <v>3</v>
      </c>
      <c r="G3">
        <f>day!G3</f>
        <v>19</v>
      </c>
      <c r="H3">
        <f>day!H3</f>
        <v>19.82210648148148</v>
      </c>
      <c r="I3">
        <f>day!I3</f>
        <v>19</v>
      </c>
      <c r="J3">
        <f>day!J3</f>
        <v>43</v>
      </c>
      <c r="K3">
        <f>day!K3</f>
        <v>50</v>
      </c>
      <c r="L3">
        <f>day!L3</f>
        <v>35</v>
      </c>
      <c r="M3">
        <f>day!M3</f>
        <v>32</v>
      </c>
    </row>
    <row r="4" spans="5:13">
      <c r="E4">
        <f>day!E4</f>
        <v>2015</v>
      </c>
      <c r="F4">
        <f>day!F4</f>
        <v>3</v>
      </c>
      <c r="G4">
        <f>day!G4</f>
        <v>19.82210648148148</v>
      </c>
      <c r="H4">
        <f>day!H4</f>
        <v>0</v>
      </c>
      <c r="I4">
        <f>day!I4</f>
        <v>0.79166666666666663</v>
      </c>
      <c r="J4">
        <f>day!J4</f>
        <v>2.9861111111111113E-2</v>
      </c>
      <c r="K4">
        <f>day!K4</f>
        <v>5.7870370370370367E-4</v>
      </c>
      <c r="L4">
        <f>day!L4</f>
        <v>0</v>
      </c>
      <c r="M4">
        <f>day!M4</f>
        <v>0</v>
      </c>
    </row>
    <row r="6" spans="5:13">
      <c r="E6" t="str">
        <f>day!E6</f>
        <v>Thursday</v>
      </c>
    </row>
    <row r="10" spans="5:13">
      <c r="E10">
        <f>day!E10</f>
        <v>20</v>
      </c>
    </row>
    <row r="11" spans="5:13">
      <c r="E11">
        <f>day!E11</f>
        <v>-13</v>
      </c>
    </row>
    <row r="12" spans="5:13">
      <c r="E12">
        <f>day!E12</f>
        <v>2457101.3221064815</v>
      </c>
    </row>
    <row r="14" spans="5:13">
      <c r="E14" t="s">
        <v>373</v>
      </c>
      <c r="F14">
        <f>INT((F17-2000.05)*13.4223)</f>
        <v>203</v>
      </c>
    </row>
    <row r="15" spans="5:13">
      <c r="E15" t="s">
        <v>152</v>
      </c>
      <c r="F15">
        <f>F18/1342.23</f>
        <v>0.15161335985635846</v>
      </c>
    </row>
    <row r="16" spans="5:13">
      <c r="E16" t="s">
        <v>417</v>
      </c>
      <c r="F16">
        <f>DN!D15</f>
        <v>78</v>
      </c>
    </row>
    <row r="17" spans="5:8">
      <c r="E17" t="s">
        <v>295</v>
      </c>
      <c r="F17">
        <f>E3+(F16/365.25)</f>
        <v>2015.2135523613963</v>
      </c>
    </row>
    <row r="18" spans="5:8">
      <c r="E18" t="s">
        <v>373</v>
      </c>
      <c r="F18">
        <f>IF(F14&lt;0,INT(F14)+1.5,F14+0.5)</f>
        <v>203.5</v>
      </c>
    </row>
    <row r="19" spans="5:8">
      <c r="E19" t="s">
        <v>154</v>
      </c>
      <c r="F19">
        <f>MOD(183.638+331.73735691*F18+0.0015057*F15^2+0.00000209*F15^3-0.00000001*F15^4,360)</f>
        <v>12.190165803243872</v>
      </c>
    </row>
    <row r="20" spans="5:8">
      <c r="E20" t="s">
        <v>136</v>
      </c>
      <c r="F20">
        <f>MOD(17.4006+26.8203725*F18+0.0000999*F15^2+0.00000006*F15^3,360)</f>
        <v>75.346406046571246</v>
      </c>
    </row>
    <row r="21" spans="5:8">
      <c r="E21" t="s">
        <v>155</v>
      </c>
      <c r="F21">
        <f>MOD(38.3776+355.52747322*F18+0.0123577*F15^2+0.000014628*F15^3-0.000000069*F15^4,360)</f>
        <v>28.218684382576612</v>
      </c>
    </row>
    <row r="22" spans="5:8">
      <c r="E22" t="s">
        <v>418</v>
      </c>
      <c r="F22">
        <f>MOD(123.9767-1.440989*F18+0.0020625*F15^2+0.000002*F15^3-0.000000016*F15^4,360)</f>
        <v>190.73548591684667</v>
      </c>
    </row>
    <row r="23" spans="5:8">
      <c r="E23" t="s">
        <v>419</v>
      </c>
      <c r="F23">
        <f>MOD(299.75+132.85*F15-0.009173*F15^2,360)</f>
        <v>319.89162400073559</v>
      </c>
    </row>
    <row r="24" spans="5:8">
      <c r="E24" t="s">
        <v>302</v>
      </c>
      <c r="F24">
        <f>MOD(F22+272.75-2.3*F15,360)</f>
        <v>103.136775189177</v>
      </c>
    </row>
    <row r="25" spans="5:8">
      <c r="E25" t="s">
        <v>143</v>
      </c>
      <c r="F25">
        <f>1-0.002516*F15-0.0000074*F15^4</f>
        <v>0.99961853687655777</v>
      </c>
    </row>
    <row r="27" spans="5:8">
      <c r="H27">
        <v>2451565.1619000002</v>
      </c>
    </row>
    <row r="28" spans="5:8">
      <c r="H28">
        <f>27.212220817*F18</f>
        <v>5537.6869362594998</v>
      </c>
    </row>
    <row r="29" spans="5:8">
      <c r="H29">
        <f>0.0002572*F15*F15</f>
        <v>5.9121563201193349E-6</v>
      </c>
    </row>
    <row r="30" spans="5:8">
      <c r="H30">
        <f>0.000000021*F15^3</f>
        <v>7.318662347385392E-11</v>
      </c>
    </row>
    <row r="31" spans="5:8">
      <c r="H31">
        <f>-0.000000000088*F15^4</f>
        <v>-4.6497816645922085E-14</v>
      </c>
    </row>
    <row r="32" spans="5:8">
      <c r="H32">
        <f>-0.4721*SIN(F21*PI()/180)</f>
        <v>-0.22322688415372818</v>
      </c>
    </row>
    <row r="33" spans="8:8">
      <c r="H33">
        <f>-0.1649*SIN(2*F19*PI()/180)</f>
        <v>-6.8069365778476831E-2</v>
      </c>
    </row>
    <row r="34" spans="8:8">
      <c r="H34">
        <f>-0.0868*SIN((2*F19-F21)*PI()/180)</f>
        <v>5.8105478983863966E-3</v>
      </c>
    </row>
    <row r="35" spans="8:8">
      <c r="H35">
        <f>0.0084*SIN((2*F19+F21)*PI()/180)</f>
        <v>6.6729951893259145E-3</v>
      </c>
    </row>
    <row r="36" spans="8:8">
      <c r="H36">
        <f>F25*-0.0083*SIN((2*F19-F20)*PI()/180)</f>
        <v>6.4447581563484594E-3</v>
      </c>
    </row>
    <row r="37" spans="8:8">
      <c r="H37">
        <f>F25*-0.0039*SIN((2*F19-F20-F21)*PI()/180)</f>
        <v>3.8292644659437222E-3</v>
      </c>
    </row>
    <row r="38" spans="8:8">
      <c r="H38">
        <f>0.0034*SIN(2*F21*PI()/180)</f>
        <v>2.8331587657351928E-3</v>
      </c>
    </row>
    <row r="39" spans="8:8">
      <c r="H39">
        <f>-0.0031*SIN((2*F19-2*F21)*PI()/180)</f>
        <v>1.6453659873004545E-3</v>
      </c>
    </row>
    <row r="40" spans="8:8">
      <c r="H40">
        <f>F25*0.003*SIN((2*F19+F20)*PI()/180)</f>
        <v>2.9557462650163543E-3</v>
      </c>
    </row>
    <row r="41" spans="8:8">
      <c r="H41">
        <f>F25*0.0028*SIN((F20-F21)*PI()/180)</f>
        <v>2.0512592952257299E-3</v>
      </c>
    </row>
    <row r="42" spans="8:8">
      <c r="H42">
        <f>F25*0.0026*SIN(F20*PI()/180)</f>
        <v>2.5144701621275891E-3</v>
      </c>
    </row>
    <row r="43" spans="8:8">
      <c r="H43">
        <f>0.0025*SIN(4*F19*PI()/180)</f>
        <v>1.8799062602608205E-3</v>
      </c>
    </row>
    <row r="44" spans="8:8">
      <c r="H44">
        <f>0.0024*SIN(F19*PI()/180)</f>
        <v>5.0677687331179627E-4</v>
      </c>
    </row>
    <row r="45" spans="8:8">
      <c r="H45">
        <f>F25*0.0022*SIN((F20+F21)*PI()/180)</f>
        <v>2.1378131880996636E-3</v>
      </c>
    </row>
    <row r="46" spans="8:8">
      <c r="H46">
        <f>0.0017*SIN(F22*PI()/180)</f>
        <v>-3.1666776711661228E-4</v>
      </c>
    </row>
    <row r="47" spans="8:8">
      <c r="H47">
        <f>0.0014*SIN((4*F19-F21)*PI()/180)</f>
        <v>4.9125098077559522E-4</v>
      </c>
    </row>
    <row r="48" spans="8:8">
      <c r="H48">
        <f>F25*0.0005*SIN((2*F19+F20-F21)*PI()/180)</f>
        <v>4.7400323871301173E-4</v>
      </c>
    </row>
    <row r="49" spans="8:14">
      <c r="H49">
        <f>0.0004*F25*SIN((2*F19-F20+F21)*PI()/180)</f>
        <v>-1.5460858124303421E-4</v>
      </c>
    </row>
    <row r="50" spans="8:14">
      <c r="H50">
        <f>F25*-0.0003*SIN((2*F19-2*F20)*PI()/180)</f>
        <v>2.4164757743770708E-4</v>
      </c>
    </row>
    <row r="51" spans="8:14">
      <c r="H51">
        <f>F25*0.0003*SIN((4*F19-F20)*PI()/180)</f>
        <v>-1.342097576578114E-4</v>
      </c>
    </row>
    <row r="52" spans="8:14">
      <c r="H52">
        <f>0.0003*SIN(F23*PI()/180)</f>
        <v>-1.9327063373799402E-4</v>
      </c>
    </row>
    <row r="53" spans="8:14">
      <c r="H53">
        <f>0.0003*SIN(F24*PI()/180)</f>
        <v>2.9214908728388781E-4</v>
      </c>
    </row>
    <row r="56" spans="8:14">
      <c r="H56">
        <f>SUM(H27:H55)</f>
        <v>2457102.5975282784</v>
      </c>
    </row>
    <row r="59" spans="8:14">
      <c r="M59" t="s">
        <v>128</v>
      </c>
      <c r="N59" s="152">
        <f>H56</f>
        <v>2457102.5975282784</v>
      </c>
    </row>
    <row r="60" spans="8:14">
      <c r="M60" t="s">
        <v>321</v>
      </c>
      <c r="N60" s="152">
        <f>N59+0.5</f>
        <v>2457103.0975282784</v>
      </c>
    </row>
    <row r="61" spans="8:14">
      <c r="M61" t="s">
        <v>322</v>
      </c>
      <c r="N61" s="152">
        <f>TRUNC(N60)</f>
        <v>2457103</v>
      </c>
    </row>
    <row r="62" spans="8:14">
      <c r="M62" t="s">
        <v>138</v>
      </c>
      <c r="N62" s="152">
        <f>N60-N61</f>
        <v>9.7528278362005949E-2</v>
      </c>
    </row>
    <row r="63" spans="8:14">
      <c r="N63" s="102"/>
    </row>
    <row r="64" spans="8:14">
      <c r="M64" t="s">
        <v>323</v>
      </c>
      <c r="N64" s="102">
        <f>INT((N61-1867216.25)/36524.25)</f>
        <v>16</v>
      </c>
    </row>
    <row r="65" spans="12:14">
      <c r="M65" t="s">
        <v>259</v>
      </c>
      <c r="N65" s="102">
        <f>N61+1+N64-INT(N64/4)</f>
        <v>2457116</v>
      </c>
    </row>
    <row r="66" spans="12:14">
      <c r="M66" t="s">
        <v>259</v>
      </c>
      <c r="N66" s="102">
        <f>IF(N61&lt;2299161,N61,N65)</f>
        <v>2457116</v>
      </c>
    </row>
    <row r="67" spans="12:14">
      <c r="N67" s="102"/>
    </row>
    <row r="68" spans="12:14">
      <c r="M68" t="s">
        <v>260</v>
      </c>
      <c r="N68" s="102">
        <f>N66+1524</f>
        <v>2458640</v>
      </c>
    </row>
    <row r="69" spans="12:14">
      <c r="M69" t="s">
        <v>324</v>
      </c>
      <c r="N69" s="102">
        <f>INT((N68-122.1)/365.25)</f>
        <v>6731</v>
      </c>
    </row>
    <row r="70" spans="12:14">
      <c r="M70" t="s">
        <v>154</v>
      </c>
      <c r="N70" s="102">
        <f>INT(365.25*N69)</f>
        <v>2458497</v>
      </c>
    </row>
    <row r="71" spans="12:14">
      <c r="M71" t="s">
        <v>143</v>
      </c>
      <c r="N71" s="102">
        <f>INT((N68-N70)/30.6001)</f>
        <v>4</v>
      </c>
    </row>
    <row r="72" spans="12:14">
      <c r="N72" s="102"/>
    </row>
    <row r="73" spans="12:14">
      <c r="N73" s="102"/>
    </row>
    <row r="74" spans="12:14">
      <c r="L74" t="s">
        <v>325</v>
      </c>
      <c r="N74" s="152">
        <f>N68-N70-INT(30.6001*N71)+N62</f>
        <v>21.097528278362006</v>
      </c>
    </row>
    <row r="75" spans="12:14">
      <c r="N75" s="152">
        <f>TRUNC(N74)</f>
        <v>21</v>
      </c>
    </row>
    <row r="76" spans="12:14">
      <c r="N76" s="152">
        <f>(N74-N75)*24</f>
        <v>2.3406786806881428</v>
      </c>
    </row>
    <row r="77" spans="12:14">
      <c r="N77" s="153">
        <f>TRUNC(N76)</f>
        <v>2</v>
      </c>
    </row>
    <row r="78" spans="12:14">
      <c r="N78" s="153">
        <f>(N76-N77)*60.00001</f>
        <v>20.440724248075373</v>
      </c>
    </row>
    <row r="79" spans="12:14">
      <c r="N79" s="230">
        <f>TRUNC(N78)</f>
        <v>20</v>
      </c>
    </row>
    <row r="80" spans="12:14">
      <c r="N80" s="230">
        <f>(N78-N79)*60</f>
        <v>26.443454884522382</v>
      </c>
    </row>
    <row r="83" spans="12:14">
      <c r="L83" t="s">
        <v>326</v>
      </c>
      <c r="N83">
        <f>IF(N71&lt;14,N71-1,IF(N71=14,N71-13, IF(N71=15,N71-13)))</f>
        <v>3</v>
      </c>
    </row>
    <row r="86" spans="12:14">
      <c r="L86" t="s">
        <v>327</v>
      </c>
      <c r="N86">
        <f>IF(N83&gt;2,N69-4716,IF(N83=2,N69-4715,IF(N83=1,N69-4715)))</f>
        <v>2015</v>
      </c>
    </row>
    <row r="89" spans="12:14" ht="18.75">
      <c r="M89" s="154" t="s">
        <v>328</v>
      </c>
      <c r="N89" s="155">
        <f>TIME(N77,N79,N80)</f>
        <v>9.752314814814815E-2</v>
      </c>
    </row>
    <row r="90" spans="12:14" ht="18.75">
      <c r="M90" s="156" t="s">
        <v>329</v>
      </c>
      <c r="N90" s="157">
        <f>N75</f>
        <v>21</v>
      </c>
    </row>
    <row r="91" spans="12:14" ht="18.75">
      <c r="M91" s="158" t="s">
        <v>296</v>
      </c>
      <c r="N91" s="159">
        <f>N83</f>
        <v>3</v>
      </c>
    </row>
    <row r="92" spans="12:14" ht="18.75">
      <c r="M92" s="160" t="s">
        <v>330</v>
      </c>
      <c r="N92" s="161">
        <f>N86</f>
        <v>2015</v>
      </c>
    </row>
    <row r="96" spans="12:14">
      <c r="M96" s="102" t="s">
        <v>128</v>
      </c>
      <c r="N96" s="152">
        <f>N59</f>
        <v>2457102.5975282784</v>
      </c>
    </row>
    <row r="97" spans="13:14">
      <c r="M97" s="102" t="s">
        <v>331</v>
      </c>
      <c r="N97" s="152">
        <f>N96+1.5</f>
        <v>2457104.0975282784</v>
      </c>
    </row>
    <row r="98" spans="13:14">
      <c r="M98" s="102"/>
      <c r="N98" s="102">
        <f>N97/7</f>
        <v>351014.87107546831</v>
      </c>
    </row>
    <row r="99" spans="13:14">
      <c r="M99" s="102"/>
      <c r="N99" s="102">
        <f>TRUNC(N98)</f>
        <v>351014</v>
      </c>
    </row>
    <row r="100" spans="13:14">
      <c r="M100" s="102"/>
      <c r="N100" s="102">
        <f>N98-N99</f>
        <v>0.87107546831248328</v>
      </c>
    </row>
    <row r="101" spans="13:14">
      <c r="M101" s="102"/>
      <c r="N101" s="102">
        <f>TRUNC(N100*7.001)</f>
        <v>6</v>
      </c>
    </row>
    <row r="102" spans="13:14" ht="23.25">
      <c r="M102" s="162" t="s">
        <v>329</v>
      </c>
      <c r="N102" s="163" t="str">
        <f>IF(N101=0,"Sunday",IF(N101=1,"Monday",IF(N101=2,"Tuesday",IF(N101=3,"Wedenesday",IF(N101=4,"Thursday",IF(N101=5,"Friday",IF(N101=6,"Saturday")))))))</f>
        <v>Saturday</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EQT</vt:lpstr>
      <vt:lpstr>Sheet5</vt:lpstr>
      <vt:lpstr>ShMOON RISE</vt:lpstr>
      <vt:lpstr>Moon FQ</vt:lpstr>
      <vt:lpstr>Sheet2</vt:lpstr>
      <vt:lpstr>Moon LQ</vt:lpstr>
      <vt:lpstr>MEEUS</vt:lpstr>
      <vt:lpstr>eclipse nm</vt:lpstr>
      <vt:lpstr>sidereal</vt:lpstr>
      <vt:lpstr>D-1</vt:lpstr>
      <vt:lpstr>D+1</vt:lpstr>
      <vt:lpstr>moon form</vt:lpstr>
      <vt:lpstr>moon form 2</vt:lpstr>
      <vt:lpstr>moon Form 3</vt:lpstr>
      <vt:lpstr>M4</vt:lpstr>
      <vt:lpstr>m5</vt:lpstr>
      <vt:lpstr>Sheet1</vt:lpstr>
      <vt:lpstr>monn full</vt:lpstr>
      <vt:lpstr>Eclips-FM-C-day</vt:lpstr>
      <vt:lpstr>Moon new</vt:lpstr>
      <vt:lpstr>DyT</vt:lpstr>
      <vt:lpstr>Solar Eclips</vt:lpstr>
      <vt:lpstr>prigee-</vt:lpstr>
      <vt:lpstr>pr</vt:lpstr>
      <vt:lpstr>apogee</vt:lpstr>
      <vt:lpstr>parallex</vt:lpstr>
      <vt:lpstr>Eclipse FM</vt:lpstr>
      <vt:lpstr>Summary</vt:lpstr>
      <vt:lpstr>D</vt:lpstr>
      <vt:lpstr>Miladi</vt:lpstr>
      <vt:lpstr>Hijri</vt:lpstr>
      <vt:lpstr>DN</vt:lpstr>
      <vt:lpstr>day</vt:lpstr>
      <vt:lpstr>D-week</vt:lpstr>
      <vt:lpstr>Max-Dec</vt:lpstr>
      <vt:lpstr>node-Ac</vt:lpstr>
      <vt:lpstr>node-Dec</vt:lpstr>
    </vt:vector>
  </TitlesOfParts>
  <Company>HP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abdul-latif</cp:lastModifiedBy>
  <dcterms:created xsi:type="dcterms:W3CDTF">2012-04-04T19:59:05Z</dcterms:created>
  <dcterms:modified xsi:type="dcterms:W3CDTF">2015-03-19T06:14:41Z</dcterms:modified>
</cp:coreProperties>
</file>