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jpeg" ContentType="image/jpeg"/>
  <Override PartName="/xl/drawings/drawing5.xml" ContentType="application/vnd.openxmlformats-officedocument.drawing+xml"/>
  <Default Extension="emf" ContentType="image/x-emf"/>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48" windowWidth="17172" windowHeight="7392" firstSheet="17" activeTab="27"/>
  </bookViews>
  <sheets>
    <sheet name="Sheet3" sheetId="3" r:id="rId1"/>
    <sheet name="Sheet4" sheetId="4" r:id="rId2"/>
    <sheet name="Sheet5" sheetId="5" r:id="rId3"/>
    <sheet name="Sheet6" sheetId="6" r:id="rId4"/>
    <sheet name="Sun" sheetId="7" r:id="rId5"/>
    <sheet name="moon" sheetId="8" r:id="rId6"/>
    <sheet name="Jul-Geor" sheetId="9" r:id="rId7"/>
    <sheet name="Sheet1" sheetId="12" r:id="rId8"/>
    <sheet name="Sheet7" sheetId="13" r:id="rId9"/>
    <sheet name="Sheet8" sheetId="14" r:id="rId10"/>
    <sheet name="Sheet9" sheetId="18" r:id="rId11"/>
    <sheet name="Sheet12" sheetId="25" r:id="rId12"/>
    <sheet name="Sheet11" sheetId="24" r:id="rId13"/>
    <sheet name="Sheet13" sheetId="26" r:id="rId14"/>
    <sheet name="formulas" sheetId="2" r:id="rId15"/>
    <sheet name="Geor-Jul" sheetId="1" r:id="rId16"/>
    <sheet name="sunrise2" sheetId="23" r:id="rId17"/>
    <sheet name="NEW" sheetId="17" r:id="rId18"/>
    <sheet name="NEW2" sheetId="19" r:id="rId19"/>
    <sheet name="Algorithm" sheetId="11" r:id="rId20"/>
    <sheet name="alg2" sheetId="21" r:id="rId21"/>
    <sheet name="alg3" sheetId="22" r:id="rId22"/>
    <sheet name="sun rise" sheetId="10" r:id="rId23"/>
    <sheet name="Meeus" sheetId="27" r:id="rId24"/>
    <sheet name="Sidereal" sheetId="28" r:id="rId25"/>
    <sheet name="Sun-Coord" sheetId="31" r:id="rId26"/>
    <sheet name="EQT" sheetId="30" r:id="rId27"/>
    <sheet name="Summary" sheetId="29" r:id="rId28"/>
    <sheet name="si-eps" sheetId="32" r:id="rId29"/>
  </sheets>
  <externalReferences>
    <externalReference r:id="rId30"/>
  </externalReferences>
  <definedNames>
    <definedName name="azimutwinkel" localSheetId="12">Sheet11!$D$138</definedName>
    <definedName name="berechnen" localSheetId="12">Sheet11!$D$3</definedName>
    <definedName name="declination" localSheetId="12">Sheet11!$D$97</definedName>
    <definedName name="Description" localSheetId="9">Sheet8!$H$3</definedName>
    <definedName name="flaeche" localSheetId="12">Sheet11!$D$211</definedName>
    <definedName name="Formulas" localSheetId="9">Sheet8!$H$16</definedName>
    <definedName name="hohenwinkel" localSheetId="12">Sheet11!$D$124</definedName>
    <definedName name="Iteration" localSheetId="9">Sheet8!$H$63</definedName>
    <definedName name="ort" localSheetId="12">Sheet11!$D$58</definedName>
    <definedName name="sonnenaufgang" localSheetId="12">Sheet11!$D$151</definedName>
    <definedName name="sonnenzeit" localSheetId="12">Sheet11!$D$65</definedName>
    <definedName name="stundenwinkel" localSheetId="12">Sheet11!$D$110</definedName>
    <definedName name="twig02a" localSheetId="10">Sheet9!$D$11</definedName>
    <definedName name="twig02b" localSheetId="10">Sheet9!$D$67</definedName>
    <definedName name="twig02c" localSheetId="7">Sheet1!$E$40</definedName>
    <definedName name="twig02e" localSheetId="7">Sheet1!$E$95</definedName>
    <definedName name="zeit" localSheetId="12">Sheet11!$D$39</definedName>
    <definedName name="zeitgleichung" localSheetId="12">Sheet11!$D$75</definedName>
  </definedNames>
  <calcPr calcId="124519"/>
</workbook>
</file>

<file path=xl/calcChain.xml><?xml version="1.0" encoding="utf-8"?>
<calcChain xmlns="http://schemas.openxmlformats.org/spreadsheetml/2006/main">
  <c r="H23" i="32"/>
  <c r="E8" i="10" l="1"/>
  <c r="H8" s="1"/>
  <c r="G8"/>
  <c r="F8"/>
  <c r="B13" i="32"/>
  <c r="C13"/>
  <c r="B14"/>
  <c r="C14"/>
  <c r="B15"/>
  <c r="C15"/>
  <c r="B16"/>
  <c r="B17"/>
  <c r="B11"/>
  <c r="B12"/>
  <c r="C12"/>
  <c r="B3"/>
  <c r="B4"/>
  <c r="B5"/>
  <c r="B6"/>
  <c r="C6"/>
  <c r="B7"/>
  <c r="B8"/>
  <c r="B9"/>
  <c r="C9"/>
  <c r="B10"/>
  <c r="C10"/>
  <c r="B2"/>
  <c r="B1"/>
  <c r="L4" i="30"/>
  <c r="K4"/>
  <c r="C23" i="31"/>
  <c r="C24" l="1"/>
  <c r="C25" s="1"/>
  <c r="C27" l="1"/>
  <c r="J3" i="27" l="1"/>
  <c r="I3" i="30" s="1"/>
  <c r="I4" s="1"/>
  <c r="K3" i="27"/>
  <c r="K4" s="1"/>
  <c r="L3"/>
  <c r="K3" i="30" s="1"/>
  <c r="M3" i="27"/>
  <c r="L3" i="30" s="1"/>
  <c r="I3" i="27"/>
  <c r="H3" i="30" s="1"/>
  <c r="H4" s="1"/>
  <c r="F3" i="27"/>
  <c r="I3" i="11" s="1"/>
  <c r="I3" i="21" s="1"/>
  <c r="G3" i="27"/>
  <c r="F3" i="30" s="1"/>
  <c r="H42"/>
  <c r="G42"/>
  <c r="F42"/>
  <c r="E42"/>
  <c r="D42"/>
  <c r="H39"/>
  <c r="G39"/>
  <c r="F39"/>
  <c r="E39"/>
  <c r="D39" s="1"/>
  <c r="H36"/>
  <c r="G36"/>
  <c r="F36"/>
  <c r="E36"/>
  <c r="D36" s="1"/>
  <c r="H33"/>
  <c r="G33"/>
  <c r="F33"/>
  <c r="E33"/>
  <c r="D33" s="1"/>
  <c r="L2"/>
  <c r="K2"/>
  <c r="J2"/>
  <c r="I2"/>
  <c r="H2"/>
  <c r="F2"/>
  <c r="E2"/>
  <c r="D2"/>
  <c r="E3" i="27"/>
  <c r="H3" i="17" s="1"/>
  <c r="E115" i="19"/>
  <c r="E114"/>
  <c r="E114" i="17"/>
  <c r="J4" i="27" l="1"/>
  <c r="I3" i="19"/>
  <c r="J3" i="30"/>
  <c r="J4" s="1"/>
  <c r="J3" i="19"/>
  <c r="E3" i="30"/>
  <c r="H3" i="11"/>
  <c r="H3" i="21" s="1"/>
  <c r="G20" s="1"/>
  <c r="D3" i="30"/>
  <c r="H3" i="19"/>
  <c r="G20" s="1"/>
  <c r="I4" i="27"/>
  <c r="H3" s="1"/>
  <c r="I3" i="17"/>
  <c r="I4" s="1"/>
  <c r="F4" i="27"/>
  <c r="J3" i="17"/>
  <c r="J3" i="11"/>
  <c r="J3" i="21" s="1"/>
  <c r="I3" i="22"/>
  <c r="I4" s="1"/>
  <c r="E4" i="27"/>
  <c r="J67" i="23"/>
  <c r="I66"/>
  <c r="J65"/>
  <c r="J66" s="1"/>
  <c r="I34"/>
  <c r="L3"/>
  <c r="K3"/>
  <c r="J3"/>
  <c r="I3"/>
  <c r="H3"/>
  <c r="G20" s="1"/>
  <c r="I34" i="11"/>
  <c r="J67" i="22"/>
  <c r="I66"/>
  <c r="J65"/>
  <c r="J66" s="1"/>
  <c r="J68" s="1"/>
  <c r="L3"/>
  <c r="K3"/>
  <c r="J67" i="21"/>
  <c r="I66"/>
  <c r="J65"/>
  <c r="J66" s="1"/>
  <c r="L3"/>
  <c r="K3"/>
  <c r="J67" i="19"/>
  <c r="I66"/>
  <c r="J65"/>
  <c r="J66" s="1"/>
  <c r="L3"/>
  <c r="K3"/>
  <c r="J67" i="17"/>
  <c r="I66"/>
  <c r="J65"/>
  <c r="J66" s="1"/>
  <c r="J68" s="1"/>
  <c r="L3"/>
  <c r="K3"/>
  <c r="G20"/>
  <c r="I66" i="11"/>
  <c r="J67"/>
  <c r="J65"/>
  <c r="J66" s="1"/>
  <c r="I67" s="1"/>
  <c r="I4"/>
  <c r="L3"/>
  <c r="K3"/>
  <c r="F30" i="1"/>
  <c r="I7" i="10"/>
  <c r="F18"/>
  <c r="I29"/>
  <c r="H17"/>
  <c r="R25" i="2"/>
  <c r="J4" i="23" l="1"/>
  <c r="D4" i="30"/>
  <c r="E4"/>
  <c r="H3" i="22"/>
  <c r="G20" s="1"/>
  <c r="G3" i="30"/>
  <c r="F4" s="1"/>
  <c r="G4" i="27"/>
  <c r="J3" i="22"/>
  <c r="J4" s="1"/>
  <c r="E10" i="27"/>
  <c r="C114" i="19"/>
  <c r="C117"/>
  <c r="C114" i="17"/>
  <c r="E116"/>
  <c r="C117"/>
  <c r="E118"/>
  <c r="I69" i="11"/>
  <c r="I70" s="1"/>
  <c r="I69" i="17"/>
  <c r="I70" s="1"/>
  <c r="I69" i="21"/>
  <c r="I70" s="1"/>
  <c r="I69" i="22"/>
  <c r="I70" s="1"/>
  <c r="J68" i="11"/>
  <c r="E116" i="19"/>
  <c r="E118"/>
  <c r="J4"/>
  <c r="J4" i="21"/>
  <c r="I4" i="23"/>
  <c r="J68"/>
  <c r="I67"/>
  <c r="H4"/>
  <c r="I69"/>
  <c r="I70" s="1"/>
  <c r="I4" i="21"/>
  <c r="I67" i="22"/>
  <c r="J68" i="21"/>
  <c r="H4"/>
  <c r="I67"/>
  <c r="J68" i="19"/>
  <c r="I67"/>
  <c r="I4"/>
  <c r="I69"/>
  <c r="I70" s="1"/>
  <c r="H4"/>
  <c r="H4" i="17"/>
  <c r="J4"/>
  <c r="I67"/>
  <c r="J4" i="11"/>
  <c r="H4"/>
  <c r="G20"/>
  <c r="N41" i="3"/>
  <c r="E40"/>
  <c r="H4" i="22" l="1"/>
  <c r="G21" s="1"/>
  <c r="E11" i="27"/>
  <c r="E12" s="1"/>
  <c r="G21" i="23"/>
  <c r="G22" s="1"/>
  <c r="G21" i="21"/>
  <c r="G30" s="1"/>
  <c r="G21" i="11"/>
  <c r="G29" s="1"/>
  <c r="G31" s="1"/>
  <c r="G21" i="17"/>
  <c r="F6" i="9"/>
  <c r="F3"/>
  <c r="F12"/>
  <c r="F13"/>
  <c r="F14"/>
  <c r="F15"/>
  <c r="F16"/>
  <c r="F17"/>
  <c r="F18"/>
  <c r="F19"/>
  <c r="B17"/>
  <c r="C17"/>
  <c r="D17"/>
  <c r="C3"/>
  <c r="D3"/>
  <c r="C4"/>
  <c r="D4"/>
  <c r="C5"/>
  <c r="D5"/>
  <c r="C6"/>
  <c r="D6"/>
  <c r="C7"/>
  <c r="D7"/>
  <c r="C8"/>
  <c r="D8"/>
  <c r="C9"/>
  <c r="D9"/>
  <c r="C10"/>
  <c r="D10"/>
  <c r="C11"/>
  <c r="D11"/>
  <c r="C12"/>
  <c r="D12"/>
  <c r="C13"/>
  <c r="D13"/>
  <c r="C14"/>
  <c r="D14"/>
  <c r="C15"/>
  <c r="D15"/>
  <c r="C16"/>
  <c r="D16"/>
  <c r="D2"/>
  <c r="C2"/>
  <c r="B3"/>
  <c r="B4"/>
  <c r="B5"/>
  <c r="B6"/>
  <c r="B7"/>
  <c r="B8"/>
  <c r="B9"/>
  <c r="B10"/>
  <c r="B11"/>
  <c r="B12"/>
  <c r="B13"/>
  <c r="B14"/>
  <c r="B15"/>
  <c r="B16"/>
  <c r="B2"/>
  <c r="F32" i="1"/>
  <c r="F31"/>
  <c r="D5" i="28" l="1"/>
  <c r="D9" s="1"/>
  <c r="D10" s="1"/>
  <c r="D11" s="1"/>
  <c r="D12" s="1"/>
  <c r="D13" s="1"/>
  <c r="D14" s="1"/>
  <c r="I8" i="30"/>
  <c r="I9" s="1"/>
  <c r="I7"/>
  <c r="E53" s="1"/>
  <c r="E54" s="1"/>
  <c r="Q3" i="32" s="1"/>
  <c r="R3" s="1"/>
  <c r="R4" s="1"/>
  <c r="R5" s="1"/>
  <c r="R6" s="1"/>
  <c r="R7" s="1"/>
  <c r="G22" i="21"/>
  <c r="G23" s="1"/>
  <c r="G23" i="23"/>
  <c r="G24"/>
  <c r="G22" i="11"/>
  <c r="G24" s="1"/>
  <c r="G30"/>
  <c r="G30" i="22"/>
  <c r="G22"/>
  <c r="G30" i="17"/>
  <c r="G29"/>
  <c r="G31" s="1"/>
  <c r="G22"/>
  <c r="G33" i="11"/>
  <c r="G32"/>
  <c r="H14" i="6"/>
  <c r="H15" s="1"/>
  <c r="H17" s="1"/>
  <c r="H18" s="1"/>
  <c r="E44" i="30" l="1"/>
  <c r="C6" i="31"/>
  <c r="C1" i="32" s="1"/>
  <c r="Q19" s="1"/>
  <c r="H9" i="28"/>
  <c r="H10" s="1"/>
  <c r="G23" i="11"/>
  <c r="G25" s="1"/>
  <c r="G24" i="21"/>
  <c r="G25" s="1"/>
  <c r="G25" i="23"/>
  <c r="G33" i="17"/>
  <c r="G23" i="22"/>
  <c r="G24"/>
  <c r="G40" i="11"/>
  <c r="G34"/>
  <c r="H34" s="1"/>
  <c r="G35"/>
  <c r="G23" i="17"/>
  <c r="G24"/>
  <c r="G32"/>
  <c r="G51" i="11"/>
  <c r="G56" s="1"/>
  <c r="G36"/>
  <c r="C70" i="1"/>
  <c r="Q17" i="32" l="1"/>
  <c r="Q16"/>
  <c r="Q18"/>
  <c r="I13" i="30"/>
  <c r="I14" s="1"/>
  <c r="E45"/>
  <c r="E46" s="1"/>
  <c r="L26" i="32"/>
  <c r="N26" s="1"/>
  <c r="L24"/>
  <c r="N24" s="1"/>
  <c r="L29"/>
  <c r="N29" s="1"/>
  <c r="L33"/>
  <c r="N33" s="1"/>
  <c r="L37"/>
  <c r="N37" s="1"/>
  <c r="L41"/>
  <c r="N41" s="1"/>
  <c r="L45"/>
  <c r="N45" s="1"/>
  <c r="L49"/>
  <c r="N49" s="1"/>
  <c r="L53"/>
  <c r="N53" s="1"/>
  <c r="L57"/>
  <c r="N57" s="1"/>
  <c r="L61"/>
  <c r="N61" s="1"/>
  <c r="L65"/>
  <c r="N65" s="1"/>
  <c r="L69"/>
  <c r="N69" s="1"/>
  <c r="L73"/>
  <c r="N73" s="1"/>
  <c r="L77"/>
  <c r="N77" s="1"/>
  <c r="L81"/>
  <c r="N81" s="1"/>
  <c r="L85"/>
  <c r="N85" s="1"/>
  <c r="I26"/>
  <c r="M26" s="1"/>
  <c r="I30"/>
  <c r="M30" s="1"/>
  <c r="I34"/>
  <c r="M34" s="1"/>
  <c r="I38"/>
  <c r="M38" s="1"/>
  <c r="I42"/>
  <c r="M42" s="1"/>
  <c r="I46"/>
  <c r="M46" s="1"/>
  <c r="I50"/>
  <c r="M50" s="1"/>
  <c r="I54"/>
  <c r="M54" s="1"/>
  <c r="I58"/>
  <c r="M58" s="1"/>
  <c r="I62"/>
  <c r="M62" s="1"/>
  <c r="I66"/>
  <c r="M66" s="1"/>
  <c r="I70"/>
  <c r="M70" s="1"/>
  <c r="I74"/>
  <c r="M74" s="1"/>
  <c r="I78"/>
  <c r="M78" s="1"/>
  <c r="I82"/>
  <c r="M82" s="1"/>
  <c r="I23"/>
  <c r="M23" s="1"/>
  <c r="L28"/>
  <c r="N28" s="1"/>
  <c r="L32"/>
  <c r="N32" s="1"/>
  <c r="L36"/>
  <c r="N36" s="1"/>
  <c r="L40"/>
  <c r="N40" s="1"/>
  <c r="L44"/>
  <c r="N44" s="1"/>
  <c r="L48"/>
  <c r="N48" s="1"/>
  <c r="L52"/>
  <c r="N52" s="1"/>
  <c r="L56"/>
  <c r="N56" s="1"/>
  <c r="L60"/>
  <c r="N60" s="1"/>
  <c r="L64"/>
  <c r="N64" s="1"/>
  <c r="L68"/>
  <c r="N68" s="1"/>
  <c r="L72"/>
  <c r="N72" s="1"/>
  <c r="L76"/>
  <c r="N76" s="1"/>
  <c r="L80"/>
  <c r="N80" s="1"/>
  <c r="L84"/>
  <c r="N84" s="1"/>
  <c r="I25"/>
  <c r="M25" s="1"/>
  <c r="I29"/>
  <c r="M29" s="1"/>
  <c r="I33"/>
  <c r="M33" s="1"/>
  <c r="I37"/>
  <c r="M37" s="1"/>
  <c r="I41"/>
  <c r="M41" s="1"/>
  <c r="I45"/>
  <c r="M45" s="1"/>
  <c r="I49"/>
  <c r="M49" s="1"/>
  <c r="I53"/>
  <c r="M53" s="1"/>
  <c r="I57"/>
  <c r="M57" s="1"/>
  <c r="I61"/>
  <c r="M61" s="1"/>
  <c r="I65"/>
  <c r="M65" s="1"/>
  <c r="I69"/>
  <c r="M69" s="1"/>
  <c r="I73"/>
  <c r="M73" s="1"/>
  <c r="I77"/>
  <c r="M77" s="1"/>
  <c r="I81"/>
  <c r="M81" s="1"/>
  <c r="I85"/>
  <c r="M85" s="1"/>
  <c r="L27"/>
  <c r="N27" s="1"/>
  <c r="L31"/>
  <c r="N31" s="1"/>
  <c r="L35"/>
  <c r="N35" s="1"/>
  <c r="L39"/>
  <c r="N39" s="1"/>
  <c r="L43"/>
  <c r="N43" s="1"/>
  <c r="L47"/>
  <c r="N47" s="1"/>
  <c r="L51"/>
  <c r="N51" s="1"/>
  <c r="L55"/>
  <c r="N55" s="1"/>
  <c r="L59"/>
  <c r="N59" s="1"/>
  <c r="L63"/>
  <c r="N63" s="1"/>
  <c r="L67"/>
  <c r="N67" s="1"/>
  <c r="L71"/>
  <c r="N71" s="1"/>
  <c r="L75"/>
  <c r="N75" s="1"/>
  <c r="L79"/>
  <c r="N79" s="1"/>
  <c r="L83"/>
  <c r="N83" s="1"/>
  <c r="I24"/>
  <c r="M24" s="1"/>
  <c r="I28"/>
  <c r="M28" s="1"/>
  <c r="I32"/>
  <c r="M32" s="1"/>
  <c r="I36"/>
  <c r="M36" s="1"/>
  <c r="I40"/>
  <c r="M40" s="1"/>
  <c r="I44"/>
  <c r="M44" s="1"/>
  <c r="I48"/>
  <c r="M48" s="1"/>
  <c r="I52"/>
  <c r="M52" s="1"/>
  <c r="I56"/>
  <c r="M56" s="1"/>
  <c r="I60"/>
  <c r="M60" s="1"/>
  <c r="I64"/>
  <c r="M64" s="1"/>
  <c r="I68"/>
  <c r="M68" s="1"/>
  <c r="I72"/>
  <c r="M72" s="1"/>
  <c r="I76"/>
  <c r="M76" s="1"/>
  <c r="I80"/>
  <c r="M80" s="1"/>
  <c r="I84"/>
  <c r="M84" s="1"/>
  <c r="Q15"/>
  <c r="L25"/>
  <c r="N25" s="1"/>
  <c r="L30"/>
  <c r="N30" s="1"/>
  <c r="L34"/>
  <c r="N34" s="1"/>
  <c r="L38"/>
  <c r="N38" s="1"/>
  <c r="L42"/>
  <c r="N42" s="1"/>
  <c r="L46"/>
  <c r="N46" s="1"/>
  <c r="L50"/>
  <c r="N50" s="1"/>
  <c r="L54"/>
  <c r="N54" s="1"/>
  <c r="L58"/>
  <c r="N58" s="1"/>
  <c r="L62"/>
  <c r="N62" s="1"/>
  <c r="L66"/>
  <c r="N66" s="1"/>
  <c r="L70"/>
  <c r="N70" s="1"/>
  <c r="L74"/>
  <c r="N74" s="1"/>
  <c r="L78"/>
  <c r="N78" s="1"/>
  <c r="L82"/>
  <c r="N82" s="1"/>
  <c r="L23"/>
  <c r="N23" s="1"/>
  <c r="I27"/>
  <c r="M27" s="1"/>
  <c r="I31"/>
  <c r="M31" s="1"/>
  <c r="I35"/>
  <c r="M35" s="1"/>
  <c r="I39"/>
  <c r="M39" s="1"/>
  <c r="I43"/>
  <c r="M43" s="1"/>
  <c r="I47"/>
  <c r="M47" s="1"/>
  <c r="I51"/>
  <c r="M51" s="1"/>
  <c r="I55"/>
  <c r="M55" s="1"/>
  <c r="I59"/>
  <c r="M59" s="1"/>
  <c r="I63"/>
  <c r="M63" s="1"/>
  <c r="I67"/>
  <c r="M67" s="1"/>
  <c r="I71"/>
  <c r="M71" s="1"/>
  <c r="I75"/>
  <c r="M75" s="1"/>
  <c r="I79"/>
  <c r="M79" s="1"/>
  <c r="I83"/>
  <c r="M83" s="1"/>
  <c r="C9" i="31"/>
  <c r="C8"/>
  <c r="C3" i="32" s="1"/>
  <c r="C7" i="31"/>
  <c r="C2" i="32" s="1"/>
  <c r="C21" i="31"/>
  <c r="H11" i="28"/>
  <c r="H12" s="1"/>
  <c r="H13" s="1"/>
  <c r="G36" i="17"/>
  <c r="G37" s="1"/>
  <c r="G34"/>
  <c r="G25" i="22"/>
  <c r="G35" i="17"/>
  <c r="G40"/>
  <c r="G25"/>
  <c r="G51"/>
  <c r="G56" s="1"/>
  <c r="G37" i="11"/>
  <c r="G38" s="1"/>
  <c r="G53" s="1"/>
  <c r="G63" s="1"/>
  <c r="M47" i="2"/>
  <c r="E48" i="3"/>
  <c r="F12" i="1"/>
  <c r="F14" s="1"/>
  <c r="F24" s="1"/>
  <c r="P54" i="32" l="1"/>
  <c r="P38"/>
  <c r="O79"/>
  <c r="O63"/>
  <c r="O47"/>
  <c r="O31"/>
  <c r="P78"/>
  <c r="P62"/>
  <c r="P46"/>
  <c r="P30"/>
  <c r="O84"/>
  <c r="O68"/>
  <c r="O52"/>
  <c r="O36"/>
  <c r="P83"/>
  <c r="P67"/>
  <c r="P51"/>
  <c r="P35"/>
  <c r="O85"/>
  <c r="O69"/>
  <c r="O53"/>
  <c r="O37"/>
  <c r="P84"/>
  <c r="P68"/>
  <c r="P52"/>
  <c r="P36"/>
  <c r="O23"/>
  <c r="O70"/>
  <c r="O54"/>
  <c r="O38"/>
  <c r="P85"/>
  <c r="P69"/>
  <c r="P53"/>
  <c r="P37"/>
  <c r="P70"/>
  <c r="O75"/>
  <c r="O59"/>
  <c r="O43"/>
  <c r="O27"/>
  <c r="P74"/>
  <c r="P58"/>
  <c r="P42"/>
  <c r="P25"/>
  <c r="O80"/>
  <c r="O64"/>
  <c r="O48"/>
  <c r="O32"/>
  <c r="P79"/>
  <c r="P63"/>
  <c r="P47"/>
  <c r="P31"/>
  <c r="O81"/>
  <c r="O65"/>
  <c r="O49"/>
  <c r="O33"/>
  <c r="P80"/>
  <c r="P64"/>
  <c r="P48"/>
  <c r="P32"/>
  <c r="O82"/>
  <c r="O66"/>
  <c r="O50"/>
  <c r="O34"/>
  <c r="P81"/>
  <c r="P65"/>
  <c r="P49"/>
  <c r="P33"/>
  <c r="P26"/>
  <c r="O71"/>
  <c r="O55"/>
  <c r="O39"/>
  <c r="O83"/>
  <c r="O67"/>
  <c r="O51"/>
  <c r="O35"/>
  <c r="P82"/>
  <c r="P66"/>
  <c r="P50"/>
  <c r="P34"/>
  <c r="O72"/>
  <c r="O56"/>
  <c r="O40"/>
  <c r="O24"/>
  <c r="P71"/>
  <c r="P55"/>
  <c r="P39"/>
  <c r="O73"/>
  <c r="O57"/>
  <c r="O41"/>
  <c r="O25"/>
  <c r="P72"/>
  <c r="P56"/>
  <c r="P40"/>
  <c r="O74"/>
  <c r="O58"/>
  <c r="O42"/>
  <c r="O26"/>
  <c r="P73"/>
  <c r="P57"/>
  <c r="P41"/>
  <c r="P24"/>
  <c r="E47" i="30"/>
  <c r="E48" s="1"/>
  <c r="P23" i="32"/>
  <c r="O76"/>
  <c r="O60"/>
  <c r="O44"/>
  <c r="O28"/>
  <c r="P75"/>
  <c r="P59"/>
  <c r="P43"/>
  <c r="P27"/>
  <c r="O77"/>
  <c r="O61"/>
  <c r="O45"/>
  <c r="O29"/>
  <c r="P76"/>
  <c r="P60"/>
  <c r="P44"/>
  <c r="P28"/>
  <c r="O78"/>
  <c r="O62"/>
  <c r="O46"/>
  <c r="O30"/>
  <c r="P77"/>
  <c r="P61"/>
  <c r="P45"/>
  <c r="P29"/>
  <c r="C34" i="31"/>
  <c r="C16" i="32"/>
  <c r="I11" i="30"/>
  <c r="C4" i="32"/>
  <c r="C10" i="31"/>
  <c r="I10" i="30"/>
  <c r="H14" i="28"/>
  <c r="G102" i="17"/>
  <c r="G103" s="1"/>
  <c r="G105" s="1"/>
  <c r="G38"/>
  <c r="G53" s="1"/>
  <c r="G63" s="1"/>
  <c r="G39"/>
  <c r="G42" s="1"/>
  <c r="G47" s="1"/>
  <c r="G58" i="11"/>
  <c r="G59" s="1"/>
  <c r="G74" s="1"/>
  <c r="G39"/>
  <c r="G42" s="1"/>
  <c r="G47" s="1"/>
  <c r="G62"/>
  <c r="F48" i="3"/>
  <c r="E43"/>
  <c r="F13" i="1"/>
  <c r="F25" s="1"/>
  <c r="E42" i="3"/>
  <c r="E41"/>
  <c r="I17" i="30" l="1"/>
  <c r="I18" s="1"/>
  <c r="I19" s="1"/>
  <c r="I20" s="1"/>
  <c r="I21" s="1"/>
  <c r="I23" s="1"/>
  <c r="O86" i="32"/>
  <c r="O87" s="1"/>
  <c r="P86"/>
  <c r="P87" s="1"/>
  <c r="Q4" s="1"/>
  <c r="Q5" s="1"/>
  <c r="Q6" s="1"/>
  <c r="Q7" s="1"/>
  <c r="Q8" s="1"/>
  <c r="C13" i="31"/>
  <c r="C5" i="32"/>
  <c r="C12" i="31"/>
  <c r="C7" i="32" s="1"/>
  <c r="I12" i="30"/>
  <c r="F27" i="1"/>
  <c r="F26"/>
  <c r="F28"/>
  <c r="G73" i="11"/>
  <c r="H73" s="1"/>
  <c r="G58" i="17"/>
  <c r="G59" s="1"/>
  <c r="G62"/>
  <c r="G64" i="11"/>
  <c r="G65" s="1"/>
  <c r="G66" s="1"/>
  <c r="F43" i="3"/>
  <c r="E44"/>
  <c r="E46" s="1"/>
  <c r="C16" i="31" l="1"/>
  <c r="C11" i="32" s="1"/>
  <c r="C8"/>
  <c r="C29" i="31"/>
  <c r="C30" s="1"/>
  <c r="C31" s="1"/>
  <c r="C22"/>
  <c r="F34" i="1"/>
  <c r="C113" i="17"/>
  <c r="G74"/>
  <c r="G73"/>
  <c r="E119"/>
  <c r="C116"/>
  <c r="E117"/>
  <c r="G64"/>
  <c r="G65" s="1"/>
  <c r="G66" s="1"/>
  <c r="G67" i="11"/>
  <c r="G75"/>
  <c r="G81" s="1"/>
  <c r="G76"/>
  <c r="G43" i="3"/>
  <c r="H43" s="1"/>
  <c r="I43" s="1"/>
  <c r="E45"/>
  <c r="E47" s="1"/>
  <c r="F47" s="1"/>
  <c r="F44"/>
  <c r="G44" s="1"/>
  <c r="H44" s="1"/>
  <c r="I44" s="1"/>
  <c r="C35" i="31" l="1"/>
  <c r="C36" s="1"/>
  <c r="C37" s="1"/>
  <c r="C38" s="1"/>
  <c r="C39" s="1"/>
  <c r="C17" i="32"/>
  <c r="G14" i="23"/>
  <c r="G15"/>
  <c r="H75" i="11"/>
  <c r="G14"/>
  <c r="G15" i="22"/>
  <c r="G15" i="21"/>
  <c r="G86" i="11"/>
  <c r="G87" s="1"/>
  <c r="G15" i="19"/>
  <c r="G15" i="17"/>
  <c r="G75"/>
  <c r="C115" s="1"/>
  <c r="C118" s="1"/>
  <c r="C119" s="1"/>
  <c r="E115" s="1"/>
  <c r="G111" s="1"/>
  <c r="G76"/>
  <c r="G81" s="1"/>
  <c r="G86" s="1"/>
  <c r="G93" s="1"/>
  <c r="G99" s="1"/>
  <c r="G67"/>
  <c r="G15" i="11"/>
  <c r="G17" s="1"/>
  <c r="H17" s="1"/>
  <c r="H13" i="10"/>
  <c r="F11"/>
  <c r="F12" s="1"/>
  <c r="F13" s="1"/>
  <c r="E49" i="3"/>
  <c r="F49" s="1"/>
  <c r="G49" s="1"/>
  <c r="H49" s="1"/>
  <c r="N6" i="2"/>
  <c r="N16" s="1"/>
  <c r="E50" i="3"/>
  <c r="E37" i="31" l="1"/>
  <c r="C40"/>
  <c r="C41" s="1"/>
  <c r="C42" s="1"/>
  <c r="G112" i="17"/>
  <c r="G113" s="1"/>
  <c r="G114" s="1"/>
  <c r="G115" s="1"/>
  <c r="G21" i="19" s="1"/>
  <c r="G17" i="17"/>
  <c r="H17" s="1"/>
  <c r="G16"/>
  <c r="H16" s="1"/>
  <c r="G17" i="23"/>
  <c r="H17" s="1"/>
  <c r="G16"/>
  <c r="H16" s="1"/>
  <c r="G88" i="11"/>
  <c r="G89" s="1"/>
  <c r="G90" s="1"/>
  <c r="G29" i="21"/>
  <c r="G31" s="1"/>
  <c r="G33" s="1"/>
  <c r="G93" i="11"/>
  <c r="G99" s="1"/>
  <c r="G16" i="22"/>
  <c r="H16" s="1"/>
  <c r="G17"/>
  <c r="H17" s="1"/>
  <c r="G17" i="21"/>
  <c r="H17" s="1"/>
  <c r="G16"/>
  <c r="H16" s="1"/>
  <c r="G17" i="19"/>
  <c r="H17" s="1"/>
  <c r="G16"/>
  <c r="H16" s="1"/>
  <c r="G16" i="11"/>
  <c r="H16" s="1"/>
  <c r="E51" i="3"/>
  <c r="N8" i="2"/>
  <c r="N15" s="1"/>
  <c r="N9"/>
  <c r="O9" s="1"/>
  <c r="P9" s="1"/>
  <c r="Q9" s="1"/>
  <c r="E52" i="3"/>
  <c r="E54" s="1"/>
  <c r="E53"/>
  <c r="N29" i="2"/>
  <c r="O16"/>
  <c r="G29" i="19" l="1"/>
  <c r="G30"/>
  <c r="G31" s="1"/>
  <c r="G32" s="1"/>
  <c r="G36" s="1"/>
  <c r="G37" s="1"/>
  <c r="G22"/>
  <c r="G32" i="21"/>
  <c r="G34" s="1"/>
  <c r="N10" i="2"/>
  <c r="N11" s="1"/>
  <c r="N12" s="1"/>
  <c r="O12" s="1"/>
  <c r="R9"/>
  <c r="F14" i="10"/>
  <c r="F15" s="1"/>
  <c r="O8" i="2"/>
  <c r="P8" s="1"/>
  <c r="Q8" s="1"/>
  <c r="R8" s="1"/>
  <c r="E55" i="3"/>
  <c r="G33" i="19" l="1"/>
  <c r="G34" s="1"/>
  <c r="G35"/>
  <c r="G38" s="1"/>
  <c r="G24"/>
  <c r="G23"/>
  <c r="G40"/>
  <c r="G39"/>
  <c r="G40" i="21"/>
  <c r="G35"/>
  <c r="G36"/>
  <c r="G51"/>
  <c r="G56" s="1"/>
  <c r="N17" i="2"/>
  <c r="N19"/>
  <c r="N30"/>
  <c r="N31" s="1"/>
  <c r="N32" s="1"/>
  <c r="N33" s="1"/>
  <c r="N27"/>
  <c r="N28"/>
  <c r="O10"/>
  <c r="P10" s="1"/>
  <c r="Q10" s="1"/>
  <c r="R10" s="1"/>
  <c r="N23"/>
  <c r="N24" s="1"/>
  <c r="N18"/>
  <c r="F16" i="10"/>
  <c r="G51" i="19" l="1"/>
  <c r="G56" s="1"/>
  <c r="G102"/>
  <c r="G103" s="1"/>
  <c r="G105" s="1"/>
  <c r="G42"/>
  <c r="G47" s="1"/>
  <c r="G25"/>
  <c r="F20" i="10"/>
  <c r="F19"/>
  <c r="G37" i="21"/>
  <c r="G38" s="1"/>
  <c r="G53" s="1"/>
  <c r="G63" s="1"/>
  <c r="I20" i="10"/>
  <c r="F17"/>
  <c r="N20" i="2"/>
  <c r="N21" s="1"/>
  <c r="N22" s="1"/>
  <c r="R24" s="1"/>
  <c r="N36"/>
  <c r="N37" s="1"/>
  <c r="M48" s="1"/>
  <c r="F27" i="10"/>
  <c r="M50" i="2"/>
  <c r="G53" i="19" l="1"/>
  <c r="G63" s="1"/>
  <c r="F21" i="10"/>
  <c r="F22" s="1"/>
  <c r="F26" s="1"/>
  <c r="F28" s="1"/>
  <c r="G30" i="23" s="1"/>
  <c r="G39" i="21"/>
  <c r="G42" s="1"/>
  <c r="G47" s="1"/>
  <c r="G58"/>
  <c r="G59" s="1"/>
  <c r="G74" s="1"/>
  <c r="G62"/>
  <c r="I21" i="10"/>
  <c r="N25" i="2"/>
  <c r="O25" s="1"/>
  <c r="E56" i="3" s="1"/>
  <c r="E57" s="1"/>
  <c r="M49" i="2"/>
  <c r="M51" s="1"/>
  <c r="M52" s="1"/>
  <c r="M53" s="1"/>
  <c r="G58" i="19" l="1"/>
  <c r="G59" s="1"/>
  <c r="C113" s="1"/>
  <c r="G62"/>
  <c r="G64" s="1"/>
  <c r="G65" s="1"/>
  <c r="G66" s="1"/>
  <c r="G73" i="21"/>
  <c r="G75" s="1"/>
  <c r="H75" s="1"/>
  <c r="G64"/>
  <c r="G65" s="1"/>
  <c r="G66" s="1"/>
  <c r="F32" i="10"/>
  <c r="G29" i="23" s="1"/>
  <c r="G31" s="1"/>
  <c r="G32" s="1"/>
  <c r="G35" s="1"/>
  <c r="G67" i="19" l="1"/>
  <c r="E119"/>
  <c r="G74"/>
  <c r="G73"/>
  <c r="C116"/>
  <c r="E117"/>
  <c r="G111" s="1"/>
  <c r="G112" s="1"/>
  <c r="G113" s="1"/>
  <c r="G117" s="1"/>
  <c r="H76" i="21"/>
  <c r="H77" s="1"/>
  <c r="G76"/>
  <c r="G33" i="23"/>
  <c r="G51" s="1"/>
  <c r="G56" s="1"/>
  <c r="G67" i="21"/>
  <c r="G40" i="23"/>
  <c r="G36"/>
  <c r="G81" i="21"/>
  <c r="G86" s="1"/>
  <c r="G87" s="1"/>
  <c r="G88" s="1"/>
  <c r="G75" i="19" l="1"/>
  <c r="C115" s="1"/>
  <c r="C118" s="1"/>
  <c r="C119" s="1"/>
  <c r="G76"/>
  <c r="G81" s="1"/>
  <c r="G86" s="1"/>
  <c r="G93" s="1"/>
  <c r="G99" s="1"/>
  <c r="G124"/>
  <c r="G118"/>
  <c r="G94" i="21"/>
  <c r="G114" i="19"/>
  <c r="G115" s="1"/>
  <c r="G34" i="23"/>
  <c r="H34" s="1"/>
  <c r="G29" i="22"/>
  <c r="G31" s="1"/>
  <c r="G32" s="1"/>
  <c r="G40" s="1"/>
  <c r="G37" i="23"/>
  <c r="G38" s="1"/>
  <c r="G53" s="1"/>
  <c r="G119" i="19" l="1"/>
  <c r="G120" s="1"/>
  <c r="G121" s="1"/>
  <c r="G122" s="1"/>
  <c r="G125"/>
  <c r="G126" s="1"/>
  <c r="G127" s="1"/>
  <c r="G128" s="1"/>
  <c r="G129" s="1"/>
  <c r="G131"/>
  <c r="G101" i="21"/>
  <c r="G95"/>
  <c r="G96" s="1"/>
  <c r="G97" s="1"/>
  <c r="G98" s="1"/>
  <c r="G99" s="1"/>
  <c r="G100" s="1"/>
  <c r="G33" i="22"/>
  <c r="G34" s="1"/>
  <c r="G39" i="23"/>
  <c r="G42" s="1"/>
  <c r="G47" s="1"/>
  <c r="G89" i="21"/>
  <c r="G90" s="1"/>
  <c r="G63" i="23"/>
  <c r="G58"/>
  <c r="G59" s="1"/>
  <c r="G74" s="1"/>
  <c r="G62"/>
  <c r="G36" i="22"/>
  <c r="G35"/>
  <c r="G123" i="19" l="1"/>
  <c r="N11" i="29" s="1"/>
  <c r="G130" i="19"/>
  <c r="N12" i="29" s="1"/>
  <c r="G132" i="19"/>
  <c r="G133" s="1"/>
  <c r="G134" s="1"/>
  <c r="G102" i="21"/>
  <c r="G91"/>
  <c r="G51" i="22"/>
  <c r="G56" s="1"/>
  <c r="G73" i="23"/>
  <c r="G75" s="1"/>
  <c r="G64"/>
  <c r="G65" s="1"/>
  <c r="G66" s="1"/>
  <c r="G37" i="22"/>
  <c r="G39" s="1"/>
  <c r="G42" s="1"/>
  <c r="G47" s="1"/>
  <c r="G135" i="19" l="1"/>
  <c r="G136" s="1"/>
  <c r="G137" s="1"/>
  <c r="N13" i="29" s="1"/>
  <c r="G103" i="21"/>
  <c r="G104" s="1"/>
  <c r="G105" s="1"/>
  <c r="G106" s="1"/>
  <c r="G92"/>
  <c r="G93" s="1"/>
  <c r="G81" i="23"/>
  <c r="G86" s="1"/>
  <c r="G93" s="1"/>
  <c r="G99" s="1"/>
  <c r="G67"/>
  <c r="G76"/>
  <c r="H75"/>
  <c r="G38" i="22"/>
  <c r="G53" s="1"/>
  <c r="G63" s="1"/>
  <c r="G107" i="21" l="1"/>
  <c r="G58" i="22"/>
  <c r="G59" s="1"/>
  <c r="G62"/>
  <c r="G74" l="1"/>
  <c r="G73"/>
  <c r="G64"/>
  <c r="G65" s="1"/>
  <c r="G66" s="1"/>
  <c r="G76" l="1"/>
  <c r="G75"/>
  <c r="G81" s="1"/>
  <c r="G67"/>
  <c r="G86" l="1"/>
  <c r="G87" s="1"/>
  <c r="G88" l="1"/>
  <c r="G94"/>
  <c r="G95" l="1"/>
  <c r="G96" s="1"/>
  <c r="G97" s="1"/>
  <c r="G98" s="1"/>
  <c r="G99" s="1"/>
  <c r="G101"/>
  <c r="G89"/>
  <c r="G90" s="1"/>
  <c r="G91" s="1"/>
  <c r="G92" s="1"/>
  <c r="G102" l="1"/>
  <c r="G93"/>
  <c r="M11" i="29" s="1"/>
  <c r="G100" i="22"/>
  <c r="M12" i="29" s="1"/>
  <c r="G103" i="22" l="1"/>
  <c r="G104" s="1"/>
  <c r="G105" s="1"/>
  <c r="G106" s="1"/>
  <c r="G107" l="1"/>
  <c r="M13" i="29" s="1"/>
</calcChain>
</file>

<file path=xl/sharedStrings.xml><?xml version="1.0" encoding="utf-8"?>
<sst xmlns="http://schemas.openxmlformats.org/spreadsheetml/2006/main" count="2086" uniqueCount="1098">
  <si>
    <t>onverting Gregorian calendar date to Julian Day Number</t>
  </si>
  <si>
    <t>The algorithm is valid for all Gregorian calendar dates starting on March 1, 4801 BC (astronomical year -4800) at noon UT.[14]</t>
  </si>
  <si>
    <t>You must compute first:</t>
  </si>
  <si>
    <t>then compute:</t>
  </si>
  <si>
    <t>month</t>
  </si>
  <si>
    <t>year</t>
  </si>
  <si>
    <t>a=</t>
  </si>
  <si>
    <t>y=</t>
  </si>
  <si>
    <t>m=</t>
  </si>
  <si>
    <t>JDN=</t>
  </si>
  <si>
    <t>day</t>
  </si>
  <si>
    <t xml:space="preserve">   d = jd - 2451545.0;  // jd is the given Julian date </t>
  </si>
  <si>
    <t xml:space="preserve">   g = 357.529 + 0.98560028* d;</t>
  </si>
  <si>
    <t xml:space="preserve">   q = 280.459 + 0.98564736* d;</t>
  </si>
  <si>
    <t xml:space="preserve">   L = q + 1.915* sin(g) + 0.020* sin(2*g);</t>
  </si>
  <si>
    <t xml:space="preserve">   R = 1.00014 - 0.01671* cos(g) - 0.00014* cos(2*g);</t>
  </si>
  <si>
    <t xml:space="preserve">   e = 23.439 - 0.00000036* d;</t>
  </si>
  <si>
    <t xml:space="preserve">   RA = arctan2(cos(e)* sin(L), cos(L))/ 15;</t>
  </si>
  <si>
    <t xml:space="preserve">   D = arcsin(sin(e)* sin(L));  // declination of the Sun</t>
  </si>
  <si>
    <t xml:space="preserve">   EqT = q/15 - RA;  // equation of time</t>
  </si>
  <si>
    <t>d=</t>
  </si>
  <si>
    <t>g=</t>
  </si>
  <si>
    <t>q=</t>
  </si>
  <si>
    <t>R=</t>
  </si>
  <si>
    <t>e=</t>
  </si>
  <si>
    <t>RA=</t>
  </si>
  <si>
    <t>D=</t>
  </si>
  <si>
    <t>EqT=</t>
  </si>
  <si>
    <t>tan RA = cos e sin L / cos L</t>
  </si>
  <si>
    <t>sin d = sin e sin L</t>
  </si>
  <si>
    <t>CosL=</t>
  </si>
  <si>
    <t>SinL=</t>
  </si>
  <si>
    <t>Cos e=</t>
  </si>
  <si>
    <t>tan RA=</t>
  </si>
  <si>
    <t>Dhuhr = 12 + TimeZone - Lng/15 - EqT.</t>
  </si>
  <si>
    <t xml:space="preserve">    RA  = atan2( ye, xe )</t>
  </si>
  <si>
    <t xml:space="preserve">    xe = xs</t>
  </si>
  <si>
    <t xml:space="preserve">    ye = ys * cos(ecl)</t>
  </si>
  <si>
    <t xml:space="preserve">    xs = r * cos(lonsun)</t>
  </si>
  <si>
    <t xml:space="preserve">    ys = r * sin(lonsun)</t>
  </si>
  <si>
    <t>lonsun = v + w</t>
  </si>
  <si>
    <t>xv = r * cos(v) = cos(E) - e</t>
  </si>
  <si>
    <t xml:space="preserve">    yv = r * sin(v) = sqrt(1.0 - e*e) * sin(E)</t>
  </si>
  <si>
    <t xml:space="preserve">    v = atan2( yv, xv )</t>
  </si>
  <si>
    <t xml:space="preserve">    r = sqrt( xv*xv + yv*yv )</t>
  </si>
  <si>
    <t xml:space="preserve">    ecl = 23.4393 - 3.563E-7 * d</t>
  </si>
  <si>
    <t>N = longitude of the ascending node</t>
  </si>
  <si>
    <t xml:space="preserve">    i = inclination to the ecliptic (plane of the Earth's orbit)</t>
  </si>
  <si>
    <t xml:space="preserve">    w = argument of perihelion</t>
  </si>
  <si>
    <t xml:space="preserve">    a = semi-major axis, or mean distance from Sun</t>
  </si>
  <si>
    <t xml:space="preserve">    e = eccentricity (0=circle, 0-1=ellipse, 1=parabola)</t>
  </si>
  <si>
    <t xml:space="preserve">    M = mean anomaly (0 at perihelion; increases uniformly with time)</t>
  </si>
  <si>
    <t>Related orbital elements are:</t>
  </si>
  <si>
    <t xml:space="preserve">    w1 = N + w   = longitude of perihelion</t>
  </si>
  <si>
    <t xml:space="preserve">    L  = M + w1  = mean longitude</t>
  </si>
  <si>
    <t xml:space="preserve">    q  = a*(1-e) = perihelion distance</t>
  </si>
  <si>
    <t xml:space="preserve">    Q  = a*(1+e) = aphelion distance</t>
  </si>
  <si>
    <t xml:space="preserve">    P  = a ^ 1.5 = orbital period (years if a is in AU, astronomical units)</t>
  </si>
  <si>
    <r>
      <t xml:space="preserve">    T  = Epoch_of_M - (M</t>
    </r>
    <r>
      <rPr>
        <i/>
        <sz val="10"/>
        <color rgb="FF000000"/>
        <rFont val="Courier New"/>
        <family val="3"/>
      </rPr>
      <t>(deg)</t>
    </r>
    <r>
      <rPr>
        <sz val="10"/>
        <color rgb="FF000000"/>
        <rFont val="Courier New"/>
        <family val="3"/>
      </rPr>
      <t>/360_deg) / P  = time of perihelion</t>
    </r>
  </si>
  <si>
    <t xml:space="preserve">    v  = true anomaly (angle between position and perihelion)</t>
  </si>
  <si>
    <t xml:space="preserve">    E  = eccentric anomaly</t>
  </si>
  <si>
    <t xml:space="preserve">    d = 367*y - 7 * ( y + (m+9)/12 ) / 4 + 275*m/9 + D - 730530</t>
  </si>
  <si>
    <t>Orbital elements of the Sun:</t>
  </si>
  <si>
    <t xml:space="preserve">    N = 0.0</t>
  </si>
  <si>
    <t xml:space="preserve">    i = 0.0</t>
  </si>
  <si>
    <t xml:space="preserve">    w = 282.9404 + 4.70935E-5 * d</t>
  </si>
  <si>
    <r>
      <t xml:space="preserve">    a = 1.000000  </t>
    </r>
    <r>
      <rPr>
        <i/>
        <sz val="10"/>
        <color rgb="FF000000"/>
        <rFont val="Courier New"/>
        <family val="3"/>
      </rPr>
      <t>(AU)</t>
    </r>
  </si>
  <si>
    <t xml:space="preserve">    e = 0.016709 - 1.151E-9 * d</t>
  </si>
  <si>
    <t xml:space="preserve">    M = 356.0470 + 0.9856002585 * d</t>
  </si>
  <si>
    <t>Date=</t>
  </si>
  <si>
    <t>ec1=</t>
  </si>
  <si>
    <t>xv=</t>
  </si>
  <si>
    <t>E = M + e * sin(M) * ( 1.0 + e * cos(M) )</t>
  </si>
  <si>
    <t>E=</t>
  </si>
  <si>
    <t>M=</t>
  </si>
  <si>
    <t>yv=</t>
  </si>
  <si>
    <t>v=</t>
  </si>
  <si>
    <t>lonsum=</t>
  </si>
  <si>
    <t>w=</t>
  </si>
  <si>
    <t>Xs=</t>
  </si>
  <si>
    <t>r=</t>
  </si>
  <si>
    <t>ys=</t>
  </si>
  <si>
    <t>xe=xs</t>
  </si>
  <si>
    <t>ye=</t>
  </si>
  <si>
    <t>Duhr=</t>
  </si>
  <si>
    <t>D = JD - 2451545.0</t>
  </si>
  <si>
    <t>where JD is the Julian date of interest. Then compute</t>
  </si>
  <si>
    <t>Mean anomaly of the Sun:</t>
  </si>
  <si>
    <t>g = 357.529 + 0.98560028 D</t>
  </si>
  <si>
    <t>Mean longitude of the Sun:</t>
  </si>
  <si>
    <t>q = 280.459 + 0.98564736 D</t>
  </si>
  <si>
    <t>Geocentric apparent ecliptic longitude</t>
  </si>
  <si>
    <t>of the Sun (adjusted for aberration):</t>
  </si>
  <si>
    <t>L = q + 1.915 sin g + 0.020 sin 2g</t>
  </si>
  <si>
    <t>where all the constants (therefore g, q, and L) are in degrees. It may be necessary or desirable to reduce g, q, and L to the range 0° to 360°.</t>
  </si>
  <si>
    <r>
      <t>The Sun's ecliptic latitude, b, can be approximated by </t>
    </r>
    <r>
      <rPr>
        <sz val="10.5"/>
        <color rgb="FF9900FF"/>
        <rFont val="Arial"/>
        <family val="2"/>
      </rPr>
      <t>b=0</t>
    </r>
    <r>
      <rPr>
        <sz val="10.5"/>
        <color rgb="FF000000"/>
        <rFont val="Arial"/>
        <family val="2"/>
      </rPr>
      <t>. The distance of the Sun from the Earth, R, in astronomical units (AU), can be approximated by</t>
    </r>
  </si>
  <si>
    <t>R = 1.00014 - 0.01671 cos g - 0.00014 cos 2g</t>
  </si>
  <si>
    <t>ALPHA=</t>
  </si>
  <si>
    <t>SIN ALPHA</t>
  </si>
  <si>
    <t>SINL*SIND=</t>
  </si>
  <si>
    <t>COSL*COSD=</t>
  </si>
  <si>
    <t>ACOS=</t>
  </si>
  <si>
    <t>153m+2/5</t>
  </si>
  <si>
    <t>365y</t>
  </si>
  <si>
    <t>y/4</t>
  </si>
  <si>
    <t>y/100</t>
  </si>
  <si>
    <t>y/400</t>
  </si>
  <si>
    <t>29.53059 days</t>
  </si>
  <si>
    <t>lunar month duration</t>
  </si>
  <si>
    <t>Determining new moons: an approximate formula</t>
  </si>
  <si>
    <r>
      <t>where </t>
    </r>
    <r>
      <rPr>
        <b/>
        <sz val="8"/>
        <color rgb="FF000000"/>
        <rFont val="Arial"/>
        <family val="2"/>
      </rPr>
      <t>N</t>
    </r>
    <r>
      <rPr>
        <sz val="8"/>
        <color rgb="FF000000"/>
        <rFont val="Arial"/>
        <family val="2"/>
      </rPr>
      <t> is an integer, starting with 0 for the first new moon in the year 2000, and that is incremented by 1 for each successive synodic month; and the result </t>
    </r>
    <r>
      <rPr>
        <b/>
        <sz val="8"/>
        <color rgb="FF000000"/>
        <rFont val="Arial"/>
        <family val="2"/>
      </rPr>
      <t>d</t>
    </r>
    <r>
      <rPr>
        <sz val="8"/>
        <color rgb="FF000000"/>
        <rFont val="Arial"/>
        <family val="2"/>
      </rPr>
      <t> is the number of days (and fractions) since 2000-01-01 00:00:00 reckoned in the time scale known as </t>
    </r>
    <r>
      <rPr>
        <sz val="8"/>
        <color rgb="FF0B0080"/>
        <rFont val="Arial"/>
        <family val="2"/>
      </rPr>
      <t>Terrestrial Time</t>
    </r>
    <r>
      <rPr>
        <sz val="8"/>
        <color rgb="FF000000"/>
        <rFont val="Arial"/>
        <family val="2"/>
      </rPr>
      <t> (</t>
    </r>
    <r>
      <rPr>
        <b/>
        <sz val="8"/>
        <color rgb="FF000000"/>
        <rFont val="Arial"/>
        <family val="2"/>
      </rPr>
      <t>TT</t>
    </r>
    <r>
      <rPr>
        <sz val="8"/>
        <color rgb="FF000000"/>
        <rFont val="Arial"/>
        <family val="2"/>
      </rPr>
      <t>) used in </t>
    </r>
    <r>
      <rPr>
        <sz val="8"/>
        <color rgb="FF0B0080"/>
        <rFont val="Arial"/>
        <family val="2"/>
      </rPr>
      <t>ephemerides</t>
    </r>
    <r>
      <rPr>
        <sz val="8"/>
        <color rgb="FF000000"/>
        <rFont val="Arial"/>
        <family val="2"/>
      </rPr>
      <t>.</t>
    </r>
  </si>
  <si>
    <t>To obtain this moment expressed in Universal Time (UT, world clock time), add the result of following approximate correction to the result d obtained above:</t>
  </si>
  <si>
    <t> days</t>
  </si>
  <si>
    <r>
      <t>The time interval between new moons—a </t>
    </r>
    <r>
      <rPr>
        <i/>
        <sz val="8"/>
        <color rgb="FF000000"/>
        <rFont val="Arial"/>
        <family val="2"/>
      </rPr>
      <t>lunation</t>
    </r>
    <r>
      <rPr>
        <sz val="8"/>
        <color rgb="FF000000"/>
        <rFont val="Arial"/>
        <family val="2"/>
      </rPr>
      <t>—is variable. The mean time between new moons, the </t>
    </r>
    <r>
      <rPr>
        <sz val="8"/>
        <color rgb="FF0B0080"/>
        <rFont val="Arial"/>
        <family val="2"/>
      </rPr>
      <t>synodic month</t>
    </r>
    <r>
      <rPr>
        <sz val="8"/>
        <color rgb="FF000000"/>
        <rFont val="Arial"/>
        <family val="2"/>
      </rPr>
      <t>, is about 29.53... days. An approximate formula to compute the mean moments of new moon (</t>
    </r>
    <r>
      <rPr>
        <u/>
        <sz val="8"/>
        <color rgb="FF0B0080"/>
        <rFont val="Arial"/>
        <family val="2"/>
      </rPr>
      <t>conjunction</t>
    </r>
    <r>
      <rPr>
        <sz val="8"/>
        <color rgb="FF000000"/>
        <rFont val="Arial"/>
        <family val="2"/>
      </rPr>
      <t> between Sun and Moon) for successive months is:</t>
    </r>
  </si>
  <si>
    <t>ntroduction:</t>
  </si>
  <si>
    <t>The Julian date (JD) is a continuous count of days from 1 January 4713 BC (= -4712 January 1), Greenwich mean noon (= 12h UT). For example, AD 1978 January 1, 0h UT is JD 2443509.5 and AD 1978 July 21, 15h UT, is JD 2443711.125.</t>
  </si>
  <si>
    <t>Formula for Conversion:</t>
  </si>
  <si>
    <t>Conversion of Gregorian calendar date to Julian date for years AD 1801–2099 can be carried out with the following formula:</t>
  </si>
  <si>
    <t>JD =</t>
  </si>
  <si>
    <t>367K - &lt;(7(K+&lt;(M+9)/12&gt;))/4&gt; + &lt;(275M)/9&gt; + I + 1721013.5 + UT/24 </t>
  </si>
  <si>
    <t>- 0.5sign(100K+M-190002.5) + 0.5</t>
  </si>
  <si>
    <t>where K is the year (1801 &lt;= K &lt;= 2099), M is the month (1 &lt;= M &lt;= 12), I is the day of the month (1 &lt;= I &lt;= 31), and UT is the universal time in hours ("&lt;=" means "less than or equal to"). The last two terms in the formula add up to zero for all dates after 1900 February 28, so these two terms can be omitted for subsequent dates. This formula makes use of the sign and truncation functions described below:</t>
  </si>
  <si>
    <r>
      <t>The </t>
    </r>
    <r>
      <rPr>
        <b/>
        <sz val="8"/>
        <color rgb="FF000000"/>
        <rFont val="Arial"/>
        <family val="2"/>
      </rPr>
      <t>sign</t>
    </r>
    <r>
      <rPr>
        <sz val="8"/>
        <color rgb="FF000000"/>
        <rFont val="Arial"/>
        <family val="2"/>
      </rPr>
      <t> function serves to extract the algebraic sign from a number.</t>
    </r>
  </si>
  <si>
    <t>Examples: sign(247) = 1; sign(-6.28) = -1.</t>
  </si>
  <si>
    <r>
      <t>The </t>
    </r>
    <r>
      <rPr>
        <b/>
        <sz val="8"/>
        <color rgb="FF000000"/>
        <rFont val="Arial"/>
        <family val="2"/>
      </rPr>
      <t>truncation</t>
    </r>
    <r>
      <rPr>
        <sz val="8"/>
        <color rgb="FF000000"/>
        <rFont val="Arial"/>
        <family val="2"/>
      </rPr>
      <t> function &lt; &gt; extracts the integral part of a number.</t>
    </r>
  </si>
  <si>
    <t>Examples: &lt;17.835&gt; = 17; &lt;-3.14&gt; = -3.</t>
  </si>
  <si>
    <t>The formula given above was taken from the 1990 edition of the U.S. Naval Observatory's Almanac for Computers (discontinued).</t>
  </si>
  <si>
    <r>
      <t>Example:</t>
    </r>
    <r>
      <rPr>
        <sz val="8"/>
        <color rgb="FF000000"/>
        <rFont val="Arial"/>
        <family val="2"/>
      </rPr>
      <t> Compute the JD corresponding to 1877 August 11, 7h30m UT.</t>
    </r>
  </si>
  <si>
    <t>Substituting K = 1877, M = 8, I = 11 and UT = 7.5,</t>
  </si>
  <si>
    <t>JD = 688859 - 3286 + 244 + 11 + 1721013.5 + 0.3125 + 0.5 + 0.5</t>
  </si>
  <si>
    <t>See our Julian date converter.</t>
  </si>
  <si>
    <t>Minute=</t>
  </si>
  <si>
    <t>seconds=</t>
  </si>
  <si>
    <t>Hour=</t>
  </si>
  <si>
    <t>Const.</t>
  </si>
  <si>
    <t>Hour</t>
  </si>
  <si>
    <t>Minute</t>
  </si>
  <si>
    <t>second</t>
  </si>
  <si>
    <t>j = j - 1721119 ;</t>
  </si>
  <si>
    <t xml:space="preserve">        y = (4 * j - 1) / 146097 ; j = 4 * j - 1 - 146097 * y ; d = j / 4 ;</t>
  </si>
  <si>
    <t xml:space="preserve">        j = (4 * d + 3) / 1461 ; d = 4 * d + 3 - 1461 * j ; d = (d + 4) / 4 ;</t>
  </si>
  <si>
    <t xml:space="preserve">        m = (5 * d - 3) / 153 ; d = 5 * d - 3 - 153 * m ; d = (d + 5) / 5 ;</t>
  </si>
  <si>
    <t xml:space="preserve">        y = 100 * y + j ;</t>
  </si>
  <si>
    <t xml:space="preserve">        if m &lt; 10 then</t>
  </si>
  <si>
    <t xml:space="preserve">            m = m + 3</t>
  </si>
  <si>
    <t xml:space="preserve">        else</t>
  </si>
  <si>
    <t xml:space="preserve">            m = m - 9 ; y = y + 1</t>
  </si>
  <si>
    <t xml:space="preserve">        end if</t>
  </si>
  <si>
    <t xml:space="preserve">        </t>
  </si>
  <si>
    <t>Variables (all variables and results are integers):</t>
  </si>
  <si>
    <t xml:space="preserve">        y = year (eg. 1999);  m = month;  d = day;  j = Julian Day Number       </t>
  </si>
  <si>
    <t xml:space="preserve">d = jd - 2451545.0;  // jd is the given Julian date </t>
  </si>
  <si>
    <t>Once the Sun's apparent ecliptic longitude, L, has been computed, the Sun's right ascension and declination can be obtained. First compute the mean obliquity of the ecliptic, in degrees:</t>
  </si>
  <si>
    <t>e = 23.439 - 0.00000036 D</t>
  </si>
  <si>
    <t>Then the Sun's right ascension, RA, and declination, d, can be obtained from</t>
  </si>
  <si>
    <r>
      <t>RA is always in the same quadrant as L. If the numerator and denominator on the right side of the expression for RA are used in a double-argument arctangent function (e.g., "atan2"), the proper quadrant will be obtained. If RA is obtained in degrees, it can be converted to hours simply by dividing by 15. RA is conventionally reduced to the range 0</t>
    </r>
    <r>
      <rPr>
        <vertAlign val="superscript"/>
        <sz val="10.5"/>
        <color rgb="FF000000"/>
        <rFont val="Arial"/>
        <family val="2"/>
      </rPr>
      <t>h</t>
    </r>
    <r>
      <rPr>
        <sz val="10.5"/>
        <color rgb="FF000000"/>
        <rFont val="Arial"/>
        <family val="2"/>
      </rPr>
      <t> to 24</t>
    </r>
    <r>
      <rPr>
        <vertAlign val="superscript"/>
        <sz val="10.5"/>
        <color rgb="FF000000"/>
        <rFont val="Arial"/>
        <family val="2"/>
      </rPr>
      <t>h</t>
    </r>
    <r>
      <rPr>
        <sz val="10.5"/>
        <color rgb="FF000000"/>
        <rFont val="Arial"/>
        <family val="2"/>
      </rPr>
      <t>.</t>
    </r>
  </si>
  <si>
    <r>
      <t>Other quantities can also be obtained. The Equation of Time, EqT, apparent solar time minus mean solar time, can be computed from </t>
    </r>
    <r>
      <rPr>
        <sz val="10.5"/>
        <color rgb="FF9900FF"/>
        <rFont val="Arial"/>
        <family val="2"/>
      </rPr>
      <t>EqT = q/15 - RA</t>
    </r>
    <r>
      <rPr>
        <sz val="10.5"/>
        <color rgb="FF000000"/>
        <rFont val="Arial"/>
        <family val="2"/>
      </rPr>
      <t xml:space="preserve">, where Eqt and RA are in </t>
    </r>
  </si>
  <si>
    <t>The position of the Sun</t>
  </si>
  <si>
    <t>E = M + e*(180/pi) * sin(M) * ( 1.0 + e * cos(M) )</t>
  </si>
  <si>
    <t>or (if E and M are expressed in radians):</t>
  </si>
  <si>
    <t xml:space="preserve">    E = M + e * sin(M) * ( 1.0 + e * cos(M) )</t>
  </si>
  <si>
    <t>Note that the formulae for computing E are not exact; however they're accurate enough here.</t>
  </si>
  <si>
    <t>Then compute the Sun's distance r and its true anomaly v from:</t>
  </si>
  <si>
    <t xml:space="preserve">    xv = r * cos(v) = cos(E) - e</t>
  </si>
  <si>
    <t>(note that the r computed here is later used as rs)</t>
  </si>
  <si>
    <t>atan2() is a function that converts an x,y coordinate pair to the correct angle in all four quadrants. It is available as a library function in Fortran, C and C++. In other languages, one has to write one's own atan2() function. It's not that difficult:</t>
  </si>
  <si>
    <r>
      <t xml:space="preserve">    atan2( y, x ) = atan(y/x)                 </t>
    </r>
    <r>
      <rPr>
        <i/>
        <sz val="10"/>
        <color rgb="FF000000"/>
        <rFont val="Courier New"/>
        <family val="3"/>
      </rPr>
      <t>if x positive</t>
    </r>
  </si>
  <si>
    <r>
      <t xml:space="preserve">    atan2( y, x ) = atan(y/x) +- 180 degrees  </t>
    </r>
    <r>
      <rPr>
        <i/>
        <sz val="10"/>
        <color rgb="FF000000"/>
        <rFont val="Courier New"/>
        <family val="3"/>
      </rPr>
      <t>if x negative</t>
    </r>
  </si>
  <si>
    <r>
      <t xml:space="preserve">    atan2( y, x ) = sign(y) * 90 degrees      </t>
    </r>
    <r>
      <rPr>
        <i/>
        <sz val="10"/>
        <color rgb="FF000000"/>
        <rFont val="Courier New"/>
        <family val="3"/>
      </rPr>
      <t>if x zero</t>
    </r>
  </si>
  <si>
    <r>
      <t>See these links for some code in </t>
    </r>
    <r>
      <rPr>
        <sz val="13.5"/>
        <color theme="1"/>
        <rFont val="Calibri"/>
        <family val="2"/>
        <scheme val="minor"/>
      </rPr>
      <t>Basic</t>
    </r>
    <r>
      <rPr>
        <sz val="13.5"/>
        <color rgb="FF000000"/>
        <rFont val="Calibri"/>
        <family val="2"/>
        <scheme val="minor"/>
      </rPr>
      <t> or </t>
    </r>
    <r>
      <rPr>
        <sz val="13.5"/>
        <color theme="1"/>
        <rFont val="Calibri"/>
        <family val="2"/>
        <scheme val="minor"/>
      </rPr>
      <t>Pascal</t>
    </r>
    <r>
      <rPr>
        <sz val="13.5"/>
        <color rgb="FF000000"/>
        <rFont val="Calibri"/>
        <family val="2"/>
        <scheme val="minor"/>
      </rPr>
      <t>. Fortran and C/C++ already has atan2() as a standard library function. </t>
    </r>
  </si>
  <si>
    <t>Now, compute the Sun's true longitude:</t>
  </si>
  <si>
    <t xml:space="preserve">    lonsun = v + w</t>
  </si>
  <si>
    <t>Convert lonsun,r to ecliptic rectangular geocentric coordinates xs,ys:</t>
  </si>
  <si>
    <t>(since the Sun always is in the ecliptic plane, zs is of course zero). xs,ys is the Sun's position in a coordinate system in the plane of the ecliptic. To convert this to equatorial, rectangular, geocentric coordinates, compute:</t>
  </si>
  <si>
    <t xml:space="preserve">    ze = ys * sin(ecl)</t>
  </si>
  <si>
    <t>Finally, compute the Sun's Right Ascension (RA) and Declination (Dec):</t>
  </si>
  <si>
    <t xml:space="preserve">    Dec = atan2( ze, sqrt(xe*xe+ye*ye) )</t>
  </si>
  <si>
    <t>The position of the Moon and of the planets</t>
  </si>
  <si>
    <t>First, compute the eccentric anomaly, E, from M, the mean anomaly, and e, the eccentricity. As a first approximation, do (E and M in degrees):</t>
  </si>
  <si>
    <t xml:space="preserve">    E = M + e*(180/pi) * sin(M) * ( 1.0 + e * cos(M) )</t>
  </si>
  <si>
    <t>or, if E and M are in radians:</t>
  </si>
  <si>
    <t>If e, the eccentricity, is less than about 0.05-0.06, this approximation is sufficiently accurate. If the eccentricity is larger, set E0=E and then use this iteration formula (E and M in degrees):</t>
  </si>
  <si>
    <t xml:space="preserve">    E1 = E0 - ( E0 - e*(180/pi) * sin(E0) - M ) / ( 1 - e * cos(E0) )</t>
  </si>
  <si>
    <t>or (E and M in radians):</t>
  </si>
  <si>
    <t xml:space="preserve">    E1 = E0 - ( E0 - e * sin(E0) - M ) / ( 1 - e * cos(E0) )</t>
  </si>
  <si>
    <t>For each new iteration, replace E0 with E1. Iterate until E0 and E1 are sufficiently close together (about 0.001 degrees). For comet orbits with eccentricites close to one, a difference of less than 1E-4 or 1E-5 degrees should be required.</t>
  </si>
  <si>
    <r>
      <t>If this iteration formula won't converge, the eccentricity is probably too close to one. Then you should instead use the formulae for </t>
    </r>
    <r>
      <rPr>
        <sz val="13.5"/>
        <color theme="1"/>
        <rFont val="Calibri"/>
        <family val="2"/>
        <scheme val="minor"/>
      </rPr>
      <t>near-parabolic</t>
    </r>
    <r>
      <rPr>
        <sz val="13.5"/>
        <color rgb="FF000000"/>
        <rFont val="Calibri"/>
        <family val="2"/>
        <scheme val="minor"/>
      </rPr>
      <t> or </t>
    </r>
    <r>
      <rPr>
        <sz val="13.5"/>
        <color theme="1"/>
        <rFont val="Calibri"/>
        <family val="2"/>
        <scheme val="minor"/>
      </rPr>
      <t>parabolic</t>
    </r>
    <r>
      <rPr>
        <sz val="13.5"/>
        <color rgb="FF000000"/>
        <rFont val="Calibri"/>
        <family val="2"/>
        <scheme val="minor"/>
      </rPr>
      <t> orbits.</t>
    </r>
  </si>
  <si>
    <t>Now compute the planet's distance and true anomaly:</t>
  </si>
  <si>
    <t xml:space="preserve">    xv = r * cos(v) = a * ( cos(E) - e )</t>
  </si>
  <si>
    <t xml:space="preserve">    yv = r * sin(v) = a * ( sqrt(1.0 - e*e) * sin(E) )</t>
  </si>
  <si>
    <t>7. The position in space</t>
  </si>
  <si>
    <t>Compute the planet's position in 3-dimensional space:</t>
  </si>
  <si>
    <t xml:space="preserve">    xh = r * ( cos(N) * cos(v+w) - sin(N) * sin(v+w) * cos(i) )</t>
  </si>
  <si>
    <t xml:space="preserve">    yh = r * ( sin(N) * cos(v+w) + cos(N) * sin(v+w) * cos(i) )</t>
  </si>
  <si>
    <t xml:space="preserve">    zh = r * ( sin(v+w) * sin(i) )</t>
  </si>
  <si>
    <t>For the Moon, this is the geocentric (Earth-centered) position in the ecliptic coordinate system. For the planets, this is the heliocentric (Sun-centered) position, also in the ecliptic coordinate system. If one wishes, one can compute the ecliptic longitude and latitude (this must be done if one wishes to correct for perturbations, or if one wants to precess the position to a standard epoch):</t>
  </si>
  <si>
    <t xml:space="preserve">    lonecl = atan2( yh, xh )</t>
  </si>
  <si>
    <t xml:space="preserve">    latecl = atan2( zh, sqrt(xh*xh+yh*yh) )</t>
  </si>
  <si>
    <t>As a check one can compute sqrt(xh*xh+yh*yh+zh*zh), which of course should equal r (except for small round-off errors).</t>
  </si>
  <si>
    <t>First compute:</t>
  </si>
  <si>
    <r>
      <t xml:space="preserve">    Ms, Mm             </t>
    </r>
    <r>
      <rPr>
        <i/>
        <sz val="10"/>
        <color rgb="FF000000"/>
        <rFont val="Courier New"/>
        <family val="3"/>
      </rPr>
      <t>Mean Anomaly of the Sun and the Moon</t>
    </r>
  </si>
  <si>
    <r>
      <t xml:space="preserve">    Nm                 </t>
    </r>
    <r>
      <rPr>
        <i/>
        <sz val="10"/>
        <color rgb="FF000000"/>
        <rFont val="Courier New"/>
        <family val="3"/>
      </rPr>
      <t>Longitude of the Moon's node</t>
    </r>
  </si>
  <si>
    <r>
      <t xml:space="preserve">    ws, wm             </t>
    </r>
    <r>
      <rPr>
        <i/>
        <sz val="10"/>
        <color rgb="FF000000"/>
        <rFont val="Courier New"/>
        <family val="3"/>
      </rPr>
      <t>Argument of perihelion for the Sun and the Moon</t>
    </r>
  </si>
  <si>
    <r>
      <t xml:space="preserve">    Ls = Ms + ws       </t>
    </r>
    <r>
      <rPr>
        <i/>
        <sz val="10"/>
        <color rgb="FF000000"/>
        <rFont val="Courier New"/>
        <family val="3"/>
      </rPr>
      <t>Mean Longitude of the Sun  (Ns=0)</t>
    </r>
  </si>
  <si>
    <r>
      <t xml:space="preserve">    Lm = Mm + wm + Nm  </t>
    </r>
    <r>
      <rPr>
        <i/>
        <sz val="10"/>
        <color rgb="FF000000"/>
        <rFont val="Courier New"/>
        <family val="3"/>
      </rPr>
      <t>Mean longitude of the Moon</t>
    </r>
  </si>
  <si>
    <r>
      <t xml:space="preserve">    D = Lm - Ls        </t>
    </r>
    <r>
      <rPr>
        <i/>
        <sz val="10"/>
        <color rgb="FF000000"/>
        <rFont val="Courier New"/>
        <family val="3"/>
      </rPr>
      <t>Mean elongation of the Moon</t>
    </r>
  </si>
  <si>
    <r>
      <t xml:space="preserve">    F = Lm - Nm        </t>
    </r>
    <r>
      <rPr>
        <i/>
        <sz val="10"/>
        <color rgb="FF000000"/>
        <rFont val="Courier New"/>
        <family val="3"/>
      </rPr>
      <t>Argument of latitude for the Moon</t>
    </r>
  </si>
  <si>
    <t>Add these terms to the Moon's longitude (degrees):</t>
  </si>
  <si>
    <r>
      <t xml:space="preserve">    -1.274 * sin(Mm - 2*D)          </t>
    </r>
    <r>
      <rPr>
        <i/>
        <sz val="10"/>
        <color rgb="FF000000"/>
        <rFont val="Courier New"/>
        <family val="3"/>
      </rPr>
      <t>(the Evection)</t>
    </r>
  </si>
  <si>
    <r>
      <t xml:space="preserve">    +0.658 * sin(2*D)               </t>
    </r>
    <r>
      <rPr>
        <i/>
        <sz val="10"/>
        <color rgb="FF000000"/>
        <rFont val="Courier New"/>
        <family val="3"/>
      </rPr>
      <t>(the Variation)</t>
    </r>
  </si>
  <si>
    <r>
      <t xml:space="preserve">    -0.186 * sin(Ms)                </t>
    </r>
    <r>
      <rPr>
        <i/>
        <sz val="10"/>
        <color rgb="FF000000"/>
        <rFont val="Courier New"/>
        <family val="3"/>
      </rPr>
      <t>(the Yearly Equation)</t>
    </r>
  </si>
  <si>
    <t xml:space="preserve">    -0.059 * sin(2*Mm - 2*D)</t>
  </si>
  <si>
    <t xml:space="preserve">    -0.057 * sin(Mm - 2*D + Ms)</t>
  </si>
  <si>
    <t xml:space="preserve">    +0.053 * sin(Mm + 2*D)</t>
  </si>
  <si>
    <t xml:space="preserve">    +0.046 * sin(2*D - Ms)</t>
  </si>
  <si>
    <t xml:space="preserve">    +0.041 * sin(Mm - Ms)</t>
  </si>
  <si>
    <r>
      <t xml:space="preserve">    -0.035 * sin(D)                 </t>
    </r>
    <r>
      <rPr>
        <i/>
        <sz val="10"/>
        <color rgb="FF000000"/>
        <rFont val="Courier New"/>
        <family val="3"/>
      </rPr>
      <t>(the Parallactic Equation)</t>
    </r>
  </si>
  <si>
    <t xml:space="preserve">    -0.031 * sin(Mm + Ms)</t>
  </si>
  <si>
    <t xml:space="preserve">    -0.015 * sin(2*F - 2*D)</t>
  </si>
  <si>
    <t xml:space="preserve">    +0.011 * sin(Mm - 4*D)</t>
  </si>
  <si>
    <t>Add these terms to the Moon's latitude (degrees):</t>
  </si>
  <si>
    <t xml:space="preserve">    -0.173 * sin(F - 2*D)</t>
  </si>
  <si>
    <t xml:space="preserve">    -0.055 * sin(Mm - F - 2*D)</t>
  </si>
  <si>
    <t xml:space="preserve">    -0.046 * sin(Mm + F - 2*D)</t>
  </si>
  <si>
    <t xml:space="preserve">    +0.033 * sin(F + 2*D)</t>
  </si>
  <si>
    <t xml:space="preserve">    +0.017 * sin(2*Mm + F)</t>
  </si>
  <si>
    <t>Add these terms to the Moon's distance (Earth radii):</t>
  </si>
  <si>
    <t xml:space="preserve">    -0.58 * cos(Mm - 2*D)</t>
  </si>
  <si>
    <t xml:space="preserve">    -0.46 * cos(2*D)</t>
  </si>
  <si>
    <t>The orbital elements</t>
  </si>
  <si>
    <t>The primary orbital elements are here denoted as:</t>
  </si>
  <si>
    <t xml:space="preserve">    N = longitude of the ascending node</t>
  </si>
  <si>
    <r>
      <t xml:space="preserve">    T  = Epoch_of_M - (M</t>
    </r>
    <r>
      <rPr>
        <i/>
        <sz val="12"/>
        <color rgb="FF000000"/>
        <rFont val="Arial"/>
        <family val="2"/>
      </rPr>
      <t>(deg)</t>
    </r>
    <r>
      <rPr>
        <sz val="12"/>
        <color rgb="FF000000"/>
        <rFont val="Arial"/>
        <family val="2"/>
      </rPr>
      <t>/360_deg) / P  = time of perihelion</t>
    </r>
  </si>
  <si>
    <t>the obliquity of the ecliptic:</t>
  </si>
  <si>
    <r>
      <t xml:space="preserve">    a = 1.000000  </t>
    </r>
    <r>
      <rPr>
        <i/>
        <sz val="12"/>
        <color rgb="FF000000"/>
        <rFont val="Arial"/>
        <family val="2"/>
      </rPr>
      <t>(AU)</t>
    </r>
  </si>
  <si>
    <t>Orbital elements of the Moon:</t>
  </si>
  <si>
    <t xml:space="preserve">    N = 125.1228 - 0.0529538083 * d</t>
  </si>
  <si>
    <t xml:space="preserve">    i = 5.1454</t>
  </si>
  <si>
    <t xml:space="preserve">    w = 318.0634 + 0.1643573223 * d</t>
  </si>
  <si>
    <r>
      <t xml:space="preserve">    a = 60.2666  </t>
    </r>
    <r>
      <rPr>
        <i/>
        <sz val="12"/>
        <color rgb="FF000000"/>
        <rFont val="Arial"/>
        <family val="2"/>
      </rPr>
      <t>(Earth radii)</t>
    </r>
  </si>
  <si>
    <t xml:space="preserve">    e = 0.054900</t>
  </si>
  <si>
    <t xml:space="preserve">    M = 115.3654 + 13.0649929509 * d</t>
  </si>
  <si>
    <t>First, compute the eccentric anomaly E from the mean anomaly M and from the eccentricity e (E and M in degrees):</t>
  </si>
  <si>
    <r>
      <t xml:space="preserve">    atan2( y, x ) = atan(y/x)                 </t>
    </r>
    <r>
      <rPr>
        <i/>
        <sz val="12"/>
        <color rgb="FF000000"/>
        <rFont val="Arial"/>
        <family val="2"/>
      </rPr>
      <t>if x positive</t>
    </r>
  </si>
  <si>
    <r>
      <t xml:space="preserve">    atan2( y, x ) = atan(y/x) +- 180 degrees  </t>
    </r>
    <r>
      <rPr>
        <i/>
        <sz val="12"/>
        <color rgb="FF000000"/>
        <rFont val="Arial"/>
        <family val="2"/>
      </rPr>
      <t>if x negative</t>
    </r>
  </si>
  <si>
    <r>
      <t xml:space="preserve">    atan2( y, x ) = sign(y) * 90 degrees      </t>
    </r>
    <r>
      <rPr>
        <i/>
        <sz val="12"/>
        <color rgb="FF000000"/>
        <rFont val="Arial"/>
        <family val="2"/>
      </rPr>
      <t>if x zero</t>
    </r>
  </si>
  <si>
    <r>
      <t>See these links for some code in </t>
    </r>
    <r>
      <rPr>
        <sz val="12"/>
        <color rgb="FF0000FF"/>
        <rFont val="Arial"/>
        <family val="2"/>
      </rPr>
      <t>Basic</t>
    </r>
    <r>
      <rPr>
        <sz val="12"/>
        <color rgb="FF000000"/>
        <rFont val="Arial"/>
        <family val="2"/>
      </rPr>
      <t> or </t>
    </r>
    <r>
      <rPr>
        <sz val="12"/>
        <color rgb="FF0000FF"/>
        <rFont val="Arial"/>
        <family val="2"/>
      </rPr>
      <t>Pascal</t>
    </r>
    <r>
      <rPr>
        <sz val="12"/>
        <color rgb="FF000000"/>
        <rFont val="Arial"/>
        <family val="2"/>
      </rPr>
      <t>. Fortran and C/C++ already has atan2() as a standard library function. </t>
    </r>
  </si>
  <si>
    <r>
      <t>If this iteration formula won't converge, the eccentricity is probably too close to one. Then you should instead use the formulae for </t>
    </r>
    <r>
      <rPr>
        <sz val="12"/>
        <color rgb="FF0000FF"/>
        <rFont val="Arial"/>
        <family val="2"/>
      </rPr>
      <t>near-parabolic</t>
    </r>
    <r>
      <rPr>
        <sz val="12"/>
        <color rgb="FF000000"/>
        <rFont val="Arial"/>
        <family val="2"/>
      </rPr>
      <t> or </t>
    </r>
    <r>
      <rPr>
        <sz val="12"/>
        <color rgb="FF0000FF"/>
        <rFont val="Arial"/>
        <family val="2"/>
      </rPr>
      <t>parabolic</t>
    </r>
    <r>
      <rPr>
        <sz val="12"/>
        <color rgb="FF000000"/>
        <rFont val="Arial"/>
        <family val="2"/>
      </rPr>
      <t> orbits.</t>
    </r>
  </si>
  <si>
    <t>8. Precession</t>
  </si>
  <si>
    <t>If one wishes to compute the planet's position for some standard epoch, such as 1950.0 or 2000.0 (e.g. to be able to plot the position on a star atlas), one must add the correction below to lonecl. If a planet's and not the Moon's position is computed, one must also add the same correction to lonsun, the Sun's longitude. The desired Epoch is expressed as the year, possibly with a fraction.</t>
  </si>
  <si>
    <t xml:space="preserve">    lon_corr = 3.82394E-5 * ( 365.2422 * ( Epoch - 2000.0 ) - d )</t>
  </si>
  <si>
    <t>If one wishes the position for today's epoch (useful when computing rising/setting times and the like), no corrections need to be done.</t>
  </si>
  <si>
    <t>9. Perturbations of the Moon</t>
  </si>
  <si>
    <t>If the position of the Moon is computed, and one wishes a better accuracy than about 2 degrees, the most important perturbations has to be taken into account. If one wishes 2 arc minute accuracy, all the following terms should be accounted for. If less accuracy is needed, some of the smaller terms can be omitted.</t>
  </si>
  <si>
    <r>
      <t xml:space="preserve">    Ms, Mm             </t>
    </r>
    <r>
      <rPr>
        <i/>
        <sz val="12"/>
        <color rgb="FF000000"/>
        <rFont val="Arial"/>
        <family val="2"/>
      </rPr>
      <t>Mean Anomaly of the Sun and the Moon</t>
    </r>
  </si>
  <si>
    <r>
      <t xml:space="preserve">    Nm                 </t>
    </r>
    <r>
      <rPr>
        <i/>
        <sz val="12"/>
        <color rgb="FF000000"/>
        <rFont val="Arial"/>
        <family val="2"/>
      </rPr>
      <t>Longitude of the Moon's node</t>
    </r>
  </si>
  <si>
    <r>
      <t xml:space="preserve">    ws, wm             </t>
    </r>
    <r>
      <rPr>
        <i/>
        <sz val="12"/>
        <color rgb="FF000000"/>
        <rFont val="Arial"/>
        <family val="2"/>
      </rPr>
      <t>Argument of perihelion for the Sun and the Moon</t>
    </r>
  </si>
  <si>
    <r>
      <t xml:space="preserve">    Ls = Ms + ws       </t>
    </r>
    <r>
      <rPr>
        <i/>
        <sz val="12"/>
        <color rgb="FF000000"/>
        <rFont val="Arial"/>
        <family val="2"/>
      </rPr>
      <t>Mean Longitude of the Sun  (Ns=0)</t>
    </r>
  </si>
  <si>
    <r>
      <t xml:space="preserve">    Lm = Mm + wm + Nm  </t>
    </r>
    <r>
      <rPr>
        <i/>
        <sz val="12"/>
        <color rgb="FF000000"/>
        <rFont val="Arial"/>
        <family val="2"/>
      </rPr>
      <t>Mean longitude of the Moon</t>
    </r>
  </si>
  <si>
    <r>
      <t xml:space="preserve">    D = Lm - Ls        </t>
    </r>
    <r>
      <rPr>
        <i/>
        <sz val="12"/>
        <color rgb="FF000000"/>
        <rFont val="Arial"/>
        <family val="2"/>
      </rPr>
      <t>Mean elongation of the Moon</t>
    </r>
  </si>
  <si>
    <r>
      <t xml:space="preserve">    F = Lm - Nm        </t>
    </r>
    <r>
      <rPr>
        <i/>
        <sz val="12"/>
        <color rgb="FF000000"/>
        <rFont val="Arial"/>
        <family val="2"/>
      </rPr>
      <t>Argument of latitude for the Moon</t>
    </r>
  </si>
  <si>
    <r>
      <t xml:space="preserve">    -1.274 * sin(Mm - 2*D)          </t>
    </r>
    <r>
      <rPr>
        <i/>
        <sz val="12"/>
        <color rgb="FF000000"/>
        <rFont val="Arial"/>
        <family val="2"/>
      </rPr>
      <t>(the Evection)</t>
    </r>
  </si>
  <si>
    <r>
      <t xml:space="preserve">    +0.658 * sin(2*D)               </t>
    </r>
    <r>
      <rPr>
        <i/>
        <sz val="12"/>
        <color rgb="FF000000"/>
        <rFont val="Arial"/>
        <family val="2"/>
      </rPr>
      <t>(the Variation)</t>
    </r>
  </si>
  <si>
    <r>
      <t xml:space="preserve">    -0.186 * sin(Ms)                </t>
    </r>
    <r>
      <rPr>
        <i/>
        <sz val="12"/>
        <color rgb="FF000000"/>
        <rFont val="Arial"/>
        <family val="2"/>
      </rPr>
      <t>(the Yearly Equation)</t>
    </r>
  </si>
  <si>
    <r>
      <t xml:space="preserve">    -0.035 * sin(D)                 </t>
    </r>
    <r>
      <rPr>
        <i/>
        <sz val="12"/>
        <color rgb="FF000000"/>
        <rFont val="Arial"/>
        <family val="2"/>
      </rPr>
      <t>(the Parallactic Equation)</t>
    </r>
  </si>
  <si>
    <t>All perturbation terms that are smaller than 0.01 degrees in longitude or latitude and smaller than 0.1 Earth radii in distance have been omitted here. A few of the largest perturbation terms even have their own names! The Evection (the largest perturbation) was discovered already by Ptolemy a few thousand years ago (the Evection was one of Ptolemy's epicycles). The Variation and the Yearly Equation were both discovered by Tycho Brahe in the 16'th century.</t>
  </si>
  <si>
    <t>The computations can be simplified by omitting the smaller perturbation terms. The error introduced by this seldom exceeds the sum of the amplitudes of the 4-5 largest omitted terms. If one only computes the three largest perturbation terms in longitude and the largest term in latitude, the error in longitude will rarley exceed 0.25 degrees, and in latitude 0.15 degrees.</t>
  </si>
  <si>
    <t>The Sun's position.</t>
  </si>
  <si>
    <t>Today most people know that the Earth orbits the Sun and not the other way around. But below we'll pretend as if it was the other way around. These orbital elements are thus valid for the Sun's (apparent) orbit around the Earth. All angular values are expressed in degrees:</t>
  </si>
  <si>
    <t xml:space="preserve">    w = 282.9404_deg + 4.70935E-5_deg   * d    (longitude of perihelion)</t>
  </si>
  <si>
    <t xml:space="preserve">    a = 1.000000                               (mean distance, a.u.)</t>
  </si>
  <si>
    <t xml:space="preserve">    e = 0.016709 - 1.151E-9             * d    (eccentricity)</t>
  </si>
  <si>
    <t xml:space="preserve">    M = 356.0470_deg + 0.9856002585_deg * d    (mean anomaly)</t>
  </si>
  <si>
    <t>We also need the obliquity of the ecliptic, oblecl:</t>
  </si>
  <si>
    <t xml:space="preserve">    oblecl = 23.4393_deg - 3.563E-7_deg * d</t>
  </si>
  <si>
    <t>and the Sun's mean longitude, L:</t>
  </si>
  <si>
    <t xml:space="preserve">    L = w + M</t>
  </si>
  <si>
    <t>By definition the Sun is (apparently) moving in the plane of the ecliptic. The inclination, i, is therefore zero, and the longitude of the ascending node, N, becomes undefined. For simplicity we'll assign the value zero to N, which means that w, the angle between acending node and perihelion, becomes equal to the longitude of the perihelion.</t>
  </si>
  <si>
    <t>Now let's compute the Sun's position for our test date 19 april 1990. Earlier we've computed d = -3543.0 which yields:</t>
  </si>
  <si>
    <t xml:space="preserve">    w = 282.7735_deg</t>
  </si>
  <si>
    <t xml:space="preserve">    a = 1.000000</t>
  </si>
  <si>
    <t xml:space="preserve">    e = 0.016713</t>
  </si>
  <si>
    <t xml:space="preserve">    M = -3135.9347_deg</t>
  </si>
  <si>
    <t>We immediately notice that the mean anomaly, M, will get a large negative value. We use our function rev() to reduce this value to between 0 and 360 degrees. To do this, rev() will need to add 9*360 = 3240 degrees to this angle:</t>
  </si>
  <si>
    <t xml:space="preserve">    M = 104.0653_deg</t>
  </si>
  <si>
    <t>We also compute:</t>
  </si>
  <si>
    <t xml:space="preserve">    L = w + M = 386.8388_deg = 26.8388_deg</t>
  </si>
  <si>
    <t xml:space="preserve">    oblecl = 23.4406_deg</t>
  </si>
  <si>
    <t>Let's go on computing an auxiliary angle, the eccentric anomaly. Since the eccentricity of the Sun's (i.e. the Earth's) orbit is so small, 0.017, a first approximation of E will be accurate enough. Below E and M are in degrees:</t>
  </si>
  <si>
    <t xml:space="preserve">    E = M + (180/pi) * e * sin(M) * (1 + e * cos(M))</t>
  </si>
  <si>
    <t>When we plug in M and e, we get:</t>
  </si>
  <si>
    <t xml:space="preserve">    E = 104.9904_deg</t>
  </si>
  <si>
    <t>Now we compute the Sun's rectangular coordinates in the plane of the ecliptic, where the X axis points towards the perihelion:</t>
  </si>
  <si>
    <t xml:space="preserve">    x = r * cos(v) = cos(E) - e</t>
  </si>
  <si>
    <t xml:space="preserve">    y = r * sin(v) = sin(E) * sqrt(1 - e*e)</t>
  </si>
  <si>
    <t>We plug in E and get:</t>
  </si>
  <si>
    <t xml:space="preserve">    x = -0.275370</t>
  </si>
  <si>
    <t xml:space="preserve">    y = +0.965834</t>
  </si>
  <si>
    <t>Convert to distance and true anomaly:</t>
  </si>
  <si>
    <t xml:space="preserve">    r = sqrt(x*x + y*y)</t>
  </si>
  <si>
    <t xml:space="preserve">    v = arctan2( y, x )</t>
  </si>
  <si>
    <t>Numerically we get:</t>
  </si>
  <si>
    <t xml:space="preserve">    r = 1.004323</t>
  </si>
  <si>
    <t xml:space="preserve">    v = 105.9134_deg</t>
  </si>
  <si>
    <t>Now we can compute the longitude of the Sun:</t>
  </si>
  <si>
    <t xml:space="preserve">    lon = v + w</t>
  </si>
  <si>
    <t xml:space="preserve">    lon = 105.9134_deg + 282.7735_deg = 388.6869_deg = 28.6869_deg</t>
  </si>
  <si>
    <t>We're done!</t>
  </si>
  <si>
    <t>How close did we get to the correct values? Let's compare with the Astronomical Almanac:</t>
  </si>
  <si>
    <t xml:space="preserve">           Our results    Astron. Almanac      Difference</t>
  </si>
  <si>
    <t xml:space="preserve">    lon    28.6869_deg      28.6813_deg        +0.0056_deg = 20"</t>
  </si>
  <si>
    <t xml:space="preserve">    r       1.004323         1.004311          +0.000012</t>
  </si>
  <si>
    <t>The error in the Sun's longitude was 20 arc seconds, which is well below our aim of an accuracy of one arc minute. The error in the distance was about 1/3 Earth radius. Not bad!</t>
  </si>
  <si>
    <t>Finally we'll compute the Sun's ecliptic rectangular coordinates, rotate these to equatorial coordinates, and then compute the Sun's RA and Decl:</t>
  </si>
  <si>
    <t xml:space="preserve">    x = r * cos(lon)</t>
  </si>
  <si>
    <t xml:space="preserve">    y = r * sin(lon)</t>
  </si>
  <si>
    <t xml:space="preserve">    z = 0.0</t>
  </si>
  <si>
    <t>We plug in our longitude:</t>
  </si>
  <si>
    <t xml:space="preserve">    x = 0.881048</t>
  </si>
  <si>
    <t xml:space="preserve">    y = 0.482098</t>
  </si>
  <si>
    <t>We use oblecl = 23.4406 degrees, and rotate these coordinates:</t>
  </si>
  <si>
    <t xml:space="preserve">    xequat = 0.881048</t>
  </si>
  <si>
    <t xml:space="preserve">    yequat = 0.482098 * cos(23.4406_deg) - 0.0 * sin(23.4406_deg)</t>
  </si>
  <si>
    <t xml:space="preserve">    zequat = 0.482098 * sin(23.4406_deg) + 0.0 * cos(23.4406_deg)</t>
  </si>
  <si>
    <t>which yields:</t>
  </si>
  <si>
    <t xml:space="preserve">    yequat = 0.442312</t>
  </si>
  <si>
    <t xml:space="preserve">    zequat = 0.191778</t>
  </si>
  <si>
    <t>Convert to RA and Decl:</t>
  </si>
  <si>
    <t xml:space="preserve">    r    =   1.004323  (unchanged)</t>
  </si>
  <si>
    <t xml:space="preserve">    RA   =  26.6580_deg = 26.6580/15 h = 1.77720 h = 1h 46m 37.9s</t>
  </si>
  <si>
    <t xml:space="preserve">    Decl = +11.0084_deg = +11_deg 0' 30"</t>
  </si>
  <si>
    <t>The Astronomical Almanac says:</t>
  </si>
  <si>
    <t xml:space="preserve">    RA  = 1h 46m 36.0s     Decl = +11_deg 0' 22"</t>
  </si>
  <si>
    <t>Position of the Sun at 11:00 UT on 1997 August 7th</t>
  </si>
  <si>
    <t>1. Find the days before J2000.0 (d) from the table</t>
  </si>
  <si>
    <t xml:space="preserve">   d = 11/24 + 212 + 7 - 1096.5 = -877.04167</t>
  </si>
  <si>
    <t>2. Find the Mean Longitude (L) of the Sun</t>
  </si>
  <si>
    <t xml:space="preserve">   L = 280.461 + 0.9856474 * d</t>
  </si>
  <si>
    <t xml:space="preserve">     = -583.99284 + 720  </t>
  </si>
  <si>
    <t xml:space="preserve">    (add multiples of 360 to bring in range 0 to 360)</t>
  </si>
  <si>
    <t xml:space="preserve">     = 136.00716</t>
  </si>
  <si>
    <t>3. Find the Mean anomaly (g) of the Sun</t>
  </si>
  <si>
    <t xml:space="preserve">   g = 357.528 + 0.9856003 * d</t>
  </si>
  <si>
    <t xml:space="preserve">     = -506.88453 + 720</t>
  </si>
  <si>
    <t xml:space="preserve">     = 213.11547</t>
  </si>
  <si>
    <t>4. Find the ecliptic longitude (lambda) of the sun</t>
  </si>
  <si>
    <t xml:space="preserve">   lambda = L + 1.915 * sin(g) + 0.020 * sin(2*g)</t>
  </si>
  <si>
    <t xml:space="preserve">          = 134.97925</t>
  </si>
  <si>
    <t xml:space="preserve">   (note that the sin(g) and sin(2*g) terms constitute an </t>
  </si>
  <si>
    <t xml:space="preserve">    approximation to the 'equation of centre' for the orbit </t>
  </si>
  <si>
    <t xml:space="preserve">    of the Sun)</t>
  </si>
  <si>
    <t xml:space="preserve">   beta = 0 (by definition as the Sun's orbit defines the</t>
  </si>
  <si>
    <t xml:space="preserve">             ecliptic plane. This results in a simplification</t>
  </si>
  <si>
    <t xml:space="preserve">             of the formulas below)</t>
  </si>
  <si>
    <t>5. Find the obliquity of the ecliptic plane (epsilon)</t>
  </si>
  <si>
    <t xml:space="preserve">   epsilon = 23.439 - 0.0000004 * d</t>
  </si>
  <si>
    <t xml:space="preserve">           = 23.439351</t>
  </si>
  <si>
    <t>6. Find the Right Ascension (alpha) and Declination (delta) of</t>
  </si>
  <si>
    <t xml:space="preserve">   the Sun</t>
  </si>
  <si>
    <t xml:space="preserve">   Y = cos(epsilon) * sin(lambda)</t>
  </si>
  <si>
    <t xml:space="preserve">   X = cos(lambda)</t>
  </si>
  <si>
    <t xml:space="preserve">   a = arctan(Y/X)</t>
  </si>
  <si>
    <t xml:space="preserve">   If X &lt; 0 then alpha = a + 180</t>
  </si>
  <si>
    <t xml:space="preserve">   If Y &lt; 0 and X &gt; 0 then alpha = a + 360</t>
  </si>
  <si>
    <t xml:space="preserve">   else alpha = a</t>
  </si>
  <si>
    <t xml:space="preserve">   Y =  0.6489924</t>
  </si>
  <si>
    <t xml:space="preserve">   X = -0.7068507</t>
  </si>
  <si>
    <t xml:space="preserve">   a = -42.556485</t>
  </si>
  <si>
    <t xml:space="preserve">   alpha = -42.556485 + 180 = 137.44352 (degrees)</t>
  </si>
  <si>
    <t xml:space="preserve">   </t>
  </si>
  <si>
    <t xml:space="preserve">   delta = arcsin(sin(epsilon)*sin(lambda))</t>
  </si>
  <si>
    <t xml:space="preserve">         = 16.342193 degrees</t>
  </si>
  <si>
    <t>Final result</t>
  </si>
  <si>
    <t xml:space="preserve">   Right ascension is usually given in hours of time, and both</t>
  </si>
  <si>
    <t xml:space="preserve">   figures need to be rounded to a sensible number of decimal</t>
  </si>
  <si>
    <t xml:space="preserve">   places. </t>
  </si>
  <si>
    <t xml:space="preserve">   alpha =   9.163 hrs      or   9h 09m 46s</t>
  </si>
  <si>
    <t xml:space="preserve">   delta = +16.34 degrees   or +16d 20' 32"</t>
  </si>
  <si>
    <t xml:space="preserve">   The Interactive Computer Ephemeris gives</t>
  </si>
  <si>
    <t xml:space="preserve">   alpha =   9h 09m 45.347s and</t>
  </si>
  <si>
    <t xml:space="preserve">   delta = +16d 20' 30.89"  </t>
  </si>
  <si>
    <t>Alpha-=</t>
  </si>
  <si>
    <t>x=</t>
  </si>
  <si>
    <t>radians</t>
  </si>
  <si>
    <t>degrees</t>
  </si>
  <si>
    <t>Alpha=</t>
  </si>
  <si>
    <t>Lambada=</t>
  </si>
  <si>
    <t>mean longitude</t>
  </si>
  <si>
    <t>mean anamoly</t>
  </si>
  <si>
    <t xml:space="preserve">eliptic longitude of sun </t>
  </si>
  <si>
    <t>ec=</t>
  </si>
  <si>
    <t>GHA</t>
  </si>
  <si>
    <t>LAMBADA=L+ec</t>
  </si>
  <si>
    <t>UT0-180+E</t>
  </si>
  <si>
    <t>Generalized Equation</t>
  </si>
  <si>
    <t>Also note that the above equation neglects the influence of atmospheric refraction (which lifts the solar disc by approximately 0.6° when it is on the horizon) and the non-zero angle subtended by the solar disc (about 0.5°). The times of the rising and the setting of the upper solar limb as given in astronomical almanacs correct for this by using the more general equation</t>
  </si>
  <si>
    <t>with the altitude (a) of the center of the solar disc set to about −0.83° (or −50 arcminutes).</t>
  </si>
  <si>
    <t>[edit]Complete calculation on Earth</t>
  </si>
  <si>
    <r>
      <t>This article </t>
    </r>
    <r>
      <rPr>
        <b/>
        <sz val="8"/>
        <color rgb="FF000000"/>
        <rFont val="Arial"/>
        <family val="2"/>
      </rPr>
      <t>needs additional </t>
    </r>
    <r>
      <rPr>
        <b/>
        <sz val="8"/>
        <color rgb="FF0B0080"/>
        <rFont val="Arial"/>
        <family val="2"/>
      </rPr>
      <t>citations</t>
    </r>
    <r>
      <rPr>
        <b/>
        <sz val="8"/>
        <color rgb="FF000000"/>
        <rFont val="Arial"/>
        <family val="2"/>
      </rPr>
      <t> for </t>
    </r>
    <r>
      <rPr>
        <b/>
        <sz val="8"/>
        <color rgb="FF0B0080"/>
        <rFont val="Arial"/>
        <family val="2"/>
      </rPr>
      <t>verification</t>
    </r>
    <r>
      <rPr>
        <sz val="8"/>
        <color rgb="FF000000"/>
        <rFont val="Arial"/>
        <family val="2"/>
      </rPr>
      <t>. Please help </t>
    </r>
    <r>
      <rPr>
        <sz val="8"/>
        <color rgb="FF663366"/>
        <rFont val="Arial"/>
        <family val="2"/>
      </rPr>
      <t>improve this article</t>
    </r>
    <r>
      <rPr>
        <sz val="8"/>
        <color rgb="FF000000"/>
        <rFont val="Arial"/>
        <family val="2"/>
      </rPr>
      <t> by adding citations to </t>
    </r>
    <r>
      <rPr>
        <sz val="8"/>
        <color rgb="FF0B0080"/>
        <rFont val="Arial"/>
        <family val="2"/>
      </rPr>
      <t>reliable sources</t>
    </r>
    <r>
      <rPr>
        <sz val="8"/>
        <color rgb="FF000000"/>
        <rFont val="Arial"/>
        <family val="2"/>
      </rPr>
      <t>. Unsourced material may be </t>
    </r>
    <r>
      <rPr>
        <sz val="8"/>
        <color rgb="FF0B0080"/>
        <rFont val="Arial"/>
        <family val="2"/>
      </rPr>
      <t>challenged</t>
    </r>
    <r>
      <rPr>
        <sz val="8"/>
        <color rgb="FF000000"/>
        <rFont val="Arial"/>
        <family val="2"/>
      </rPr>
      <t> and </t>
    </r>
    <r>
      <rPr>
        <sz val="8"/>
        <color rgb="FF0B0080"/>
        <rFont val="Arial"/>
        <family val="2"/>
      </rPr>
      <t>removed</t>
    </r>
    <r>
      <rPr>
        <sz val="8"/>
        <color rgb="FF000000"/>
        <rFont val="Arial"/>
        <family val="2"/>
      </rPr>
      <t>. </t>
    </r>
    <r>
      <rPr>
        <i/>
        <sz val="7.5"/>
        <color rgb="FF000000"/>
        <rFont val="Arial"/>
        <family val="2"/>
      </rPr>
      <t>(March 2011)</t>
    </r>
  </si>
  <si>
    <t>The generalized equation relies on a number of other variables which need to be calculated before it can itself be calculated. These equations have the solar-earth constants substituted, with angular constants expressed in degrees.</t>
  </si>
  <si>
    <t>[edit]Calculate current Julian Cycle</t>
  </si>
  <si>
    <t>where:</t>
  </si>
  <si>
    <t>Jdate is the Julian Date;</t>
  </si>
  <si>
    <r>
      <t>l</t>
    </r>
    <r>
      <rPr>
        <vertAlign val="subscript"/>
        <sz val="8"/>
        <color rgb="FF000000"/>
        <rFont val="Arial"/>
        <family val="2"/>
      </rPr>
      <t>w</t>
    </r>
    <r>
      <rPr>
        <sz val="8"/>
        <color rgb="FF000000"/>
        <rFont val="Arial"/>
        <family val="2"/>
      </rPr>
      <t> is the longitude west (west is positive, east is negative) of the observer on the Earth;</t>
    </r>
  </si>
  <si>
    <t>n is the Julian cycle since Jan 1st, 2000.</t>
  </si>
  <si>
    <t>[edit]Approximate Solar Noon</t>
  </si>
  <si>
    <t> is an approximation of solar noon at </t>
  </si>
  <si>
    <t>.</t>
  </si>
  <si>
    <t>[edit]Solar Mean Anomaly</t>
  </si>
  <si>
    <t>M is the solar Mean Anomaly.</t>
  </si>
  <si>
    <t>[edit]Equation of Center</t>
  </si>
  <si>
    <t>C is the Equation of the center.</t>
  </si>
  <si>
    <t>[edit]Ecliptic Longitude</t>
  </si>
  <si>
    <t>λ is the ecliptic longitude.</t>
  </si>
  <si>
    <t>[edit]Solar Transit</t>
  </si>
  <si>
    <t>Jtransit is the hour angle for solar transit (or solar noon).</t>
  </si>
  <si>
    <t>[edit]Declination of the Sun</t>
  </si>
  <si>
    <t>δ is the declination of the sun.</t>
  </si>
  <si>
    <t>[edit]Hour Angle</t>
  </si>
  <si>
    <t>This is the equation from above with the solar disc correction.</t>
  </si>
  <si>
    <r>
      <t>ω</t>
    </r>
    <r>
      <rPr>
        <vertAlign val="subscript"/>
        <sz val="8"/>
        <color rgb="FF000000"/>
        <rFont val="Arial"/>
        <family val="2"/>
      </rPr>
      <t>o</t>
    </r>
    <r>
      <rPr>
        <sz val="8"/>
        <color rgb="FF000000"/>
        <rFont val="Arial"/>
        <family val="2"/>
      </rPr>
      <t> is the hour angle;</t>
    </r>
  </si>
  <si>
    <t> is the north latitude of the observer (north is positive, south is negative) on the Earth.</t>
  </si>
  <si>
    <t>This is the main equation from above with the solar disc correction.</t>
  </si>
  <si>
    <t>[edit]Calculate Sunrise and Sunset</t>
  </si>
  <si>
    <r>
      <t>J</t>
    </r>
    <r>
      <rPr>
        <vertAlign val="subscript"/>
        <sz val="8"/>
        <color rgb="FF000000"/>
        <rFont val="Arial"/>
        <family val="2"/>
      </rPr>
      <t>set</t>
    </r>
    <r>
      <rPr>
        <sz val="8"/>
        <color rgb="FF000000"/>
        <rFont val="Arial"/>
        <family val="2"/>
      </rPr>
      <t> is the actual Julian Date of sunset;</t>
    </r>
  </si>
  <si>
    <r>
      <t>J</t>
    </r>
    <r>
      <rPr>
        <vertAlign val="subscript"/>
        <sz val="8"/>
        <color rgb="FF000000"/>
        <rFont val="Arial"/>
        <family val="2"/>
      </rPr>
      <t>rise</t>
    </r>
    <r>
      <rPr>
        <sz val="8"/>
        <color rgb="FF000000"/>
        <rFont val="Arial"/>
        <family val="2"/>
      </rPr>
      <t> is the actual Julian Date of sunrise.</t>
    </r>
  </si>
  <si>
    <t>[edit]See also</t>
  </si>
  <si>
    <t>n*=</t>
  </si>
  <si>
    <t>n</t>
  </si>
  <si>
    <t>Longitude</t>
  </si>
  <si>
    <t>Latitude</t>
  </si>
  <si>
    <r>
      <t>J</t>
    </r>
    <r>
      <rPr>
        <b/>
        <vertAlign val="subscript"/>
        <sz val="7.5"/>
        <color rgb="FF000000"/>
        <rFont val="Verdana"/>
        <family val="2"/>
      </rPr>
      <t>date</t>
    </r>
    <r>
      <rPr>
        <b/>
        <sz val="7.5"/>
        <color rgb="FF000000"/>
        <rFont val="Verdana"/>
        <family val="2"/>
      </rPr>
      <t> = Julian date</t>
    </r>
  </si>
  <si>
    <r>
      <t>l</t>
    </r>
    <r>
      <rPr>
        <b/>
        <vertAlign val="subscript"/>
        <sz val="7.5"/>
        <color rgb="FF000000"/>
        <rFont val="Verdana"/>
        <family val="2"/>
      </rPr>
      <t>w</t>
    </r>
    <r>
      <rPr>
        <b/>
        <sz val="7.5"/>
        <color rgb="FF000000"/>
        <rFont val="Verdana"/>
        <family val="2"/>
      </rPr>
      <t> = West Longitude (75W = 75, 45E = -45)</t>
    </r>
  </si>
  <si>
    <r>
      <t>l</t>
    </r>
    <r>
      <rPr>
        <b/>
        <vertAlign val="subscript"/>
        <sz val="7.5"/>
        <color rgb="FF000000"/>
        <rFont val="Verdana"/>
        <family val="2"/>
      </rPr>
      <t>n</t>
    </r>
    <r>
      <rPr>
        <b/>
        <sz val="7.5"/>
        <color rgb="FF000000"/>
        <rFont val="Verdana"/>
        <family val="2"/>
      </rPr>
      <t> = North Latitude (35N = 35, 25S = -25)</t>
    </r>
  </si>
  <si>
    <t>M = Mean Solar Anomaly</t>
  </si>
  <si>
    <t>n = Julian cycle since Jan 1, 2000</t>
  </si>
  <si>
    <t>C = Equation of center</t>
  </si>
  <si>
    <t>λ = Ecliptical longitude of the sun</t>
  </si>
  <si>
    <t>δ = Declination of the sun</t>
  </si>
  <si>
    <t>H = Hour Angle (half the arc length of the sun)</t>
  </si>
  <si>
    <r>
      <t>J</t>
    </r>
    <r>
      <rPr>
        <b/>
        <vertAlign val="subscript"/>
        <sz val="7.5"/>
        <color rgb="FF000000"/>
        <rFont val="Verdana"/>
        <family val="2"/>
      </rPr>
      <t>transit</t>
    </r>
    <r>
      <rPr>
        <b/>
        <sz val="7.5"/>
        <color rgb="FF000000"/>
        <rFont val="Verdana"/>
        <family val="2"/>
      </rPr>
      <t> = Julian date of solar noon on cycle n</t>
    </r>
  </si>
  <si>
    <r>
      <t>J</t>
    </r>
    <r>
      <rPr>
        <b/>
        <vertAlign val="subscript"/>
        <sz val="7.5"/>
        <color rgb="FF000000"/>
        <rFont val="Verdana"/>
        <family val="2"/>
      </rPr>
      <t>rise</t>
    </r>
    <r>
      <rPr>
        <b/>
        <sz val="7.5"/>
        <color rgb="FF000000"/>
        <rFont val="Verdana"/>
        <family val="2"/>
      </rPr>
      <t> = Julian date of sunrise on cycle n</t>
    </r>
  </si>
  <si>
    <r>
      <t>J</t>
    </r>
    <r>
      <rPr>
        <b/>
        <vertAlign val="subscript"/>
        <sz val="7.5"/>
        <color rgb="FF000000"/>
        <rFont val="Verdana"/>
        <family val="2"/>
      </rPr>
      <t>set</t>
    </r>
    <r>
      <rPr>
        <b/>
        <sz val="7.5"/>
        <color rgb="FF000000"/>
        <rFont val="Verdana"/>
        <family val="2"/>
      </rPr>
      <t> = Julian date of sunset on cycle n</t>
    </r>
  </si>
  <si>
    <t>The next step is to calculate the Julian cycle. This is not equal to the days since Jan 1, 2000. Depending on your longitude, this may be a different number.</t>
  </si>
  <si>
    <t>Now, it is time to approximate the Julian date of solar noon. This is just an approximation so that we can make some intermediate calculations before we calculate the actual Julian date of solar noon.</t>
  </si>
  <si>
    <t>Using the approximate value, calculate the mean solar anomaly. This will get a very close value to the actual mean solar anomaly.</t>
  </si>
  <si>
    <t>Calculate the equation of center</t>
  </si>
  <si>
    <t>C = (1.9148 * sin(M)) + (0.0200 * sin(2 * M)) + (0.0003 * sin(3 * M))</t>
  </si>
  <si>
    <t>Now, using C and M, calculate the ecliptical longitude of the sun.</t>
  </si>
  <si>
    <t>λ = (M + 102.9372 + C + 180) mod 360</t>
  </si>
  <si>
    <t>Now there is enough data to calculate an accurate Julian date for solar noon.</t>
  </si>
  <si>
    <t>To calculate the hour angle we need to find the declination of the sun</t>
  </si>
  <si>
    <t>δ = arcsin( sin(λ) * sin(23.45) )</t>
  </si>
  <si>
    <t>Now, calculate the hour angle, which corresponds to half of the arc length of the sun at this latitude at this declination of the sun</t>
  </si>
  <si>
    <t>Note: If H is undefined, then there is either no sunrise (in winter) or no sunset (in summer) for the supplied latitude.</t>
  </si>
  <si>
    <t>Okay, time to go back through the approximation again, this time we use H in the calculation</t>
  </si>
  <si>
    <t>The values of M and λ from above don't really change from solar noon to sunset, so there is no need to recalculate them before calculating sunset.</t>
  </si>
  <si>
    <t>Instead of going through that mess again, assume that solar noon is half-way between sunrise and sunset (valid for latitudes &lt; 60) and approximate sunrise.</t>
  </si>
  <si>
    <t>At this point you should convert the Julian dates to something more readable like a regular date. This will be left as an exercise to the reader.</t>
  </si>
  <si>
    <t> = J* + (0.0053 * sin(M)) - (0.0069 * sin(2 * λ))</t>
  </si>
  <si>
    <t>H = arccos( [sin(-0.83) - sin(ln) * sin(δ)] / [cos(ln) * cos(δ)] )</t>
  </si>
  <si>
    <t>SIN(PI()*-0.83/180)</t>
  </si>
  <si>
    <t>SIN(PI()*G8/180)</t>
  </si>
  <si>
    <t>Decl</t>
  </si>
  <si>
    <r>
      <t xml:space="preserve">HA </t>
    </r>
    <r>
      <rPr>
        <vertAlign val="subscript"/>
        <sz val="11"/>
        <color theme="1"/>
        <rFont val="Calibri"/>
        <family val="2"/>
        <scheme val="minor"/>
      </rPr>
      <t>(APPROX)</t>
    </r>
  </si>
  <si>
    <r>
      <t>HA</t>
    </r>
    <r>
      <rPr>
        <vertAlign val="subscript"/>
        <sz val="11"/>
        <color theme="1"/>
        <rFont val="Calibri"/>
        <family val="2"/>
        <scheme val="minor"/>
      </rPr>
      <t xml:space="preserve"> (exact)</t>
    </r>
  </si>
  <si>
    <t>C=</t>
  </si>
  <si>
    <t>lambada=</t>
  </si>
  <si>
    <r>
      <t>J</t>
    </r>
    <r>
      <rPr>
        <vertAlign val="subscript"/>
        <sz val="11"/>
        <color theme="1"/>
        <rFont val="Calibri"/>
        <family val="2"/>
        <scheme val="minor"/>
      </rPr>
      <t>transit</t>
    </r>
  </si>
  <si>
    <r>
      <t>j</t>
    </r>
    <r>
      <rPr>
        <vertAlign val="superscript"/>
        <sz val="11"/>
        <color theme="1"/>
        <rFont val="Calibri"/>
        <family val="2"/>
        <scheme val="minor"/>
      </rPr>
      <t>*</t>
    </r>
    <r>
      <rPr>
        <sz val="11"/>
        <color theme="1"/>
        <rFont val="Calibri"/>
        <family val="2"/>
        <scheme val="minor"/>
      </rPr>
      <t>=</t>
    </r>
  </si>
  <si>
    <r>
      <t>J</t>
    </r>
    <r>
      <rPr>
        <b/>
        <vertAlign val="subscript"/>
        <sz val="12"/>
        <color theme="1"/>
        <rFont val="Calibri"/>
        <family val="2"/>
        <scheme val="minor"/>
      </rPr>
      <t>set=</t>
    </r>
  </si>
  <si>
    <r>
      <t>First, start by calculating the number of days since January 1, 2000. Add that number to 2451545 (the Julian day of January 1, 2000). This will be variable J</t>
    </r>
    <r>
      <rPr>
        <vertAlign val="subscript"/>
        <sz val="10"/>
        <color rgb="FF000000"/>
        <rFont val="Calibri"/>
        <family val="2"/>
        <scheme val="minor"/>
      </rPr>
      <t>date</t>
    </r>
    <r>
      <rPr>
        <sz val="10"/>
        <color rgb="FF000000"/>
        <rFont val="Calibri"/>
        <family val="2"/>
        <scheme val="minor"/>
      </rPr>
      <t>.</t>
    </r>
  </si>
  <si>
    <r>
      <t>n</t>
    </r>
    <r>
      <rPr>
        <b/>
        <vertAlign val="subscript"/>
        <sz val="10"/>
        <color rgb="FF000000"/>
        <rFont val="Calibri"/>
        <family val="2"/>
        <scheme val="minor"/>
      </rPr>
      <t>*</t>
    </r>
    <r>
      <rPr>
        <b/>
        <sz val="10"/>
        <color rgb="FF000000"/>
        <rFont val="Calibri"/>
        <family val="2"/>
        <scheme val="minor"/>
      </rPr>
      <t> = (J</t>
    </r>
    <r>
      <rPr>
        <b/>
        <vertAlign val="subscript"/>
        <sz val="10"/>
        <color rgb="FF000000"/>
        <rFont val="Calibri"/>
        <family val="2"/>
        <scheme val="minor"/>
      </rPr>
      <t>date</t>
    </r>
    <r>
      <rPr>
        <b/>
        <sz val="10"/>
        <color rgb="FF000000"/>
        <rFont val="Calibri"/>
        <family val="2"/>
        <scheme val="minor"/>
      </rPr>
      <t> - 2451545 - 0.0009) - (l</t>
    </r>
    <r>
      <rPr>
        <b/>
        <vertAlign val="subscript"/>
        <sz val="10"/>
        <color rgb="FF000000"/>
        <rFont val="Calibri"/>
        <family val="2"/>
        <scheme val="minor"/>
      </rPr>
      <t>w</t>
    </r>
    <r>
      <rPr>
        <b/>
        <sz val="10"/>
        <color rgb="FF000000"/>
        <rFont val="Calibri"/>
        <family val="2"/>
        <scheme val="minor"/>
      </rPr>
      <t>/360)</t>
    </r>
  </si>
  <si>
    <r>
      <t>n = round(n</t>
    </r>
    <r>
      <rPr>
        <b/>
        <vertAlign val="subscript"/>
        <sz val="10"/>
        <color rgb="FF000000"/>
        <rFont val="Calibri"/>
        <family val="2"/>
        <scheme val="minor"/>
      </rPr>
      <t>*</t>
    </r>
    <r>
      <rPr>
        <b/>
        <sz val="10"/>
        <color rgb="FF000000"/>
        <rFont val="Calibri"/>
        <family val="2"/>
        <scheme val="minor"/>
      </rPr>
      <t>)</t>
    </r>
  </si>
  <si>
    <r>
      <t>J</t>
    </r>
    <r>
      <rPr>
        <b/>
        <vertAlign val="subscript"/>
        <sz val="10"/>
        <color rgb="FF000000"/>
        <rFont val="Calibri"/>
        <family val="2"/>
        <scheme val="minor"/>
      </rPr>
      <t>*</t>
    </r>
    <r>
      <rPr>
        <b/>
        <sz val="10"/>
        <color rgb="FF000000"/>
        <rFont val="Calibri"/>
        <family val="2"/>
        <scheme val="minor"/>
      </rPr>
      <t> = 2451545 + 0.0009 + (l</t>
    </r>
    <r>
      <rPr>
        <b/>
        <vertAlign val="subscript"/>
        <sz val="10"/>
        <color rgb="FF000000"/>
        <rFont val="Calibri"/>
        <family val="2"/>
        <scheme val="minor"/>
      </rPr>
      <t>w</t>
    </r>
    <r>
      <rPr>
        <b/>
        <sz val="10"/>
        <color rgb="FF000000"/>
        <rFont val="Calibri"/>
        <family val="2"/>
        <scheme val="minor"/>
      </rPr>
      <t>/360) + n</t>
    </r>
  </si>
  <si>
    <r>
      <t>M = [357.5291 + 0.98560028 * (J</t>
    </r>
    <r>
      <rPr>
        <b/>
        <vertAlign val="subscript"/>
        <sz val="10"/>
        <color rgb="FF000000"/>
        <rFont val="Calibri"/>
        <family val="2"/>
        <scheme val="minor"/>
      </rPr>
      <t>*</t>
    </r>
    <r>
      <rPr>
        <b/>
        <sz val="10"/>
        <color rgb="FF000000"/>
        <rFont val="Calibri"/>
        <family val="2"/>
        <scheme val="minor"/>
      </rPr>
      <t> - 2451545)] mod 360</t>
    </r>
  </si>
  <si>
    <r>
      <t>J</t>
    </r>
    <r>
      <rPr>
        <b/>
        <vertAlign val="subscript"/>
        <sz val="10"/>
        <color rgb="FF000000"/>
        <rFont val="Calibri"/>
        <family val="2"/>
        <scheme val="minor"/>
      </rPr>
      <t>transit</t>
    </r>
    <r>
      <rPr>
        <b/>
        <sz val="10"/>
        <color rgb="FF000000"/>
        <rFont val="Calibri"/>
        <family val="2"/>
        <scheme val="minor"/>
      </rPr>
      <t> = J</t>
    </r>
    <r>
      <rPr>
        <b/>
        <vertAlign val="subscript"/>
        <sz val="10"/>
        <color rgb="FF000000"/>
        <rFont val="Calibri"/>
        <family val="2"/>
        <scheme val="minor"/>
      </rPr>
      <t>*</t>
    </r>
    <r>
      <rPr>
        <b/>
        <sz val="10"/>
        <color rgb="FF000000"/>
        <rFont val="Calibri"/>
        <family val="2"/>
        <scheme val="minor"/>
      </rPr>
      <t> + (0.0053 * sin(M)) - (0.0069 * sin(2 * λ))</t>
    </r>
  </si>
  <si>
    <r>
      <t>H = arccos( [sin(-0.83) - sin(l</t>
    </r>
    <r>
      <rPr>
        <b/>
        <vertAlign val="subscript"/>
        <sz val="10"/>
        <color rgb="FF000000"/>
        <rFont val="Calibri"/>
        <family val="2"/>
        <scheme val="minor"/>
      </rPr>
      <t>n</t>
    </r>
    <r>
      <rPr>
        <b/>
        <sz val="10"/>
        <color rgb="FF000000"/>
        <rFont val="Calibri"/>
        <family val="2"/>
        <scheme val="minor"/>
      </rPr>
      <t>) * sin(δ)] / [cos(l</t>
    </r>
    <r>
      <rPr>
        <b/>
        <vertAlign val="subscript"/>
        <sz val="10"/>
        <color rgb="FF000000"/>
        <rFont val="Calibri"/>
        <family val="2"/>
        <scheme val="minor"/>
      </rPr>
      <t>n</t>
    </r>
    <r>
      <rPr>
        <b/>
        <sz val="10"/>
        <color rgb="FF000000"/>
        <rFont val="Calibri"/>
        <family val="2"/>
        <scheme val="minor"/>
      </rPr>
      <t>) * cos(δ)] )</t>
    </r>
  </si>
  <si>
    <r>
      <t>J</t>
    </r>
    <r>
      <rPr>
        <b/>
        <vertAlign val="subscript"/>
        <sz val="10"/>
        <color rgb="FF000000"/>
        <rFont val="Calibri"/>
        <family val="2"/>
        <scheme val="minor"/>
      </rPr>
      <t>**</t>
    </r>
    <r>
      <rPr>
        <b/>
        <sz val="10"/>
        <color rgb="FF000000"/>
        <rFont val="Calibri"/>
        <family val="2"/>
        <scheme val="minor"/>
      </rPr>
      <t> = 2451545 + 0.0009 + ((H + l</t>
    </r>
    <r>
      <rPr>
        <b/>
        <vertAlign val="subscript"/>
        <sz val="10"/>
        <color rgb="FF000000"/>
        <rFont val="Calibri"/>
        <family val="2"/>
        <scheme val="minor"/>
      </rPr>
      <t>w</t>
    </r>
    <r>
      <rPr>
        <b/>
        <sz val="10"/>
        <color rgb="FF000000"/>
        <rFont val="Calibri"/>
        <family val="2"/>
        <scheme val="minor"/>
      </rPr>
      <t>)/360) + n</t>
    </r>
  </si>
  <si>
    <r>
      <t>J</t>
    </r>
    <r>
      <rPr>
        <b/>
        <vertAlign val="subscript"/>
        <sz val="10"/>
        <color rgb="FF000000"/>
        <rFont val="Calibri"/>
        <family val="2"/>
        <scheme val="minor"/>
      </rPr>
      <t>set</t>
    </r>
    <r>
      <rPr>
        <b/>
        <sz val="10"/>
        <color rgb="FF000000"/>
        <rFont val="Calibri"/>
        <family val="2"/>
        <scheme val="minor"/>
      </rPr>
      <t> = J</t>
    </r>
    <r>
      <rPr>
        <b/>
        <vertAlign val="subscript"/>
        <sz val="10"/>
        <color rgb="FF000000"/>
        <rFont val="Calibri"/>
        <family val="2"/>
        <scheme val="minor"/>
      </rPr>
      <t>**</t>
    </r>
    <r>
      <rPr>
        <b/>
        <sz val="10"/>
        <color rgb="FF000000"/>
        <rFont val="Calibri"/>
        <family val="2"/>
        <scheme val="minor"/>
      </rPr>
      <t> + (0.0053 * sin(M)) - (0.0069 * sin(2 * λ))</t>
    </r>
  </si>
  <si>
    <r>
      <t>J</t>
    </r>
    <r>
      <rPr>
        <b/>
        <vertAlign val="subscript"/>
        <sz val="10"/>
        <color rgb="FF000000"/>
        <rFont val="Calibri"/>
        <family val="2"/>
        <scheme val="minor"/>
      </rPr>
      <t>rise</t>
    </r>
    <r>
      <rPr>
        <b/>
        <sz val="10"/>
        <color rgb="FF000000"/>
        <rFont val="Calibri"/>
        <family val="2"/>
        <scheme val="minor"/>
      </rPr>
      <t> = J</t>
    </r>
    <r>
      <rPr>
        <b/>
        <vertAlign val="subscript"/>
        <sz val="10"/>
        <color rgb="FF000000"/>
        <rFont val="Calibri"/>
        <family val="2"/>
        <scheme val="minor"/>
      </rPr>
      <t>transit</t>
    </r>
    <r>
      <rPr>
        <b/>
        <sz val="10"/>
        <color rgb="FF000000"/>
        <rFont val="Calibri"/>
        <family val="2"/>
        <scheme val="minor"/>
      </rPr>
      <t> - (J</t>
    </r>
    <r>
      <rPr>
        <b/>
        <vertAlign val="subscript"/>
        <sz val="10"/>
        <color rgb="FF000000"/>
        <rFont val="Calibri"/>
        <family val="2"/>
        <scheme val="minor"/>
      </rPr>
      <t>set</t>
    </r>
    <r>
      <rPr>
        <b/>
        <sz val="10"/>
        <color rgb="FF000000"/>
        <rFont val="Calibri"/>
        <family val="2"/>
        <scheme val="minor"/>
      </rPr>
      <t> - J</t>
    </r>
    <r>
      <rPr>
        <b/>
        <vertAlign val="subscript"/>
        <sz val="10"/>
        <color rgb="FF000000"/>
        <rFont val="Calibri"/>
        <family val="2"/>
        <scheme val="minor"/>
      </rPr>
      <t>transit</t>
    </r>
    <r>
      <rPr>
        <b/>
        <sz val="10"/>
        <color rgb="FF000000"/>
        <rFont val="Calibri"/>
        <family val="2"/>
        <scheme val="minor"/>
      </rPr>
      <t>)</t>
    </r>
  </si>
  <si>
    <t>How to Calculate Ecliptic Longitude</t>
  </si>
  <si>
    <r>
      <t>By Michel Charles</t>
    </r>
    <r>
      <rPr>
        <i/>
        <sz val="6.5"/>
        <color rgb="FF666666"/>
        <rFont val="Times New Roman"/>
        <family val="1"/>
      </rPr>
      <t>, eHow Contributor</t>
    </r>
    <r>
      <rPr>
        <sz val="8"/>
        <color theme="1"/>
        <rFont val="Times New Roman"/>
        <family val="1"/>
      </rPr>
      <t> </t>
    </r>
    <r>
      <rPr>
        <i/>
        <sz val="6.5"/>
        <color rgb="FF666666"/>
        <rFont val="Times New Roman"/>
        <family val="1"/>
      </rPr>
      <t>| updated May 15, 2011</t>
    </r>
  </si>
  <si>
    <t>Ecliptic longitude (celestial longitude) is an important term in astronomy because it is used to find the position of an object within the solar system. Ecliptic longitude is calculated based on the ecliptic coordinate system. Ecliptic is the path that the sun moves across the sky in an annual period. Ecliptic longitude is the angular distance measured eastward from the vernal equinox to the intersection of the ecliptic, with a circle drawn through the object and the poles of the ecliptic. Vernal equinox is the point of intersection of celestial equator and ecliptic.</t>
  </si>
  <si>
    <t>Instructions</t>
  </si>
  <si>
    <t>Calculate the sun's mean anomaly (M) using the formula: M = 357.528 + 35999.050 (T0) + 0.04107H degrees. (T0) is the time in Julian centuries from 12.00 Universal Time on January 1, 2000, to 12.00 Universal Time on the day in which the calculation is made. (T0) can be calculated using tables. H is the time in hours since that preceding midnight.</t>
  </si>
  <si>
    <t>For example, if you want to calculate the ecliptic longitude of the sun on May 13, 2013, use the three Julian Day Number tables. From Table 27 (see Resources), you have to take the corresponding value of 2000, which is equal to 2451544. Now, take the year of the century, which is 13, and the corresponding value from Table 28, which is 4749. The day of the year is May 13, for which the value from Table 29 is 133. Adding these three values, you get (T0) as 2456426. Suppose you do the calculation at 2.00 a.m., then the value of H is 2. Now you get the value of M using the above formula as 88429002752.91014.</t>
  </si>
  <si>
    <t>Calculate mean longitude (Lambda) using the formula: Lambda = 280.460 + 36000.772 T0 + 0.04107 H degrees. You get the value of Lambda as 88433232641.41414.</t>
  </si>
  <si>
    <t>Calculate ecliptic longitude (lambdaO) using the formula: lambdaO = Lambda + (1.915 - 0.0048 T0) sin M + 0.020 sin 2M. You get M and Lambda from Step 1 and Step 2, respectively. Now ecliptic longitude = 88433231464.23 (rounded to 2 decimal points). This formula is derived from the Almanac for Computers published by the U.S. Naval Observatory every year.</t>
  </si>
  <si>
    <r>
      <t>T</t>
    </r>
    <r>
      <rPr>
        <sz val="10"/>
        <color rgb="FF000000"/>
        <rFont val="Arial"/>
        <family val="2"/>
      </rPr>
      <t>   Julian centuries</t>
    </r>
  </si>
  <si>
    <t>JD0 - 2451545</t>
  </si>
  <si>
    <t>T =</t>
  </si>
  <si>
    <t>L = 280.460 + 36000.770 * t   (Mean longitude including aberration)</t>
  </si>
  <si>
    <t xml:space="preserve">  = -146.81813257 + 360</t>
  </si>
  <si>
    <t xml:space="preserve">  = 213.1818674</t>
  </si>
  <si>
    <t xml:space="preserve">  </t>
  </si>
  <si>
    <t>G = 357.528 + 35999.050 * t   (Mean anomaly)</t>
  </si>
  <si>
    <t xml:space="preserve">  = -69.7297186 + 360</t>
  </si>
  <si>
    <t xml:space="preserve">  = 290.2702814</t>
  </si>
  <si>
    <t>ec = 1.915 * sin(G) + 0.020 * sin(2*G) (eq centre correction)</t>
  </si>
  <si>
    <t xml:space="preserve">   = -1.7964017 - 0.0129997</t>
  </si>
  <si>
    <t xml:space="preserve">   = -1.8094014</t>
  </si>
  <si>
    <t>lambda = L + ec    (ecliptic longitude of Sun)</t>
  </si>
  <si>
    <t xml:space="preserve">       = 213.1818674 - 1.8094014</t>
  </si>
  <si>
    <t xml:space="preserve">       = 211.3724660</t>
  </si>
  <si>
    <t>E = -ec + 2.466 * sin (2 * lambda) - 0.053 * sin(4 * lambda)</t>
  </si>
  <si>
    <t xml:space="preserve">  = 1.8094014 + 2.1922164 - 0.0431536</t>
  </si>
  <si>
    <t xml:space="preserve">  = 3.9584642</t>
  </si>
  <si>
    <t xml:space="preserve">GHA = UTo - 180 + E, </t>
  </si>
  <si>
    <t>where UTo is the current estimate of the time of Sunrise expressed in</t>
  </si>
  <si>
    <t>degrees. For this first iteration, this gives</t>
  </si>
  <si>
    <t>GHA = 180 - 180 + E    (Hour angle of Sun on Greenwich meridian)</t>
  </si>
  <si>
    <t xml:space="preserve">    = 3.9584642</t>
  </si>
  <si>
    <t>We also need the Sun's declination (delta), for which we need the</t>
  </si>
  <si>
    <t>obliquity of the ecliptic (tilt of the Earth's axis);</t>
  </si>
  <si>
    <t>Obl = 23.4393 - 0.0130 * t</t>
  </si>
  <si>
    <t xml:space="preserve">    = 23.43945429</t>
  </si>
  <si>
    <t xml:space="preserve">    </t>
  </si>
  <si>
    <t>delta = asin ( sin (obl) * sin(lambda))   (Sun's declination)</t>
  </si>
  <si>
    <t xml:space="preserve">      = -11.9515161</t>
  </si>
  <si>
    <t>Correction term and new estimate of time</t>
  </si>
  <si>
    <t>[Top]</t>
  </si>
  <si>
    <t>The guts of this iterative algorithm are the two formulas below;</t>
  </si>
  <si>
    <t xml:space="preserve">                UT' = UT - (GHA + long + correction)        [1]</t>
  </si>
  <si>
    <t xml:space="preserve">       </t>
  </si>
  <si>
    <t xml:space="preserve">                          sin(h) - sin(phi) * sin(delta)</t>
  </si>
  <si>
    <t xml:space="preserve">              cosc   =   --------------------------------  [2]</t>
  </si>
  <si>
    <t xml:space="preserve">                              cos(phi) * cos(delta)</t>
  </si>
  <si>
    <t xml:space="preserve">                              </t>
  </si>
  <si>
    <t xml:space="preserve">       If cosc &gt; 1 then correction = 0</t>
  </si>
  <si>
    <t xml:space="preserve">          Else</t>
  </si>
  <si>
    <t xml:space="preserve">       If cosc &lt; -1 then correction = 180</t>
  </si>
  <si>
    <t xml:space="preserve">       Correction = acos(cosc)</t>
  </si>
  <si>
    <t>Formula [1] gives us a way of calculating a better estimate of the time of sunrise, given the current estimate (ut) and the hour angle of the Sun for that time, and the correction term. The quantity GHA + long gives us the Sun's hour angle on the local meridian. Our first guess for the time of sunrise is ut = 180.</t>
  </si>
  <si>
    <t>For setting events (sunset, end of twilight) we subtract the correction term in formula [1];</t>
  </si>
  <si>
    <t xml:space="preserve">     (setting)     UT' = UT - (GHA + long - correction)        [1]    </t>
  </si>
  <si>
    <t>Formula [2] gives us the value of the correction term for each successive estimate. As we will see in the spreadsheet example below, the correction terms converge rapidly to a single value under most circumstances. You have to calculate the correction term first, before you can use the iteration formula [1] to find your next estimate. I've never really understood why the textbooks list them in this order!</t>
  </si>
  <si>
    <t>For our example date of 1998 October 25th, at Birmingham (phi = 52.5, long = -1.9167), we have for the correction term [2];</t>
  </si>
  <si>
    <t xml:space="preserve">              cosc   =   --------------------------------  </t>
  </si>
  <si>
    <t xml:space="preserve">                     =    -0.1453808 - 0.79335234 * -0.20708391</t>
  </si>
  <si>
    <t xml:space="preserve">                         ---------------------------------------</t>
  </si>
  <si>
    <t xml:space="preserve">                              0.608761429 * 0.978323186</t>
  </si>
  <si>
    <t xml:space="preserve">                     =    0.14975242</t>
  </si>
  <si>
    <t xml:space="preserve">                         ------------  =  0.2514458</t>
  </si>
  <si>
    <t xml:space="preserve">                          </t>
  </si>
  <si>
    <t xml:space="preserve">          acos(cosc) = correction = 75.436916                        </t>
  </si>
  <si>
    <t>and this leads to the refined estimate for the time of Sunrise;</t>
  </si>
  <si>
    <t xml:space="preserve">           </t>
  </si>
  <si>
    <t xml:space="preserve">                UT' = 180 - (3.9584642 + -1.9167 + 75.436916)</t>
  </si>
  <si>
    <t xml:space="preserve">                    = 102.52132 degrees</t>
  </si>
  <si>
    <t xml:space="preserve">                    = 6.83475 hrs UT.</t>
  </si>
  <si>
    <t>Recalculation for second approximation</t>
  </si>
  <si>
    <t>The above is not a bad approximation to the true time that day, but we can calculate the next approximation by;</t>
  </si>
  <si>
    <t>re-calculating the number of centuries since J2000.0 using the new estimate of UT</t>
  </si>
  <si>
    <t>recalculating the position of the Sun for the new t value,</t>
  </si>
  <si>
    <t>calculating a new correction term [2]</t>
  </si>
  <si>
    <t>using the iteration formula [1] to calculate the new time</t>
  </si>
  <si>
    <t>Below is a summary of this second iteration, the formulas for the Sun's position are identical to those above.</t>
  </si>
  <si>
    <t>New figure for centuries;</t>
  </si>
  <si>
    <t>t = (-433.5 + 102.52132/360) /36525</t>
  </si>
  <si>
    <t xml:space="preserve">  = -0.0118607863</t>
  </si>
  <si>
    <t>Sun's modified position</t>
  </si>
  <si>
    <t xml:space="preserve">     L = 213.4625604</t>
  </si>
  <si>
    <t xml:space="preserve">     G = 290.5509609</t>
  </si>
  <si>
    <t xml:space="preserve">    ec = - 1.7931300 - 0.0131480 = -1.806278</t>
  </si>
  <si>
    <t>lambda = 211.6562823</t>
  </si>
  <si>
    <t xml:space="preserve">     E = 1.806278 + 2.2032968 - 0.0425355</t>
  </si>
  <si>
    <t xml:space="preserve">       = 3.9670393</t>
  </si>
  <si>
    <t xml:space="preserve">   GHA = ut' - 180 + E</t>
  </si>
  <si>
    <t xml:space="preserve">       = 102.52132 - 180 + 3.9670393</t>
  </si>
  <si>
    <t xml:space="preserve">       = - 73.5116407</t>
  </si>
  <si>
    <t>New obliquity and declination</t>
  </si>
  <si>
    <t xml:space="preserve">   Obl = 23.43945419      (not very significant change!)</t>
  </si>
  <si>
    <t xml:space="preserve"> delta = -12.04991163</t>
  </si>
  <si>
    <t xml:space="preserve"> </t>
  </si>
  <si>
    <t>Correction term</t>
  </si>
  <si>
    <t xml:space="preserve">             cosc =      -0.1453808 - 0.79335234 * -0.208763698</t>
  </si>
  <si>
    <t xml:space="preserve">                              0.608761429 * 0.977966113</t>
  </si>
  <si>
    <t xml:space="preserve">             (notice that only the values of cos and sin of delta         </t>
  </si>
  <si>
    <t xml:space="preserve">              actually change, the other numbers stay the same)</t>
  </si>
  <si>
    <t xml:space="preserve">              </t>
  </si>
  <si>
    <t xml:space="preserve">        correction = acos(cosc) = 75.298919</t>
  </si>
  <si>
    <t>New estimate of UT</t>
  </si>
  <si>
    <t xml:space="preserve">            ut'' = ut' - (GHA + long + correction)</t>
  </si>
  <si>
    <t xml:space="preserve">            ut'' = 102.52132 - (-73.5116407 - 1.9167 + 75.298919)</t>
  </si>
  <si>
    <t xml:space="preserve">                 = 102.650741</t>
  </si>
  <si>
    <t xml:space="preserve">                 = 6.84338 hrs UT</t>
  </si>
  <si>
    <t xml:space="preserve">                 = 6 h 50 m 36 sec</t>
  </si>
  <si>
    <t>When I did this calculation myself (using a basic scientific calculator and rounding answers in a convenient if unsystematic way) I used a column layout, with a new column</t>
  </si>
  <si>
    <t>Legenda</t>
  </si>
  <si>
    <t>Geographic latitude</t>
  </si>
  <si>
    <t>L</t>
  </si>
  <si>
    <t>Geographic longitude</t>
  </si>
  <si>
    <t>JD</t>
  </si>
  <si>
    <t>Julian Day</t>
  </si>
  <si>
    <r>
      <t>JD</t>
    </r>
    <r>
      <rPr>
        <vertAlign val="subscript"/>
        <sz val="10"/>
        <color rgb="FF0000FF"/>
        <rFont val="Verdana"/>
        <family val="2"/>
      </rPr>
      <t>0</t>
    </r>
  </si>
  <si>
    <t>Julian Day at 0 hours UTC</t>
  </si>
  <si>
    <r>
      <t>JD</t>
    </r>
    <r>
      <rPr>
        <vertAlign val="subscript"/>
        <sz val="10"/>
        <color rgb="FF0000FF"/>
        <rFont val="Verdana"/>
        <family val="2"/>
      </rPr>
      <t>e</t>
    </r>
  </si>
  <si>
    <t>Expected Julian Day</t>
  </si>
  <si>
    <t>T</t>
  </si>
  <si>
    <t>Julian centuries since epoch</t>
  </si>
  <si>
    <r>
      <t>L</t>
    </r>
    <r>
      <rPr>
        <vertAlign val="subscript"/>
        <sz val="10"/>
        <color rgb="FF0000FF"/>
        <rFont val="Verdana"/>
        <family val="2"/>
      </rPr>
      <t>0</t>
    </r>
  </si>
  <si>
    <t>Sun's mean ecliplic longitude</t>
  </si>
  <si>
    <t>True longitude</t>
  </si>
  <si>
    <t>Apparent longitude</t>
  </si>
  <si>
    <t>M</t>
  </si>
  <si>
    <t>Mean anomaly</t>
  </si>
  <si>
    <t>v</t>
  </si>
  <si>
    <t>True anomaly</t>
  </si>
  <si>
    <t>C</t>
  </si>
  <si>
    <t>Equation of the center</t>
  </si>
  <si>
    <t>e</t>
  </si>
  <si>
    <t>Eccentricity</t>
  </si>
  <si>
    <t>R</t>
  </si>
  <si>
    <t>Radius vector</t>
  </si>
  <si>
    <t>SD</t>
  </si>
  <si>
    <t>Semidiameter</t>
  </si>
  <si>
    <t>Longitude of the Moon's ascending node</t>
  </si>
  <si>
    <t>Obliquity of the ecliptic</t>
  </si>
  <si>
    <t>Declination</t>
  </si>
  <si>
    <t>Right ascension</t>
  </si>
  <si>
    <t>H</t>
  </si>
  <si>
    <t>Hour angle</t>
  </si>
  <si>
    <t>UTC</t>
  </si>
  <si>
    <t>Universal Time Coordinated</t>
  </si>
  <si>
    <t>GST</t>
  </si>
  <si>
    <t>Greenwich Sidereal Time</t>
  </si>
  <si>
    <r>
      <t>GST</t>
    </r>
    <r>
      <rPr>
        <vertAlign val="subscript"/>
        <sz val="10"/>
        <color rgb="FF0000FF"/>
        <rFont val="Verdana"/>
        <family val="2"/>
      </rPr>
      <t>0</t>
    </r>
  </si>
  <si>
    <t>GST at 0 hours UTC</t>
  </si>
  <si>
    <t>A</t>
  </si>
  <si>
    <t>Azimuth</t>
  </si>
  <si>
    <t>h</t>
  </si>
  <si>
    <t>Altitude in meters</t>
  </si>
  <si>
    <t>DT</t>
  </si>
  <si>
    <t>Dynamic Time</t>
  </si>
  <si>
    <t>DST</t>
  </si>
  <si>
    <t>Daylight Saving Time</t>
  </si>
  <si>
    <t>sin</t>
  </si>
  <si>
    <t>Sine</t>
  </si>
  <si>
    <t>cos</t>
  </si>
  <si>
    <t>Cosine</t>
  </si>
  <si>
    <t>tan</t>
  </si>
  <si>
    <t>Tangent</t>
  </si>
  <si>
    <t>orked Example</t>
  </si>
  <si>
    <t xml:space="preserve">                                                               </t>
  </si>
  <si>
    <t>To find the number of days from J2000.0 for 1998 October 25th,</t>
  </si>
  <si>
    <t>1. find from table A the number of days to the beginning of</t>
  </si>
  <si>
    <t>October from the start of the year, here 273 days</t>
  </si>
  <si>
    <t>4. write down the day number within the month, here 25 above</t>
  </si>
  <si>
    <t>5. find from table B the days since J2000.0 to the beginning of</t>
  </si>
  <si>
    <t>the year, here -731.5</t>
  </si>
  <si>
    <t>6. add these three numbers.</t>
  </si>
  <si>
    <t>For the date above;</t>
  </si>
  <si>
    <t xml:space="preserve">   273 + 25 + -731.5 = -433.5 days from J2000.0</t>
  </si>
  <si>
    <t>7. to find the number of centuries t, divide by 36525,</t>
  </si>
  <si>
    <t xml:space="preserve">   t = -433.5 / 36525 = -0.01186858316</t>
  </si>
  <si>
    <t>Mean longitude including aberration</t>
  </si>
  <si>
    <r>
      <t>he </t>
    </r>
    <r>
      <rPr>
        <b/>
        <sz val="10"/>
        <color rgb="FF000000"/>
        <rFont val="Verdana"/>
        <family val="2"/>
      </rPr>
      <t>sunrise</t>
    </r>
    <r>
      <rPr>
        <sz val="10"/>
        <color rgb="FF000000"/>
        <rFont val="Verdana"/>
        <family val="2"/>
      </rPr>
      <t> occurs when the upper limb of the Sun disc is visible at the horizon, towards east, at a location whose elevation is reduced to the sea level - while the </t>
    </r>
    <r>
      <rPr>
        <b/>
        <sz val="10"/>
        <color rgb="FF000000"/>
        <rFont val="Verdana"/>
        <family val="2"/>
      </rPr>
      <t>sunset</t>
    </r>
    <r>
      <rPr>
        <sz val="10"/>
        <color rgb="FF000000"/>
        <rFont val="Verdana"/>
        <family val="2"/>
      </rPr>
      <t> occurs in the same circumstances, but in the opposite direction, towards the western horizon.</t>
    </r>
  </si>
  <si>
    <t>Description</t>
  </si>
  <si>
    <t>There is not a direct way to compute the times of sunrise and sunset for any location, at a given date; this can be performed either by interpolation or - as in the case of Interactive Sunriset - by iteraction. This is due to one of the variables involved: time, that is the solution itself. The calculation is faster with the interpolation, expecially when requested for several days, while the iteraction should be more accurate. Anyway, an absolute accuracy cannot exist, as the apparent position of the Sun is affected by the local atmospheric refraction, whose effects cannot be predicted.</t>
  </si>
  <si>
    <t>The information required for the computation of the times of sunrise and sunset are:</t>
  </si>
  <si>
    <r>
      <t>date</t>
    </r>
    <r>
      <rPr>
        <sz val="10"/>
        <color rgb="FF000000"/>
        <rFont val="Verdana"/>
        <family val="2"/>
      </rPr>
      <t> (day, month and year) of the Gregorian calendar;</t>
    </r>
  </si>
  <si>
    <r>
      <t>geographic </t>
    </r>
    <r>
      <rPr>
        <b/>
        <sz val="10"/>
        <color rgb="FF000000"/>
        <rFont val="Verdana"/>
        <family val="2"/>
      </rPr>
      <t>longitude</t>
    </r>
    <r>
      <rPr>
        <sz val="10"/>
        <color rgb="FF000000"/>
        <rFont val="Verdana"/>
        <family val="2"/>
      </rPr>
      <t> (0 to 180 degrees) of the location: we are considering negative the places located at east from the Greenwich meridian.</t>
    </r>
  </si>
  <si>
    <r>
      <t>geographic </t>
    </r>
    <r>
      <rPr>
        <b/>
        <sz val="10"/>
        <color rgb="FF000000"/>
        <rFont val="Verdana"/>
        <family val="2"/>
      </rPr>
      <t>latitude</t>
    </r>
    <r>
      <rPr>
        <sz val="10"/>
        <color rgb="FF000000"/>
        <rFont val="Verdana"/>
        <family val="2"/>
      </rPr>
      <t> (0 to 90 degrees), negative in the southern hemisphere. The following algorithms are effective for latitudes up to 80 degrees.</t>
    </r>
  </si>
  <si>
    <r>
      <t>Next, you must know the orbital elements to find out the position of the Sun at the requested date. Like any celestial chart, which reports the date (“</t>
    </r>
    <r>
      <rPr>
        <b/>
        <sz val="10"/>
        <color rgb="FF000000"/>
        <rFont val="Verdana"/>
        <family val="2"/>
      </rPr>
      <t>epoch</t>
    </r>
    <r>
      <rPr>
        <sz val="10"/>
        <color rgb="FF000000"/>
        <rFont val="Verdana"/>
        <family val="2"/>
      </rPr>
      <t>”) of the mapped sky, the astronomical calculation refers to a particular moment. For example, “Interactive Sunriset” refers to the position of the Sun at epoch 2000.0. This is also called the </t>
    </r>
    <r>
      <rPr>
        <b/>
        <sz val="10"/>
        <color rgb="FF000000"/>
        <rFont val="Verdana"/>
        <family val="2"/>
      </rPr>
      <t>standard equinox 2000.0</t>
    </r>
    <r>
      <rPr>
        <sz val="10"/>
        <color rgb="FF000000"/>
        <rFont val="Verdana"/>
        <family val="2"/>
      </rPr>
      <t>, which refers to the position of the vernal equinox at 12 hours (noon) of the Greenwich meridian, on January 1, 2000. (The zero digit specified after the decimal point indicates the </t>
    </r>
    <r>
      <rPr>
        <i/>
        <sz val="10"/>
        <color rgb="FF000000"/>
        <rFont val="Verdana"/>
        <family val="2"/>
      </rPr>
      <t>beginning</t>
    </r>
    <r>
      <rPr>
        <sz val="10"/>
        <color rgb="FF000000"/>
        <rFont val="Verdana"/>
        <family val="2"/>
      </rPr>
      <t> of the year, therefore “epoch 2000.0” stands for the beginning of the year 2000). The orbital elements are relative to this date.</t>
    </r>
  </si>
  <si>
    <r>
      <t>The </t>
    </r>
    <r>
      <rPr>
        <b/>
        <sz val="10"/>
        <color rgb="FF000000"/>
        <rFont val="Verdana"/>
        <family val="2"/>
      </rPr>
      <t>equinox</t>
    </r>
    <r>
      <rPr>
        <sz val="10"/>
        <color rgb="FF000000"/>
        <rFont val="Verdana"/>
        <family val="2"/>
      </rPr>
      <t> is a straight line where the plane of the ecliptic (the orbit of the Earth around the Sun) meets the equatorial plane of the Earth. On March 21 the Sun is placed on this line, where the ecliptic arise towards the northern hemisphere (ascending node), while on September 23 the Sun is placed on the same line, but in the opposite direction. The equinox itself is moving slightly with a cycle of about 26,000 years and is perpendicular to the Earth's axis of rotation. This motion is named the “</t>
    </r>
    <r>
      <rPr>
        <b/>
        <sz val="10"/>
        <color rgb="FF000000"/>
        <rFont val="Verdana"/>
        <family val="2"/>
      </rPr>
      <t>precession</t>
    </r>
    <r>
      <rPr>
        <sz val="10"/>
        <color rgb="FF000000"/>
        <rFont val="Verdana"/>
        <family val="2"/>
      </rPr>
      <t> of the equinoxes”.</t>
    </r>
  </si>
  <si>
    <r>
      <t>The Universal Time (</t>
    </r>
    <r>
      <rPr>
        <b/>
        <sz val="10"/>
        <color rgb="FF000000"/>
        <rFont val="Verdana"/>
        <family val="2"/>
      </rPr>
      <t>UTC</t>
    </r>
    <r>
      <rPr>
        <sz val="10"/>
        <color rgb="FF000000"/>
        <rFont val="Verdana"/>
        <family val="2"/>
      </rPr>
      <t>) is the mean time at the Greenwich meridian. The calculation needs the value of different elements at the time of the referred equinox at epoch 2000.0, and the quantities involved to upgrade the same values to the requested time (e.g., today). The calculation referred to any epoch are valid for several centuries after and before the same epoch, it is determinant therefore to know the time lapsed from the equinox of the epoch of reference to the date you request.</t>
    </r>
  </si>
  <si>
    <t>You should refer to the time using the Julian Day (JD), a time system used for astronomical purposes. The Julian Day must not be confused with the Julian calendar. Time in JD is not divided in years, months and days of the month as in our civil life - but only Julian days and a fractional part, represents hours of the day, and they are referred to the Greenwich Mean Time, with the day beginning at noon instead of midnight. When you connect to the home page of my web site you can see the Julian day relative to the moment of your connection, following the date and UTC. Subtracting the JD of the epoch of reference from the JD of the requested date, (e.g., the JD for today), you obtain the number of days lapsed since the epoch of the equinox.</t>
  </si>
  <si>
    <t>Algorithms and formulas</t>
  </si>
  <si>
    <r>
      <t>T</t>
    </r>
    <r>
      <rPr>
        <sz val="10"/>
        <color rgb="FF000000"/>
        <rFont val="Arial"/>
        <family val="2"/>
      </rPr>
      <t>  Dynamic Time</t>
    </r>
  </si>
  <si>
    <r>
      <t>The time as shown by our clocks is determined by the astronomers, who report after their observations, measuring the Earth rotation on its axis. The time of rotation of the Earth </t>
    </r>
    <r>
      <rPr>
        <b/>
        <sz val="10"/>
        <color rgb="FF000000"/>
        <rFont val="Verdana"/>
        <family val="2"/>
      </rPr>
      <t>is not</t>
    </r>
    <r>
      <rPr>
        <sz val="10"/>
        <color rgb="FF000000"/>
        <rFont val="Verdana"/>
        <family val="2"/>
      </rPr>
      <t> regular, therefore it isn't a constant value. Only atomic clocks are able to report such irregularities, which can be quantified on about one second per year. This shift isn't predictable, and the value is available </t>
    </r>
    <r>
      <rPr>
        <b/>
        <sz val="10"/>
        <color rgb="FF000000"/>
        <rFont val="Verdana"/>
        <family val="2"/>
      </rPr>
      <t>after</t>
    </r>
    <r>
      <rPr>
        <sz val="10"/>
        <color rgb="FF000000"/>
        <rFont val="Verdana"/>
        <family val="2"/>
      </rPr>
      <t> the observation. In astronomical calculation you need to refer to a constant interval of time, called Dynamic Time, which must be adjusted to the Universal Time (UTC), which refers to the effective rotation of the Earth and affects the synchronization of our clocks. For the year 2001 the predicted value for the Dynamyc Time is about 65 seconds, which means that the constant Dynamic Time if 65 seconds in advance of the actual UTC.</t>
    </r>
  </si>
  <si>
    <t>T = DT - UTC = 65 seconds</t>
  </si>
  <si>
    <t>for the year 2001.</t>
  </si>
  <si>
    <r>
      <t>JD</t>
    </r>
    <r>
      <rPr>
        <vertAlign val="subscript"/>
        <sz val="10"/>
        <color rgb="FF0000FF"/>
        <rFont val="Arial"/>
        <family val="2"/>
      </rPr>
      <t>0</t>
    </r>
    <r>
      <rPr>
        <sz val="10"/>
        <color rgb="FF000000"/>
        <rFont val="Arial"/>
        <family val="2"/>
      </rPr>
      <t>   Julian Day at 0 hours (reference)</t>
    </r>
  </si>
  <si>
    <t>Find the Julian Day for the requested date (e.g. today) at 0 hours UTC (that is, the midnight at Greenwich). Store this value as you'll need it later, at the end of the iteration, and refer to this as the starting JD (or JD of reference). Get the Julian Day from any astronomical almanac. If you want to determine the JD writing the software yourself, here is the algorithm effective for the Gregorian Calendar. Supply the day (a fractional part for the hours may be included, but this isn't requested at this moment), the month (1 to 12) and the year (four digits).</t>
  </si>
  <si>
    <r>
      <t>If the month is lesser than </t>
    </r>
    <r>
      <rPr>
        <b/>
        <sz val="10"/>
        <color rgb="FF000000"/>
        <rFont val="Verdana"/>
        <family val="2"/>
      </rPr>
      <t>3</t>
    </r>
    <r>
      <rPr>
        <sz val="10"/>
        <color rgb="FF000000"/>
        <rFont val="Verdana"/>
        <family val="2"/>
      </rPr>
      <t>, add </t>
    </r>
    <r>
      <rPr>
        <b/>
        <sz val="10"/>
        <color rgb="FF000000"/>
        <rFont val="Verdana"/>
        <family val="2"/>
      </rPr>
      <t>12</t>
    </r>
    <r>
      <rPr>
        <sz val="10"/>
        <color rgb="FF000000"/>
        <rFont val="Verdana"/>
        <family val="2"/>
      </rPr>
      <t> to the number of the month and subtract </t>
    </r>
    <r>
      <rPr>
        <b/>
        <sz val="10"/>
        <color rgb="FF000000"/>
        <rFont val="Verdana"/>
        <family val="2"/>
      </rPr>
      <t>1</t>
    </r>
    <r>
      <rPr>
        <sz val="10"/>
        <color rgb="FF000000"/>
        <rFont val="Verdana"/>
        <family val="2"/>
      </rPr>
      <t> from the year.</t>
    </r>
  </si>
  <si>
    <t>n = int (year / 100)</t>
  </si>
  <si>
    <t>JD = int (365.25 year) + int (30.6001 (month + 1)) + day + 1720996.5 - n + int (n / 4)</t>
  </si>
  <si>
    <r>
      <t>“</t>
    </r>
    <r>
      <rPr>
        <b/>
        <sz val="10"/>
        <color rgb="FF000000"/>
        <rFont val="Verdana"/>
        <family val="2"/>
      </rPr>
      <t>int</t>
    </r>
    <r>
      <rPr>
        <sz val="10"/>
        <color rgb="FF000000"/>
        <rFont val="Verdana"/>
        <family val="2"/>
      </rPr>
      <t>” refers to the integer part of the expressions enclosed within parenthesis, rounding to the lower integer value.</t>
    </r>
  </si>
  <si>
    <t>One Julian century includes 36,525 Julian days. Compute Julian centuries lapsed from the epoch 2000.0 to the date of reference (for example, a value of 0.25 for the variable T refers to the beginning of the year 2025; T is negative before the year 2000).</t>
  </si>
  <si>
    <r>
      <t>Compute the square and cube of T necessary for the secular terms:</t>
    </r>
    <r>
      <rPr>
        <b/>
        <sz val="10"/>
        <color rgb="FF0000FF"/>
        <rFont val="Verdana"/>
        <family val="2"/>
      </rPr>
      <t> </t>
    </r>
    <r>
      <rPr>
        <b/>
        <sz val="10"/>
        <color rgb="FF0000FF"/>
        <rFont val="Courier New"/>
        <family val="3"/>
      </rPr>
      <t>T</t>
    </r>
    <r>
      <rPr>
        <b/>
        <vertAlign val="superscript"/>
        <sz val="10"/>
        <color rgb="FF0000FF"/>
        <rFont val="Courier New"/>
        <family val="3"/>
      </rPr>
      <t>2</t>
    </r>
    <r>
      <rPr>
        <sz val="10"/>
        <color rgb="FF000000"/>
        <rFont val="Verdana"/>
        <family val="2"/>
      </rPr>
      <t> and </t>
    </r>
    <r>
      <rPr>
        <b/>
        <sz val="10"/>
        <color rgb="FF0000FF"/>
        <rFont val="Courier New"/>
        <family val="3"/>
      </rPr>
      <t>T</t>
    </r>
    <r>
      <rPr>
        <b/>
        <vertAlign val="superscript"/>
        <sz val="10"/>
        <color rgb="FF0000FF"/>
        <rFont val="Courier New"/>
        <family val="3"/>
      </rPr>
      <t>3</t>
    </r>
    <r>
      <rPr>
        <sz val="10"/>
        <color rgb="FF000000"/>
        <rFont val="Verdana"/>
        <family val="2"/>
      </rPr>
      <t>.</t>
    </r>
  </si>
  <si>
    <t>Sidereal Time</t>
  </si>
  <si>
    <r>
      <t>The </t>
    </r>
    <r>
      <rPr>
        <b/>
        <sz val="10"/>
        <color rgb="FF000000"/>
        <rFont val="Verdana"/>
        <family val="2"/>
      </rPr>
      <t>sidereal time</t>
    </r>
    <r>
      <rPr>
        <sz val="10"/>
        <color rgb="FF000000"/>
        <rFont val="Verdana"/>
        <family val="2"/>
      </rPr>
      <t> is synchronized to the rotation of the Earth around its axis, and the duration of one sidereal day is about 23 hours and 56 minutes. During this time the Earth proceeds for almost one degree in its revolution around the Sun, and must spend four minutes further to see the Sun at the same position of the previous day. By the other hand, the mean time, used for our civil life, is synchronized to the transit of the Sun at the meridian line. One solar day may be defined as the time lapsed between two consecutive middays (about 24 hours).</t>
    </r>
  </si>
  <si>
    <r>
      <t>GST</t>
    </r>
    <r>
      <rPr>
        <vertAlign val="subscript"/>
        <sz val="10"/>
        <color rgb="FF0000FF"/>
        <rFont val="Arial"/>
        <family val="2"/>
      </rPr>
      <t>0</t>
    </r>
    <r>
      <rPr>
        <sz val="10"/>
        <color rgb="FF000000"/>
        <rFont val="Arial"/>
        <family val="2"/>
      </rPr>
      <t>   Sidereal time at Greenwich, at 0 hours UTC</t>
    </r>
  </si>
  <si>
    <r>
      <t>GST</t>
    </r>
    <r>
      <rPr>
        <b/>
        <vertAlign val="subscript"/>
        <sz val="10"/>
        <color rgb="FF0000FF"/>
        <rFont val="Courier New"/>
        <family val="3"/>
      </rPr>
      <t>0</t>
    </r>
    <r>
      <rPr>
        <b/>
        <sz val="10"/>
        <color rgb="FF0000FF"/>
        <rFont val="Courier New"/>
        <family val="3"/>
      </rPr>
      <t> = 6.6973745583 + 2400.0513369072 T + 0.000025862 T</t>
    </r>
    <r>
      <rPr>
        <b/>
        <vertAlign val="superscript"/>
        <sz val="10"/>
        <color rgb="FF0000FF"/>
        <rFont val="Courier New"/>
        <family val="3"/>
      </rPr>
      <t>2</t>
    </r>
    <r>
      <rPr>
        <b/>
        <sz val="10"/>
        <color rgb="FF0000FF"/>
        <rFont val="Courier New"/>
        <family val="3"/>
      </rPr>
      <t> - 0.00000000172 T</t>
    </r>
    <r>
      <rPr>
        <b/>
        <vertAlign val="superscript"/>
        <sz val="10"/>
        <color rgb="FF0000FF"/>
        <rFont val="Courier New"/>
        <family val="3"/>
      </rPr>
      <t>3</t>
    </r>
  </si>
  <si>
    <t>Having the value for JD of reference found earlier, the expected value of JD for the sunrise may be adjusted as follows:</t>
  </si>
  <si>
    <r>
      <t>JD</t>
    </r>
    <r>
      <rPr>
        <b/>
        <vertAlign val="subscript"/>
        <sz val="10"/>
        <color rgb="FF0000FF"/>
        <rFont val="Courier New"/>
        <family val="3"/>
      </rPr>
      <t>e</t>
    </r>
    <r>
      <rPr>
        <b/>
        <sz val="10"/>
        <color rgb="FF0000FF"/>
        <rFont val="Courier New"/>
        <family val="3"/>
      </rPr>
      <t> = JD</t>
    </r>
    <r>
      <rPr>
        <b/>
        <vertAlign val="subscript"/>
        <sz val="10"/>
        <color rgb="FF0000FF"/>
        <rFont val="Courier New"/>
        <family val="3"/>
      </rPr>
      <t>0</t>
    </r>
    <r>
      <rPr>
        <b/>
        <sz val="10"/>
        <color rgb="FF0000FF"/>
        <rFont val="Courier New"/>
        <family val="3"/>
      </rPr>
      <t> + 0.25 +</t>
    </r>
  </si>
  <si>
    <t>360°</t>
  </si>
  <si>
    <t>while for the sunset may be adjusted as follows:</t>
  </si>
  <si>
    <r>
      <t>JD</t>
    </r>
    <r>
      <rPr>
        <b/>
        <vertAlign val="subscript"/>
        <sz val="10"/>
        <color rgb="FF0000FF"/>
        <rFont val="Courier New"/>
        <family val="3"/>
      </rPr>
      <t>e</t>
    </r>
    <r>
      <rPr>
        <b/>
        <sz val="10"/>
        <color rgb="FF0000FF"/>
        <rFont val="Courier New"/>
        <family val="3"/>
      </rPr>
      <t> = JD</t>
    </r>
    <r>
      <rPr>
        <b/>
        <vertAlign val="subscript"/>
        <sz val="10"/>
        <color rgb="FF0000FF"/>
        <rFont val="Courier New"/>
        <family val="3"/>
      </rPr>
      <t>0</t>
    </r>
    <r>
      <rPr>
        <b/>
        <sz val="10"/>
        <color rgb="FF0000FF"/>
        <rFont val="Courier New"/>
        <family val="3"/>
      </rPr>
      <t> + 0.75 +</t>
    </r>
  </si>
  <si>
    <t>These dummy values are not effective for the true time of sunrise and sunset, but we first need them as the expected value for the necessary interation. Referring to one of these values (the expected JD for the sunrise or the sunset), the iteraction begins here.</t>
  </si>
  <si>
    <r>
      <t> </t>
    </r>
    <r>
      <rPr>
        <sz val="10"/>
        <color rgb="FF000000"/>
        <rFont val="Arial"/>
        <family val="2"/>
      </rPr>
      <t>Iteraction</t>
    </r>
  </si>
  <si>
    <t>First you must know the Julian centuries lapsed from the standard equinox to the expected (dummy) JD, including a fractional part for the hours and minutes.</t>
  </si>
  <si>
    <t>Compute a new value for T (Julian centuries) adapted for the expected time lapsed from the epoch 2000.0:</t>
  </si>
  <si>
    <r>
      <t>JD</t>
    </r>
    <r>
      <rPr>
        <b/>
        <vertAlign val="subscript"/>
        <sz val="10"/>
        <color rgb="FF0000FF"/>
        <rFont val="Courier New"/>
        <family val="3"/>
      </rPr>
      <t>e</t>
    </r>
    <r>
      <rPr>
        <b/>
        <sz val="10"/>
        <color rgb="FF0000FF"/>
        <rFont val="Courier New"/>
        <family val="3"/>
      </rPr>
      <t> + DTime - 2451545</t>
    </r>
  </si>
  <si>
    <r>
      <t>You need also the new values for T</t>
    </r>
    <r>
      <rPr>
        <vertAlign val="superscript"/>
        <sz val="10"/>
        <color rgb="FF000000"/>
        <rFont val="Verdana"/>
        <family val="2"/>
      </rPr>
      <t>2</t>
    </r>
    <r>
      <rPr>
        <sz val="10"/>
        <color rgb="FF000000"/>
        <rFont val="Verdana"/>
        <family val="2"/>
      </rPr>
      <t> and T</t>
    </r>
    <r>
      <rPr>
        <vertAlign val="superscript"/>
        <sz val="10"/>
        <color rgb="FF000000"/>
        <rFont val="Verdana"/>
        <family val="2"/>
      </rPr>
      <t>3</t>
    </r>
    <r>
      <rPr>
        <sz val="10"/>
        <color rgb="FF000000"/>
        <rFont val="Verdana"/>
        <family val="2"/>
      </rPr>
      <t>, in the same way we did for the JD of reference.</t>
    </r>
  </si>
  <si>
    <t>Next, find out the position of the Sun as follows:</t>
  </si>
  <si>
    <r>
      <t>L</t>
    </r>
    <r>
      <rPr>
        <vertAlign val="subscript"/>
        <sz val="10"/>
        <color rgb="FF0000FF"/>
        <rFont val="Arial"/>
        <family val="2"/>
      </rPr>
      <t>0</t>
    </r>
    <r>
      <rPr>
        <sz val="10"/>
        <color rgb="FF000000"/>
        <rFont val="Arial"/>
        <family val="2"/>
      </rPr>
      <t>   Geometric mean longitude of the Sun</t>
    </r>
  </si>
  <si>
    <r>
      <t>referred to the ecliptic, measured from the vernal equinox</t>
    </r>
    <r>
      <rPr>
        <sz val="13.5"/>
        <color rgb="FF000000"/>
        <rFont val="Times New Roman"/>
        <family val="1"/>
      </rPr>
      <t>.</t>
    </r>
  </si>
  <si>
    <r>
      <t>L</t>
    </r>
    <r>
      <rPr>
        <b/>
        <vertAlign val="subscript"/>
        <sz val="10"/>
        <color rgb="FF0000FF"/>
        <rFont val="Courier New"/>
        <family val="3"/>
      </rPr>
      <t>0</t>
    </r>
    <r>
      <rPr>
        <b/>
        <sz val="10"/>
        <color rgb="FF0000FF"/>
        <rFont val="Courier New"/>
        <family val="3"/>
      </rPr>
      <t> = 280.46646 + 36000.76983 T + 0.0003032 T</t>
    </r>
    <r>
      <rPr>
        <b/>
        <vertAlign val="superscript"/>
        <sz val="10"/>
        <color rgb="FF0000FF"/>
        <rFont val="Courier New"/>
        <family val="3"/>
      </rPr>
      <t>2</t>
    </r>
  </si>
  <si>
    <r>
      <t>M</t>
    </r>
    <r>
      <rPr>
        <sz val="10"/>
        <color rgb="FF000000"/>
        <rFont val="Arial"/>
        <family val="2"/>
      </rPr>
      <t>   Mean anomaly</t>
    </r>
  </si>
  <si>
    <t>The anomaly is the angular difference between a mean circular orbit and the true elliptic orbit.</t>
  </si>
  <si>
    <r>
      <t>M = 357.52911 + 35999.05029 T - 0.0001537 T</t>
    </r>
    <r>
      <rPr>
        <b/>
        <vertAlign val="superscript"/>
        <sz val="10"/>
        <color rgb="FF0000FF"/>
        <rFont val="Courier New"/>
        <family val="3"/>
      </rPr>
      <t>2</t>
    </r>
  </si>
  <si>
    <r>
      <t>C</t>
    </r>
    <r>
      <rPr>
        <sz val="10"/>
        <color rgb="FF000000"/>
        <rFont val="Arial"/>
        <family val="2"/>
      </rPr>
      <t>   Equation of the center</t>
    </r>
  </si>
  <si>
    <r>
      <t>C = (1.914602 - 0.004817 T - .000014 T</t>
    </r>
    <r>
      <rPr>
        <b/>
        <vertAlign val="superscript"/>
        <sz val="10"/>
        <color rgb="FF0000FF"/>
        <rFont val="Courier New"/>
        <family val="3"/>
      </rPr>
      <t>2</t>
    </r>
    <r>
      <rPr>
        <b/>
        <sz val="10"/>
        <color rgb="FF0000FF"/>
        <rFont val="Courier New"/>
        <family val="3"/>
      </rPr>
      <t>) sin M + (0.019993 - 0.000101 T) sin (2 M) + 0.000289 sin (3 M)</t>
    </r>
  </si>
  <si>
    <t>   True longitude of the Sun</t>
  </si>
  <si>
    <r>
      <t> = L</t>
    </r>
    <r>
      <rPr>
        <b/>
        <vertAlign val="subscript"/>
        <sz val="10"/>
        <color rgb="FF0000FF"/>
        <rFont val="Courier New"/>
        <family val="3"/>
      </rPr>
      <t>0</t>
    </r>
    <r>
      <rPr>
        <b/>
        <sz val="10"/>
        <color rgb="FF0000FF"/>
        <rFont val="Courier New"/>
        <family val="3"/>
      </rPr>
      <t> + C</t>
    </r>
  </si>
  <si>
    <r>
      <t>v</t>
    </r>
    <r>
      <rPr>
        <sz val="10"/>
        <color rgb="FF000000"/>
        <rFont val="Arial"/>
        <family val="2"/>
      </rPr>
      <t>   True anomaly</t>
    </r>
  </si>
  <si>
    <t>v = M + C</t>
  </si>
  <si>
    <r>
      <t>e</t>
    </r>
    <r>
      <rPr>
        <sz val="10"/>
        <color rgb="FF000000"/>
        <rFont val="Arial"/>
        <family val="2"/>
      </rPr>
      <t>   Eccentricity of the orbit of the Earth around the Sun</t>
    </r>
  </si>
  <si>
    <r>
      <t>The </t>
    </r>
    <r>
      <rPr>
        <b/>
        <sz val="10"/>
        <color rgb="FF000000"/>
        <rFont val="Verdana"/>
        <family val="2"/>
      </rPr>
      <t>eccentricity</t>
    </r>
    <r>
      <rPr>
        <sz val="10"/>
        <color rgb="FF000000"/>
        <rFont val="Verdana"/>
        <family val="2"/>
      </rPr>
      <t> is the ratio between the semi-major axis and the difference between the semi-major and semi-minor axis of the elliptic orbit of the Earth around the Sun.</t>
    </r>
  </si>
  <si>
    <r>
      <t>e = 0.016708634 - 0.000042037 T - 0.0000001267 T</t>
    </r>
    <r>
      <rPr>
        <b/>
        <vertAlign val="superscript"/>
        <sz val="10"/>
        <color rgb="FF0000FF"/>
        <rFont val="Courier New"/>
        <family val="3"/>
      </rPr>
      <t>2</t>
    </r>
  </si>
  <si>
    <r>
      <t>R</t>
    </r>
    <r>
      <rPr>
        <sz val="10"/>
        <color rgb="FF000000"/>
        <rFont val="Arial"/>
        <family val="2"/>
      </rPr>
      <t>   Radius vector</t>
    </r>
  </si>
  <si>
    <t>The distance from a planet (here is the Earth) to the Sun, expressed in AU. AU (Astronomical Unit) is the mean distance of the Earth from the Sun, about 150 millions Kms.</t>
  </si>
  <si>
    <r>
      <t>1.000001018 (1 - e </t>
    </r>
    <r>
      <rPr>
        <b/>
        <vertAlign val="superscript"/>
        <sz val="10"/>
        <color rgb="FF0000FF"/>
        <rFont val="Times New Roman"/>
        <family val="1"/>
      </rPr>
      <t>2</t>
    </r>
    <r>
      <rPr>
        <b/>
        <sz val="10"/>
        <color rgb="FF0000FF"/>
        <rFont val="Times New Roman"/>
        <family val="1"/>
      </rPr>
      <t>)</t>
    </r>
  </si>
  <si>
    <t>R =</t>
  </si>
  <si>
    <t>1 + e cos v</t>
  </si>
  <si>
    <r>
      <t>SD</t>
    </r>
    <r>
      <rPr>
        <sz val="10"/>
        <color rgb="FF000000"/>
        <rFont val="Arial"/>
        <family val="2"/>
      </rPr>
      <t>  Angular semidiameter of the Sun's disc</t>
    </r>
  </si>
  <si>
    <t>You must know this value because the coordinates refer to the center of the Sun, but the sunrise or the sunset occurs when the edge of the Sun lies at the horizon. </t>
  </si>
  <si>
    <t>SD =</t>
  </si>
  <si>
    <t>   Longitude of the Moon's ascending node</t>
  </si>
  <si>
    <r>
      <t> = 125.04452 - 1934.136261 T + 0.0020708 T</t>
    </r>
    <r>
      <rPr>
        <b/>
        <vertAlign val="superscript"/>
        <sz val="10"/>
        <color rgb="FF0000FF"/>
        <rFont val="Courier New"/>
        <family val="3"/>
      </rPr>
      <t>2</t>
    </r>
    <r>
      <rPr>
        <b/>
        <sz val="10"/>
        <color rgb="FF0000FF"/>
        <rFont val="Courier New"/>
        <family val="3"/>
      </rPr>
      <t> + T</t>
    </r>
    <r>
      <rPr>
        <b/>
        <vertAlign val="superscript"/>
        <sz val="10"/>
        <color rgb="FF0000FF"/>
        <rFont val="Courier New"/>
        <family val="3"/>
      </rPr>
      <t>3</t>
    </r>
    <r>
      <rPr>
        <b/>
        <sz val="10"/>
        <color rgb="FF0000FF"/>
        <rFont val="Courier New"/>
        <family val="3"/>
      </rPr>
      <t> / 450000</t>
    </r>
  </si>
  <si>
    <t>   Apparent longitude of the Sun (ecliptic)</t>
  </si>
  <si>
    <t>The ecliptic longitude of the Sun is corrected for the nutation and the aberration. The nutation is the deviation of the Earth's axis of rotation, referred to the precession of the equinox.</t>
  </si>
  <si>
    <t> = </t>
  </si>
  <si>
    <t> - .00569 - .00478 sin </t>
  </si>
  <si>
    <t>   Obliquity of the ecliptic</t>
  </si>
  <si>
    <t>relative to the Earth's equator.</t>
  </si>
  <si>
    <r>
      <t> = 23.4392911 - 0.01300416667 T - 0.00000016389 T</t>
    </r>
    <r>
      <rPr>
        <b/>
        <vertAlign val="superscript"/>
        <sz val="10"/>
        <color rgb="FF0000FF"/>
        <rFont val="Courier New"/>
        <family val="3"/>
      </rPr>
      <t>2</t>
    </r>
    <r>
      <rPr>
        <b/>
        <sz val="10"/>
        <color rgb="FF0000FF"/>
        <rFont val="Courier New"/>
        <family val="3"/>
      </rPr>
      <t> + 0.00000050361 T</t>
    </r>
    <r>
      <rPr>
        <b/>
        <vertAlign val="superscript"/>
        <sz val="10"/>
        <color rgb="FF0000FF"/>
        <rFont val="Courier New"/>
        <family val="3"/>
      </rPr>
      <t>3</t>
    </r>
    <r>
      <rPr>
        <b/>
        <sz val="10"/>
        <color rgb="FF0000FF"/>
        <rFont val="Courier New"/>
        <family val="3"/>
      </rPr>
      <t> + 0.00255625 cos </t>
    </r>
  </si>
  <si>
    <t>Conversion from ecliptic to equatorial coordinates system</t>
  </si>
  <si>
    <t>The ecliplic coordinate system used so far refers to the ecliptic plane, and must converted to the equatorial coordinates system; this is a projection of the Earth coordinates to the celestial sphere, and is synchronized with the rotation of the Earth.</t>
  </si>
  <si>
    <r>
      <t>The </t>
    </r>
    <r>
      <rPr>
        <b/>
        <sz val="10"/>
        <color rgb="FF000000"/>
        <rFont val="Verdana"/>
        <family val="2"/>
      </rPr>
      <t>declination</t>
    </r>
    <r>
      <rPr>
        <sz val="10"/>
        <color rgb="FF000000"/>
        <rFont val="Verdana"/>
        <family val="2"/>
      </rPr>
      <t> may be considered as the latitude (the angular distance of a celestial body from the celestial equator), while the </t>
    </r>
    <r>
      <rPr>
        <b/>
        <sz val="10"/>
        <color rgb="FF000000"/>
        <rFont val="Verdana"/>
        <family val="2"/>
      </rPr>
      <t>right ascension</t>
    </r>
    <r>
      <rPr>
        <sz val="10"/>
        <color rgb="FF000000"/>
        <rFont val="Verdana"/>
        <family val="2"/>
      </rPr>
      <t> is the longitude (the angular distance from the vernal equinox, expressed either in hours or degrees).</t>
    </r>
  </si>
  <si>
    <t>   Declination of the Sun</t>
  </si>
  <si>
    <t>sin </t>
  </si>
  <si>
    <t> = sin </t>
  </si>
  <si>
    <t> sin </t>
  </si>
  <si>
    <t>   Right ascension of the Sun (in degrees)</t>
  </si>
  <si>
    <t>y = cos </t>
  </si>
  <si>
    <t>x = cos </t>
  </si>
  <si>
    <t>tan </t>
  </si>
  <si>
    <t> = y / x</t>
  </si>
  <si>
    <t>The value obtained here lies in the range from -90 to +90 degrees, but you need a value included in the range from 0 to 360 degrees. Adjust the result for the correct quadrant as follows:</t>
  </si>
  <si>
    <r>
      <t>if </t>
    </r>
    <r>
      <rPr>
        <b/>
        <sz val="10"/>
        <color rgb="FF000000"/>
        <rFont val="Verdana"/>
        <family val="2"/>
      </rPr>
      <t>x</t>
    </r>
    <r>
      <rPr>
        <sz val="10"/>
        <color rgb="FF000000"/>
        <rFont val="Verdana"/>
        <family val="2"/>
      </rPr>
      <t> is negative add </t>
    </r>
    <r>
      <rPr>
        <b/>
        <sz val="10"/>
        <color rgb="FF000000"/>
        <rFont val="Verdana"/>
        <family val="2"/>
      </rPr>
      <t>180°</t>
    </r>
    <r>
      <rPr>
        <sz val="10"/>
        <color rgb="FF000000"/>
        <rFont val="Verdana"/>
        <family val="2"/>
      </rPr>
      <t> to the right ascension (second and third quadrant) otherwise if </t>
    </r>
    <r>
      <rPr>
        <b/>
        <sz val="10"/>
        <color rgb="FF000000"/>
        <rFont val="Verdana"/>
        <family val="2"/>
      </rPr>
      <t>y</t>
    </r>
    <r>
      <rPr>
        <sz val="10"/>
        <color rgb="FF000000"/>
        <rFont val="Verdana"/>
        <family val="2"/>
      </rPr>
      <t> is negative add </t>
    </r>
    <r>
      <rPr>
        <b/>
        <sz val="10"/>
        <color rgb="FF000000"/>
        <rFont val="Verdana"/>
        <family val="2"/>
      </rPr>
      <t>360°</t>
    </r>
    <r>
      <rPr>
        <sz val="10"/>
        <color rgb="FF000000"/>
        <rFont val="Verdana"/>
        <family val="2"/>
      </rPr>
      <t> (fourth quadrant).</t>
    </r>
  </si>
  <si>
    <r>
      <t>H</t>
    </r>
    <r>
      <rPr>
        <sz val="10"/>
        <color rgb="FF000000"/>
        <rFont val="Arial"/>
        <family val="2"/>
      </rPr>
      <t>   Hour angle</t>
    </r>
  </si>
  <si>
    <t>The angular distance in longitude from a celestial body to the local meridian line. May be expressed in degrees (0° to 360°) or hours (0 to 24 hours). Here we are considering in degrees.</t>
  </si>
  <si>
    <t>The meridian is the line crossing the celestial sphere above an observer's location, from the North celestial pole and passing through the zenith (the highest point in the sky) and falling to the South point of the horizon, in the northern hemisphere; from the South celestial pole, passing through the zenith and falling to the North point of the horizon, in the southern hemisphere.</t>
  </si>
  <si>
    <t>y = -sin (0°34' + SD) - sin </t>
  </si>
  <si>
    <t> cos </t>
  </si>
  <si>
    <r>
      <t>O°34'</t>
    </r>
    <r>
      <rPr>
        <sz val="10"/>
        <color rgb="FF000000"/>
        <rFont val="Verdana"/>
        <family val="2"/>
      </rPr>
      <t> is the mean value for the atmospheric refraction, a phenomenon which shifts the apparent position of celestial bodies, towards the zenith point. This effect is increased at the horizon. The quantity of refraction may change depending on the actual air pressure and temperature. An average amount of 0°34' is usually adopted (some people consider a value of 0°36'). Due to the effects of the refraction, the time of sunrise and sunset cannot be foreseen with absolute accuracy.</t>
    </r>
  </si>
  <si>
    <t>If you wish, you can add to 0°34' the result of the following formula:</t>
  </si>
  <si>
    <t>0.03 </t>
  </si>
  <si>
    <t>where h is the elevation in meters from the level of the sea, but usually the times of sunrise and sunset are reduced for sea level.</t>
  </si>
  <si>
    <t>In the following circumstances the Sun doesn't rise or set:</t>
  </si>
  <si>
    <r>
      <t>If </t>
    </r>
    <r>
      <rPr>
        <b/>
        <sz val="10"/>
        <color rgb="FF0000FF"/>
        <rFont val="Courier New"/>
        <family val="3"/>
      </rPr>
      <t>y / x </t>
    </r>
  </si>
  <si>
    <r>
      <t> -1</t>
    </r>
    <r>
      <rPr>
        <sz val="10"/>
        <color rgb="FF000000"/>
        <rFont val="Verdana"/>
        <family val="2"/>
      </rPr>
      <t> the Sun is </t>
    </r>
    <r>
      <rPr>
        <b/>
        <sz val="10"/>
        <color rgb="FF000000"/>
        <rFont val="Verdana"/>
        <family val="2"/>
      </rPr>
      <t>above</t>
    </r>
    <r>
      <rPr>
        <sz val="10"/>
        <color rgb="FF000000"/>
        <rFont val="Verdana"/>
        <family val="2"/>
      </rPr>
      <t> the horizon (midnight's Sun).</t>
    </r>
  </si>
  <si>
    <r>
      <t> +1</t>
    </r>
    <r>
      <rPr>
        <sz val="10"/>
        <color rgb="FF000000"/>
        <rFont val="Verdana"/>
        <family val="2"/>
      </rPr>
      <t> the Sun is </t>
    </r>
    <r>
      <rPr>
        <b/>
        <sz val="10"/>
        <color rgb="FF000000"/>
        <rFont val="Verdana"/>
        <family val="2"/>
      </rPr>
      <t>below</t>
    </r>
    <r>
      <rPr>
        <sz val="10"/>
        <color rgb="FF000000"/>
        <rFont val="Verdana"/>
        <family val="2"/>
      </rPr>
      <t> the horizon.</t>
    </r>
  </si>
  <si>
    <t>Otherwise,</t>
  </si>
  <si>
    <r>
      <t>For </t>
    </r>
    <r>
      <rPr>
        <b/>
        <sz val="10"/>
        <color rgb="FF000000"/>
        <rFont val="Verdana"/>
        <family val="2"/>
      </rPr>
      <t>sunset</t>
    </r>
    <r>
      <rPr>
        <sz val="10"/>
        <color rgb="FF000000"/>
        <rFont val="Verdana"/>
        <family val="2"/>
      </rPr>
      <t>:</t>
    </r>
  </si>
  <si>
    <t>cos H = y / x</t>
  </si>
  <si>
    <r>
      <t>For </t>
    </r>
    <r>
      <rPr>
        <b/>
        <sz val="10"/>
        <color rgb="FF000000"/>
        <rFont val="Verdana"/>
        <family val="2"/>
      </rPr>
      <t>sunrise</t>
    </r>
    <r>
      <rPr>
        <sz val="10"/>
        <color rgb="FF000000"/>
        <rFont val="Verdana"/>
        <family val="2"/>
      </rPr>
      <t>:</t>
    </r>
  </si>
  <si>
    <t>cos H = -(y / x)</t>
  </si>
  <si>
    <r>
      <t>GST</t>
    </r>
    <r>
      <rPr>
        <sz val="10"/>
        <color rgb="FF000000"/>
        <rFont val="Arial"/>
        <family val="2"/>
      </rPr>
      <t>   Sidereal Time at Greenwich</t>
    </r>
  </si>
  <si>
    <t>at the time of the local sunrise or sunset.</t>
  </si>
  <si>
    <t>H + L + </t>
  </si>
  <si>
    <t>GST =</t>
  </si>
  <si>
    <r>
      <t>UTC</t>
    </r>
    <r>
      <rPr>
        <sz val="10"/>
        <color rgb="FF000000"/>
        <rFont val="Arial"/>
        <family val="2"/>
      </rPr>
      <t>   Universal time at Greenwich</t>
    </r>
  </si>
  <si>
    <r>
      <t>UTC = 0.997269566329875 (GST - GST</t>
    </r>
    <r>
      <rPr>
        <b/>
        <vertAlign val="subscript"/>
        <sz val="10"/>
        <color rgb="FF0000FF"/>
        <rFont val="Courier New"/>
        <family val="3"/>
      </rPr>
      <t>0</t>
    </r>
    <r>
      <rPr>
        <b/>
        <sz val="10"/>
        <color rgb="FF0000FF"/>
        <rFont val="Courier New"/>
        <family val="3"/>
      </rPr>
      <t>)</t>
    </r>
  </si>
  <si>
    <t>Adjust the Julian Day to the local mean time:</t>
  </si>
  <si>
    <r>
      <t>JD = JD</t>
    </r>
    <r>
      <rPr>
        <b/>
        <vertAlign val="subscript"/>
        <sz val="10"/>
        <color rgb="FF0000FF"/>
        <rFont val="Courier New"/>
        <family val="3"/>
      </rPr>
      <t>0</t>
    </r>
    <r>
      <rPr>
        <b/>
        <sz val="10"/>
        <color rgb="FF0000FF"/>
        <rFont val="Courier New"/>
        <family val="3"/>
      </rPr>
      <t> +</t>
    </r>
  </si>
  <si>
    <t>+</t>
  </si>
  <si>
    <t>This value must be compared to the expected (dummy) value:</t>
  </si>
  <si>
    <r>
      <t>JD - JD</t>
    </r>
    <r>
      <rPr>
        <b/>
        <vertAlign val="subscript"/>
        <sz val="10"/>
        <color rgb="FF0000FF"/>
        <rFont val="Courier New"/>
        <family val="3"/>
      </rPr>
      <t>e</t>
    </r>
  </si>
  <si>
    <r>
      <t>If the absolute result is higher than the requested accuracy, assume that the UTC found so far as the dummy time (JD</t>
    </r>
    <r>
      <rPr>
        <vertAlign val="subscript"/>
        <sz val="10"/>
        <color rgb="FF000000"/>
        <rFont val="Verdana"/>
        <family val="2"/>
      </rPr>
      <t>e</t>
    </r>
    <r>
      <rPr>
        <sz val="10"/>
        <color rgb="FF000000"/>
        <rFont val="Verdana"/>
        <family val="2"/>
      </rPr>
      <t>) for a new iteration; otherwise the UTC is the time of sunrise or sunset, you have got the solution and the loop ends here.</t>
    </r>
  </si>
  <si>
    <t>A value of 0.0001 Julian Days returns a level of accuracy better than nine seconds - but sometimes lesser than the effects of the local atmospheric refraction.</t>
  </si>
  <si>
    <r>
      <t> </t>
    </r>
    <r>
      <rPr>
        <sz val="10"/>
        <color rgb="FF0000FF"/>
        <rFont val="Verdana"/>
        <family val="2"/>
      </rPr>
      <t>Top of page</t>
    </r>
  </si>
  <si>
    <t>End of the iteraction</t>
  </si>
  <si>
    <r>
      <t>Just convert UTC to local time, adding </t>
    </r>
    <r>
      <rPr>
        <b/>
        <sz val="10"/>
        <color rgb="FF000000"/>
        <rFont val="Verdana"/>
        <family val="2"/>
      </rPr>
      <t>DST</t>
    </r>
    <r>
      <rPr>
        <sz val="10"/>
        <color rgb="FF000000"/>
        <rFont val="Verdana"/>
        <family val="2"/>
      </rPr>
      <t> where applicable. The DST (Daylight Saving Time) is the time applied in most countries during the summer, when the clocks are shifted one hour forward.</t>
    </r>
  </si>
  <si>
    <r>
      <t>A</t>
    </r>
    <r>
      <rPr>
        <sz val="10"/>
        <color rgb="FF000000"/>
        <rFont val="Arial"/>
        <family val="2"/>
      </rPr>
      <t>   Azimuth</t>
    </r>
  </si>
  <si>
    <t>The angular position of an object or a celestial body, projected to the horizon line, measured clockwise from the north, as follows:</t>
  </si>
  <si>
    <t>North = 0°</t>
  </si>
  <si>
    <t>East = 90°</t>
  </si>
  <si>
    <t>South = 180°</t>
  </si>
  <si>
    <t>West = 270°</t>
  </si>
  <si>
    <t>Here the azimuth is the direction of the Sun at the horizon, at the moment of the sunrise or sunset.</t>
  </si>
  <si>
    <t>sin |H|</t>
  </si>
  <si>
    <t>tan A =</t>
  </si>
  <si>
    <t>cos |H| sin L - tan </t>
  </si>
  <si>
    <t> cos L</t>
  </si>
  <si>
    <r>
      <t>|H|</t>
    </r>
    <r>
      <rPr>
        <sz val="10"/>
        <color rgb="FF000000"/>
        <rFont val="Verdana"/>
        <family val="2"/>
      </rPr>
      <t> is the absolute value of </t>
    </r>
    <r>
      <rPr>
        <b/>
        <sz val="10"/>
        <color rgb="FF0000FF"/>
        <rFont val="Verdana"/>
        <family val="2"/>
      </rPr>
      <t>H</t>
    </r>
    <r>
      <rPr>
        <sz val="10"/>
        <color rgb="FF000000"/>
        <rFont val="Verdana"/>
        <family val="2"/>
      </rPr>
      <t> (hour angle).</t>
    </r>
  </si>
  <si>
    <r>
      <t>If azimuth is positive, subtract azimuth from </t>
    </r>
    <r>
      <rPr>
        <b/>
        <sz val="10"/>
        <color rgb="FF000000"/>
        <rFont val="Verdana"/>
        <family val="2"/>
      </rPr>
      <t>180°</t>
    </r>
    <r>
      <rPr>
        <sz val="10"/>
        <color rgb="FF000000"/>
        <rFont val="Verdana"/>
        <family val="2"/>
      </rPr>
      <t>, otherwise consider the absolute value of the azimuth (that is, change sign).</t>
    </r>
  </si>
  <si>
    <r>
      <t>At last, for the sunset, subtract azimuth from </t>
    </r>
    <r>
      <rPr>
        <b/>
        <sz val="10"/>
        <color rgb="FF000000"/>
        <rFont val="Verdana"/>
        <family val="2"/>
      </rPr>
      <t>360°</t>
    </r>
    <r>
      <rPr>
        <sz val="10"/>
        <color rgb="FF000000"/>
        <rFont val="Verdana"/>
        <family val="2"/>
      </rPr>
      <t>.</t>
    </r>
  </si>
  <si>
    <t>y</t>
  </si>
  <si>
    <t>m</t>
  </si>
  <si>
    <t>d</t>
  </si>
  <si>
    <t>T=</t>
  </si>
  <si>
    <t>JD=</t>
  </si>
  <si>
    <t>n=</t>
  </si>
  <si>
    <r>
      <t>T</t>
    </r>
    <r>
      <rPr>
        <vertAlign val="superscript"/>
        <sz val="11"/>
        <color theme="1"/>
        <rFont val="Calibri"/>
        <family val="2"/>
        <scheme val="minor"/>
      </rPr>
      <t>2</t>
    </r>
    <r>
      <rPr>
        <sz val="11"/>
        <color theme="1"/>
        <rFont val="Calibri"/>
        <family val="2"/>
        <scheme val="minor"/>
      </rPr>
      <t>=</t>
    </r>
  </si>
  <si>
    <r>
      <t>T</t>
    </r>
    <r>
      <rPr>
        <vertAlign val="superscript"/>
        <sz val="11"/>
        <color theme="1"/>
        <rFont val="Calibri"/>
        <family val="2"/>
        <scheme val="minor"/>
      </rPr>
      <t>3</t>
    </r>
    <r>
      <rPr>
        <sz val="11"/>
        <color theme="1"/>
        <rFont val="Calibri"/>
        <family val="2"/>
        <scheme val="minor"/>
      </rPr>
      <t>=</t>
    </r>
  </si>
  <si>
    <t>GST0 =</t>
  </si>
  <si>
    <r>
      <t>JD</t>
    </r>
    <r>
      <rPr>
        <b/>
        <vertAlign val="subscript"/>
        <sz val="10"/>
        <color rgb="FF0000FF"/>
        <rFont val="Courier New"/>
        <family val="3"/>
      </rPr>
      <t>e</t>
    </r>
    <r>
      <rPr>
        <b/>
        <sz val="10"/>
        <color rgb="FF0000FF"/>
        <rFont val="Courier New"/>
        <family val="3"/>
      </rPr>
      <t> = JD</t>
    </r>
    <r>
      <rPr>
        <b/>
        <vertAlign val="subscript"/>
        <sz val="10"/>
        <color rgb="FF0000FF"/>
        <rFont val="Courier New"/>
        <family val="3"/>
      </rPr>
      <t>0</t>
    </r>
    <r>
      <rPr>
        <b/>
        <sz val="10"/>
        <color rgb="FF0000FF"/>
        <rFont val="Courier New"/>
        <family val="3"/>
      </rPr>
      <t> + 0.25 +L/360</t>
    </r>
  </si>
  <si>
    <t>Jde=</t>
  </si>
  <si>
    <t>rise</t>
  </si>
  <si>
    <t>set</t>
  </si>
  <si>
    <t>Lo=</t>
  </si>
  <si>
    <t>M =357.52911+35999.05029*T1-0.0001537T2</t>
  </si>
  <si>
    <t>TL=</t>
  </si>
  <si>
    <t>V=</t>
  </si>
  <si>
    <t>SD=</t>
  </si>
  <si>
    <t>       Longitude of the Moon's ascending node</t>
  </si>
  <si>
    <t>         Apparent longitude of the Sun (ecliptic)</t>
  </si>
  <si>
    <t>SIN</t>
  </si>
  <si>
    <t>X=</t>
  </si>
  <si>
    <t>Y=</t>
  </si>
  <si>
    <t xml:space="preserve">tan </t>
  </si>
  <si>
    <t>x = cos      sin</t>
  </si>
  <si>
    <t>cosH=(Y/X)</t>
  </si>
  <si>
    <t>SET</t>
  </si>
  <si>
    <t>RISE</t>
  </si>
  <si>
    <t>cosH=-(Y/X)</t>
  </si>
  <si>
    <t>Y</t>
  </si>
  <si>
    <t>X</t>
  </si>
  <si>
    <t>GST=</t>
  </si>
  <si>
    <t>Long.</t>
  </si>
  <si>
    <t>Lat.</t>
  </si>
  <si>
    <t>UTC=</t>
  </si>
  <si>
    <t>G21+(G86/24)+(-K3/360)</t>
  </si>
  <si>
    <t>GHA=</t>
  </si>
  <si>
    <t>Formulas and example calculation</t>
  </si>
  <si>
    <t>As a concrete example, I shall calculate the time of the Sunrise on 1998 October 25th at Birmingham UK, latitude 52.5N, longitude 1.9167W.</t>
  </si>
  <si>
    <t>We start by finding the number of centuries since J2000.0, as all the formulas for the position of the Sun depend on this. As outlined above, we calculate the position of the Sun for 0h on the day in question. We use this position to calculate the time of Sunrise (even though the Sun will have moved a fraction of a degree in the sky), and then recalculate the position of the Sun for the new time. A refined time for the Sunrise can then be calculated.</t>
  </si>
  <si>
    <t>Centuries since J2000.0</t>
  </si>
  <si>
    <t>We find the number of days since J2000.0 (in this case a negative number) and then divide by 36525 to find the number of (julian) centuries. The table below can be used to find the days since J2000.0;</t>
  </si>
  <si>
    <t>Calculating the centuries from J2000</t>
  </si>
  <si>
    <t>------------------------------------</t>
  </si>
  <si>
    <t>The tables below can be used to calculate the number of days and</t>
  </si>
  <si>
    <t>the fraction of a day since the epoch J2000. If you need the</t>
  </si>
  <si>
    <t xml:space="preserve">number of Julian centuaries, then just divide the 'day number' </t>
  </si>
  <si>
    <t>by 36525.</t>
  </si>
  <si>
    <t>Table A                |  Table B</t>
  </si>
  <si>
    <t>Days to beginning of   |  Days since J2000 to</t>
  </si>
  <si>
    <t>month                  |  beginning of each year</t>
  </si>
  <si>
    <t xml:space="preserve">                       |</t>
  </si>
  <si>
    <t>Month   Normal   Leap  |  Year   Days    |  Year   Days</t>
  </si>
  <si>
    <t xml:space="preserve">        year     year  |                 |</t>
  </si>
  <si>
    <t xml:space="preserve">                       |                 |</t>
  </si>
  <si>
    <t>Jan       0        0   |  1998   -731.5  |   2010  3651.5</t>
  </si>
  <si>
    <t>Feb      31       31   |  1999   -366.5  |   2011  4016.5</t>
  </si>
  <si>
    <t>Mar      59       60   |  2000     -1.5  |   2012  4381.5</t>
  </si>
  <si>
    <t>Apr      90       91   |  2001    364.5  |   2013  4747.5</t>
  </si>
  <si>
    <t xml:space="preserve">May     120      121   |  2002    729.5  |   2014  5112.5    </t>
  </si>
  <si>
    <t>Jun     151      152   |  2003   1094.5  |   2015  5477.5</t>
  </si>
  <si>
    <t>Jul     181      182   |  2004   1459.5  |   2016  5842.5</t>
  </si>
  <si>
    <t>Aug     212      213   |  2005   1825.5  |   2017  6208.5</t>
  </si>
  <si>
    <t>Sep     243      244   |  2006   2190.5  |   2018  6573.5</t>
  </si>
  <si>
    <t>Oct     273      274   |  2007   2555.5  |   2019  6938.5</t>
  </si>
  <si>
    <t>Nov     304      305   |  2008   2920.5  |   2020  7303.5</t>
  </si>
  <si>
    <t>Dec     334      335   |  2009   3286.5  |   2021  7669.5</t>
  </si>
  <si>
    <t>Worked Example</t>
  </si>
  <si>
    <t>Sun's position</t>
  </si>
  <si>
    <t>In all the calculations below, we measure time in degrees (180 degs = 12h), and we take a crude first guess at the time of sunrise as 12h UT on the day (180).</t>
  </si>
  <si>
    <t>The 'low precision' formulas below give the Sun's position to an accuracy of about 0.1 degree over a few centuries either side of J2000.0. Taking the figure of t = -0.01186858316 for the number of Julian centuries since J2000.0 as calculated above for our example date;</t>
  </si>
  <si>
    <t>When I did this calculation myself (using a basic scientific calculator and rounding answers in a convenient if unsystematic way) I used a column layout, with a new column for the second iteration.</t>
  </si>
  <si>
    <t>GHA=Uto-180+E</t>
  </si>
  <si>
    <t xml:space="preserve">lambda </t>
  </si>
  <si>
    <t>CORRECTION=</t>
  </si>
  <si>
    <t xml:space="preserve"> UT'</t>
  </si>
  <si>
    <t xml:space="preserve"> UT''</t>
  </si>
  <si>
    <t>at noon</t>
  </si>
  <si>
    <t>at mn</t>
  </si>
  <si>
    <r>
      <t>J</t>
    </r>
    <r>
      <rPr>
        <b/>
        <vertAlign val="subscript"/>
        <sz val="11"/>
        <color theme="1"/>
        <rFont val="Calibri"/>
        <family val="2"/>
        <scheme val="minor"/>
      </rPr>
      <t>rise=</t>
    </r>
  </si>
  <si>
    <t>sin h = sin δ * sin Φ + cos ω * cos δ * cos Φ</t>
  </si>
  <si>
    <t>Operating Instructions and Explanations</t>
  </si>
  <si>
    <t>By setting the date, time, surface orientation and inclination as well as the site the program determines following values after pressing "calculate". You find them in the default text boxes above: (Note that time settings should be done in wintertime on site)</t>
  </si>
  <si>
    <t>Day of Year (n)</t>
  </si>
  <si>
    <t>True Local Time</t>
  </si>
  <si>
    <t>Sunrise (tsr converted to wintertime on site)</t>
  </si>
  <si>
    <t>Sunset (tss converted to wintertime on site)</t>
  </si>
  <si>
    <t>Daytime</t>
  </si>
  <si>
    <t>Elevation Angle (h)</t>
  </si>
  <si>
    <t>Hour Angle ( ω )</t>
  </si>
  <si>
    <t>Azimuth Angle ( γ )</t>
  </si>
  <si>
    <t>Time Change (CET)</t>
  </si>
  <si>
    <t>Time Equation (TE)</t>
  </si>
  <si>
    <t>Declination ( δ )</t>
  </si>
  <si>
    <t>Longitude ( λ )</t>
  </si>
  <si>
    <t>Latitude ( Φ )</t>
  </si>
  <si>
    <t>Surface Orientation (s, a)</t>
  </si>
  <si>
    <t>Angle of Incidence on inclined Solar Surface</t>
  </si>
  <si>
    <t>Time Settings</t>
  </si>
  <si>
    <t>The date and the time are entered over the following five pull-down menues:</t>
  </si>
  <si>
    <t>Day:</t>
  </si>
  <si>
    <t>Month:</t>
  </si>
  <si>
    <t>Hour:</t>
  </si>
  <si>
    <t>Minute:</t>
  </si>
  <si>
    <t>Second:</t>
  </si>
  <si>
    <t>Date and time are distinguished and written into specific text boxes.</t>
  </si>
  <si>
    <t>Site Selection</t>
  </si>
  <si>
    <t>For computation several places can be selected over the pull-down menu "site selection:". Once chosen the selected place is written into "Location" as well as the latitude and longitude and the time change in respect of CET. These ones are necessary for computation. </t>
  </si>
  <si>
    <t>The time, which is used for all angle computations with the sun, is the solar time. This does not coincide with the local time. Therefore it is necessary to convert the universal time into solar time by applying two corrections. First there is a constant correction of the local universal time due to the difference in the geographical length between the selected place (λ lok) and the regarding Meridian (λ st). This is 15° east for the Central European time.</t>
  </si>
  <si>
    <t>The second correction is due to the time equation. This considers the elliptical behavior of earth rotation.</t>
  </si>
  <si>
    <t>The true solar time is computed from the universal time by the following equation:</t>
  </si>
  <si>
    <t>solar time = universal time + 4 min/° *( λ lok - λ st) + ZG</t>
  </si>
  <si>
    <t>Time Equation</t>
  </si>
  <si>
    <t>The time, with which 12:00 o'clock at noon always coincides with the sun highest level, defined by the observed position of the sun, is called true solar time. Precise measurements show that the hours of this time are not equivalent long in process of a year. Choosing the average value of these hours of the true solar time as a constant time measure for the whole year, that is called mean solar time, which is also called local time. The difference between true and mean solar time is called time equation.</t>
  </si>
  <si>
    <t>The causes for this difference is the deviating speed of the earth on its elliptical course around the sun on the one hand. Thus the days are somewhat shorter with sun proximity than with sun distance. On the other hand the difference is caused by inclination of the ecliptic. Thus by fact that the ecliptic plane, in which the the earth runs around the sun, includes an angle of 23°27 with the equatorial plane of the earth.</t>
  </si>
  <si>
    <t>The time equation, which is dependent on the season, is determined by following relationship:</t>
  </si>
  <si>
    <t>TE = 229,2*(0,000075 + (0,001868*cos(B))-(0,032077*sin(B))-(0,014615*cos(2B))-0,04089*sin(2B)))</t>
  </si>
  <si>
    <t>with</t>
  </si>
  <si>
    <t>B = (n - 1)*(360/365)</t>
  </si>
  <si>
    <t>N is the number of the day in the calendar year.</t>
  </si>
  <si>
    <t>ZG varies between -14,3 min and +16.4 min a year. This correction is normally read off by well-known diagrams, within the program SUNRISE however calculated in each case with the help of the relationship specified above.</t>
  </si>
  <si>
    <t>The declination δ describes the angle between the sun passing her highest level and the equatorial plane (north positively). The declination is approximated by the following equation:</t>
  </si>
  <si>
    <t>δ = 23,45°*sin(360°*(284+n)/365)</t>
  </si>
  <si>
    <t>with n = number of the day in the calendar.</t>
  </si>
  <si>
    <t>Hour Angle</t>
  </si>
  <si>
    <t>The sun highest level is the zero point (ω = 0), and each hour corresponds to a length of 15°. The hour angle is counted negatively in the morning, positively in the afternoon.</t>
  </si>
  <si>
    <t>For computation true local time is applied. The following computation order results:</t>
  </si>
  <si>
    <t>dω/dt = 15°/h = 0,25°/min</t>
  </si>
  <si>
    <t>For instance, an hour angle ω = -45° occurs at 9 am or ω = +60° at 16 pm.</t>
  </si>
  <si>
    <t>Elevation Angle</t>
  </si>
  <si>
    <t>The elevation angle h is the angle between the sun and the horizon. This angle is also called height and varies between 0° and 90°.</t>
  </si>
  <si>
    <t>The computation of the height takes place via following equation:</t>
  </si>
  <si>
    <t>The program also computes the angle of the height, if the sun itself is below the horizon. If the computation results in a negative angle, it means, that the sun set to the extent of this angle.</t>
  </si>
  <si>
    <t>Azimuth Angle</t>
  </si>
  <si>
    <t>The azimuth angle γ describes the angle between the normal root point of the sun and the local meridian. Thereby the south is considered as zero, the east negatively and the west positively.</t>
  </si>
  <si>
    <t>The program uses the following equation for computation:</t>
  </si>
  <si>
    <t>sin γ = (cos δ * sin ω)/cos h</t>
  </si>
  <si>
    <t>It must be pointed out, that this equation only provides the right result in case, that the absolute value of arccos ( tan δ / tan Φ ) is bigger than the absolute value of the hour angle. Otherwise an algebraic sign change takes place. Moreover 180° has to be added if necessary. This circular procedure is caused by the fact, that by solving the equation above the solution set not remains one-to-one. Calculators often provide just the first solution, because the Tailor-Progression returns only values, which absolute value is less than 90°. In this context this solution isn't always right, since the azimuth angle can reach values atop the position of east or west</t>
  </si>
  <si>
    <t>Sunrise and Sunset, Daytime</t>
  </si>
  <si>
    <t>Sunrise</t>
  </si>
  <si>
    <t>The time of sunrise is the time, at which the sun just exceeds the elevation angle 0°. For computation following formula is used (solar time):</t>
  </si>
  <si>
    <t>tsr = 12 h - 1/15 ω</t>
  </si>
  <si>
    <t>ω = arcos( tan δ * tan Φ )</t>
  </si>
  <si>
    <t>height of the sun is 0° and thus sin h = 0.</t>
  </si>
  <si>
    <t>Sunset</t>
  </si>
  <si>
    <t>The time of the sunset is the time, at which the sun just drops below the elevation angle 0°. For computation following formula is used (solar time):</t>
  </si>
  <si>
    <t>tss = 12 h + 1/15 ω</t>
  </si>
  <si>
    <t>The length of a day is the number of hours between sunrise and sunset. Used formula:</t>
  </si>
  <si>
    <t>tl = 2/15 ω</t>
  </si>
  <si>
    <t>Here the direct solar incidence is computed, whereby this angle between the incident ray and the normal to the plane is measured.</t>
  </si>
  <si>
    <t>Depending upon need the surface can be aligned in 5° steps from east passing south to west. The variable a in the following equation can take values between a = -90° for east to a = +90° for west direction. South direction corresponds to a = 0°. The inclination of the surface can be changed likewise between s = 0° for a plane to s = +90° for a wall in 5° steps as well.</t>
  </si>
  <si>
    <t>For computation of the angle of incidence the following equation is used:</t>
  </si>
  <si>
    <t>cos(Angle of Incidence) = sin δ * sin Φ * cos s </t>
  </si>
  <si>
    <t>- sin δ * cos Φ * sin s *cos a </t>
  </si>
  <si>
    <t>+ cos δ * cos Φ * cos s * cos ω </t>
  </si>
  <si>
    <t>+ cos δ * sin Φ * sin s * cos a cos ω </t>
  </si>
  <si>
    <t>+ cos δ * sin s * sin a * sin ω</t>
  </si>
  <si>
    <t>unset</t>
  </si>
  <si>
    <t>January 13, 1888</t>
  </si>
  <si>
    <t>Washington, D.C., USA</t>
  </si>
  <si>
    <t>(38°50'N 77°00'W = +38.833333...° -77.000...°)</t>
  </si>
  <si>
    <t>mean ecliptic longitude of the sun = 292.662°-000.107°-000.064°-000.358°+000.278° = 292.411°</t>
  </si>
  <si>
    <t>ecliptic longitude of perigee of the sun = +000.86°+279.49°-000.03°+000.69° = 281.01°</t>
  </si>
  <si>
    <t>mean anomaly of the sun = 292.411°-281.01° = 011.401°</t>
  </si>
  <si>
    <t>ecliptic longitude of the sun = 292.411°+1.915°×(sin(011.401°))+0.020°×(sin(2×011.401°)) = 292.797297526...°</t>
  </si>
  <si>
    <t>declination of the sun = asin(sin(292.797297526...°)×0.39777) = -21.5120425524...°</t>
  </si>
  <si>
    <t xml:space="preserve">right ascension of the sun = 292.797297526...°-atan(sin(2×292.797297526...°)÷(23.2377+cos(2×292.797297526...°))) = 294.612846478...° </t>
  </si>
  <si>
    <t>equation of time = 294.612846478...°-292.411° = +2.201846478...°</t>
  </si>
  <si>
    <t>mean time of sunset = 270°-(-77.000...°) = 347.000...°</t>
  </si>
  <si>
    <t>time of sunset = 347.000...°+asin(tan(+38.833333...°)×tan(-21.5120425524...°)+0.01454÷cos(+38.833333...°)÷cos(-21.5120425524...°))+(+2.201846478...°) = 331.91102521...° = 22h07m38s UT = 16h59m38s in Washington = 17h07m38s in the Eastern Standard Time Zone (which I don't think existed in the year 1888)</t>
  </si>
  <si>
    <t>Now you should really interpolate the ecliptic longitude of the sun and do the whole calculation again.  This will likely bring the rounded to the minute answer in agreement with the following.</t>
  </si>
  <si>
    <t>U.S. Naval Observatory</t>
  </si>
  <si>
    <t>Astronomical Applications Department</t>
  </si>
  <si>
    <t>Sun and Moon Data for One Day</t>
  </si>
  <si>
    <t xml:space="preserve">The following information is provided for Washington, DC, USA (longitude W77.0, latitude N38.8): </t>
  </si>
  <si>
    <t xml:space="preserve">        Friday   </t>
  </si>
  <si>
    <t xml:space="preserve">        13 January 1888       Universal Time - 5h            </t>
  </si>
  <si>
    <t xml:space="preserve">                         SUN</t>
  </si>
  <si>
    <t xml:space="preserve">        Begin civil twilight      06:57                 </t>
  </si>
  <si>
    <t xml:space="preserve">        Sunrise                   07:26                 </t>
  </si>
  <si>
    <t xml:space="preserve">        Sun transit               12:17                 </t>
  </si>
  <si>
    <t xml:space="preserve">        Sunset                    17:09                 </t>
  </si>
  <si>
    <t xml:space="preserve">        End civil twilight        17:38                 </t>
  </si>
  <si>
    <t xml:space="preserve">                         MOON</t>
  </si>
  <si>
    <t xml:space="preserve">        Moonset                   16:41 on preceding day</t>
  </si>
  <si>
    <t xml:space="preserve">        Moonrise                  07:33                 </t>
  </si>
  <si>
    <t xml:space="preserve">        Moon transit              12:36                 </t>
  </si>
  <si>
    <t xml:space="preserve">        Moonset                   17:41                 </t>
  </si>
  <si>
    <t xml:space="preserve">        Moonrise                  08:20 on following day</t>
  </si>
  <si>
    <t>Please forgive me if I have made a typo or miscalculation on this page.  -Author</t>
  </si>
  <si>
    <t>copyright (c) 2001.SEP.05 Sean Barton, all rights reserved</t>
  </si>
  <si>
    <r>
      <t>ou now have the </t>
    </r>
    <r>
      <rPr>
        <b/>
        <i/>
        <sz val="10"/>
        <color rgb="FF000000"/>
        <rFont val="Arial"/>
        <family val="2"/>
      </rPr>
      <t>ecliptic longitude of perigee of the sun</t>
    </r>
    <r>
      <rPr>
        <b/>
        <sz val="10"/>
        <color rgb="FF000000"/>
        <rFont val="Arial"/>
        <family val="2"/>
      </rPr>
      <t> for the mean summer solstice of your chosen year </t>
    </r>
    <r>
      <rPr>
        <sz val="10"/>
        <color rgb="FF000000"/>
        <rFont val="Arial"/>
        <family val="2"/>
      </rPr>
      <t>(and effectively for the entire year)</t>
    </r>
    <r>
      <rPr>
        <b/>
        <sz val="10"/>
        <color rgb="FF000000"/>
        <rFont val="Arial"/>
        <family val="2"/>
      </rPr>
      <t>.</t>
    </r>
  </si>
  <si>
    <r>
      <t>Now determine the </t>
    </r>
    <r>
      <rPr>
        <b/>
        <i/>
        <sz val="10"/>
        <color rgb="FF000000"/>
        <rFont val="Arial"/>
        <family val="2"/>
      </rPr>
      <t>mean anomaly of the sun</t>
    </r>
    <r>
      <rPr>
        <b/>
        <sz val="10"/>
        <color rgb="FF000000"/>
        <rFont val="Arial"/>
        <family val="2"/>
      </rPr>
      <t> using the following formula.</t>
    </r>
  </si>
  <si>
    <t>mean</t>
  </si>
  <si>
    <t>ecliptic</t>
  </si>
  <si>
    <t>longitude</t>
  </si>
  <si>
    <t>of the sun</t>
  </si>
  <si>
    <t>–</t>
  </si>
  <si>
    <t>of perigee</t>
  </si>
  <si>
    <t>=</t>
  </si>
  <si>
    <t>anomaly</t>
  </si>
  <si>
    <r>
      <t>Now, to make sure that your scientific calculator is in "degree mode", punch in "90 cos".  Your result should be "0.000000".  If you get something else, then your calculator is not in degree mode.  </t>
    </r>
    <r>
      <rPr>
        <sz val="10"/>
        <color rgb="FF000000"/>
        <rFont val="Arial"/>
        <family val="2"/>
      </rPr>
      <t>(Refer to your calculators owner's manual to get in "degree mode".)</t>
    </r>
  </si>
  <si>
    <r>
      <t>Now determine the </t>
    </r>
    <r>
      <rPr>
        <b/>
        <i/>
        <sz val="10"/>
        <color rgb="FF000000"/>
        <rFont val="Arial"/>
        <family val="2"/>
      </rPr>
      <t>ecliptic longitude of the sun</t>
    </r>
    <r>
      <rPr>
        <b/>
        <sz val="10"/>
        <color rgb="FF000000"/>
        <rFont val="Arial"/>
        <family val="2"/>
      </rPr>
      <t> using the following formula.</t>
    </r>
  </si>
  <si>
    <t>+1.915°×(</t>
  </si>
  <si>
    <t>sin)+0.020°×((</t>
  </si>
  <si>
    <t>×2)sin)=</t>
  </si>
  <si>
    <r>
      <t>Now you can get the </t>
    </r>
    <r>
      <rPr>
        <b/>
        <i/>
        <sz val="10"/>
        <color rgb="FF000000"/>
        <rFont val="Arial"/>
        <family val="2"/>
      </rPr>
      <t>declination of the sun</t>
    </r>
    <r>
      <rPr>
        <b/>
        <sz val="10"/>
        <color rgb="FF000000"/>
        <rFont val="Arial"/>
        <family val="2"/>
      </rPr>
      <t> with the next formula.  </t>
    </r>
    <r>
      <rPr>
        <sz val="10"/>
        <color rgb="FF000000"/>
        <rFont val="Arial"/>
        <family val="2"/>
      </rPr>
      <t>(On some calculators "asin" will be labeled "sin</t>
    </r>
    <r>
      <rPr>
        <vertAlign val="superscript"/>
        <sz val="10"/>
        <color rgb="FF000000"/>
        <rFont val="Arial"/>
        <family val="2"/>
      </rPr>
      <t>-1</t>
    </r>
    <r>
      <rPr>
        <sz val="10"/>
        <color rgb="FF000000"/>
        <rFont val="Arial"/>
        <family val="2"/>
      </rPr>
      <t>".)</t>
    </r>
  </si>
  <si>
    <t>((</t>
  </si>
  <si>
    <t>sin)×0.39777)asin=</t>
  </si>
  <si>
    <t>declination</t>
  </si>
  <si>
    <r>
      <t>Also you will want the </t>
    </r>
    <r>
      <rPr>
        <b/>
        <i/>
        <sz val="10"/>
        <color rgb="FF000000"/>
        <rFont val="Arial"/>
        <family val="2"/>
      </rPr>
      <t>right ascension of the sun</t>
    </r>
    <r>
      <rPr>
        <b/>
        <sz val="10"/>
        <color rgb="FF000000"/>
        <rFont val="Arial"/>
        <family val="2"/>
      </rPr>
      <t>.  Use this for that.</t>
    </r>
  </si>
  <si>
    <t>–((((</t>
  </si>
  <si>
    <t>×2)sin)÷(23.2377+((</t>
  </si>
  <si>
    <t>×2)cos)))atan)=</t>
  </si>
  <si>
    <t>right</t>
  </si>
  <si>
    <t>ascension</t>
  </si>
  <si>
    <r>
      <t>Another thing we will need is the </t>
    </r>
    <r>
      <rPr>
        <b/>
        <i/>
        <sz val="10"/>
        <color rgb="FF000000"/>
        <rFont val="Arial"/>
        <family val="2"/>
      </rPr>
      <t>equation of time</t>
    </r>
    <r>
      <rPr>
        <b/>
        <sz val="10"/>
        <color rgb="FF000000"/>
        <rFont val="Arial"/>
        <family val="2"/>
      </rPr>
      <t>.  Here is the formula for that.</t>
    </r>
  </si>
  <si>
    <t>equation</t>
  </si>
  <si>
    <t>of time</t>
  </si>
  <si>
    <r>
      <t>Now we can compute the times of sunrise and sunset.  </t>
    </r>
    <r>
      <rPr>
        <sz val="10"/>
        <color rgb="FF000000"/>
        <rFont val="Arial"/>
        <family val="2"/>
      </rPr>
      <t>(Ignore the red spots for now.  If you get an error when you push "asin" it means that that event (sunrise or sunset) does not occur.)  (Longitudes are positive eastward and negative westward.  Latitudes are positive northward and negative southward.)</t>
    </r>
  </si>
  <si>
    <t>90°–</t>
  </si>
  <si>
    <t>terrestrial</t>
  </si>
  <si>
    <t>longitude of</t>
  </si>
  <si>
    <t>observation</t>
  </si>
  <si>
    <t>mean time</t>
  </si>
  <si>
    <t>of sunrise</t>
  </si>
  <si>
    <t>–(((</t>
  </si>
  <si>
    <t>latitude of</t>
  </si>
  <si>
    <t>tan)×(</t>
  </si>
  <si>
    <r>
      <t>tan)</t>
    </r>
    <r>
      <rPr>
        <b/>
        <sz val="18"/>
        <color rgb="FFFF0000"/>
        <rFont val="Arial"/>
        <family val="2"/>
      </rPr>
      <t>·</t>
    </r>
    <r>
      <rPr>
        <b/>
        <sz val="18"/>
        <color theme="1"/>
        <rFont val="Arial"/>
        <family val="2"/>
      </rPr>
      <t>)asin)+</t>
    </r>
  </si>
  <si>
    <t>time of</t>
  </si>
  <si>
    <t>sunrise</t>
  </si>
  <si>
    <t>270°–</t>
  </si>
  <si>
    <t>of sunset</t>
  </si>
  <si>
    <t>+(((</t>
  </si>
  <si>
    <t>sunset</t>
  </si>
  <si>
    <r>
      <t>These definitions for sunrise and sunset divide time equally into day and night.  Another common definition of sunrise and sunset is when the upper limb of the sun apparently crosses the horizon.  To get these times, one must correct for the semidiameter of the sun and for atmospheric refraction.  </t>
    </r>
    <r>
      <rPr>
        <sz val="10"/>
        <color rgb="FF000000"/>
        <rFont val="Arial"/>
        <family val="2"/>
      </rPr>
      <t>(These effects total about 50 minutes of arc.)</t>
    </r>
    <r>
      <rPr>
        <b/>
        <sz val="10"/>
        <color rgb="FF000000"/>
        <rFont val="Arial"/>
        <family val="2"/>
      </rPr>
      <t>  To accomplish this, insert the following where you see the red spots.</t>
    </r>
  </si>
  <si>
    <r>
      <t>+</t>
    </r>
    <r>
      <rPr>
        <b/>
        <sz val="18"/>
        <color rgb="FFFF0000"/>
        <rFont val="Arial"/>
        <family val="2"/>
      </rPr>
      <t>0.01454</t>
    </r>
    <r>
      <rPr>
        <b/>
        <sz val="18"/>
        <color theme="1"/>
        <rFont val="Arial"/>
        <family val="2"/>
      </rPr>
      <t>÷(</t>
    </r>
  </si>
  <si>
    <t>cos)÷(</t>
  </si>
  <si>
    <t>cos)</t>
  </si>
  <si>
    <t>To calculate the times of other events, you can replace the red number as follows.</t>
  </si>
  <si>
    <t>civil twilight</t>
  </si>
  <si>
    <t>nautical twilight</t>
  </si>
  <si>
    <t>astronomical twilight</t>
  </si>
  <si>
    <r>
      <t>To convert your answers from degrees to regular clock time, divide by 360 and multiply by 24.  The whole part of this number is the hour.  Subtract off the whole hours and multiply the remaining fraction by 60.  The whole part of this number is the minutes.  Again, subtract off the whole minutes and multiply the remaining fraction by 60.  These are the seconds.  </t>
    </r>
    <r>
      <rPr>
        <sz val="10"/>
        <color rgb="FF000000"/>
        <rFont val="Arial"/>
        <family val="2"/>
      </rPr>
      <t>(You now have Universal Time in the hour/minute/second format.  Converting to your local time is up to you.  My local time is United States Eastern Standard Time, so I subtract 5 hours.)</t>
    </r>
  </si>
  <si>
    <r>
      <t>Now you may notice that your times differ significantly from the times in an almanac.  This is because you used the </t>
    </r>
    <r>
      <rPr>
        <b/>
        <i/>
        <sz val="10"/>
        <color rgb="FF000000"/>
        <rFont val="Arial"/>
        <family val="2"/>
      </rPr>
      <t>mean ecliptic longitude of the sun</t>
    </r>
    <r>
      <rPr>
        <b/>
        <sz val="10"/>
        <color rgb="FF000000"/>
        <rFont val="Arial"/>
        <family val="2"/>
      </rPr>
      <t> for midday </t>
    </r>
    <r>
      <rPr>
        <sz val="10"/>
        <color rgb="FF000000"/>
        <rFont val="Arial"/>
        <family val="2"/>
      </rPr>
      <t>(UT)</t>
    </r>
    <r>
      <rPr>
        <b/>
        <sz val="10"/>
        <color rgb="FF000000"/>
        <rFont val="Arial"/>
        <family val="2"/>
      </rPr>
      <t> of your chosen day and not the actual time of the event</t>
    </r>
    <r>
      <rPr>
        <sz val="10"/>
        <color rgb="FF000000"/>
        <rFont val="Arial"/>
        <family val="2"/>
      </rPr>
      <t>(sunrise or sunset)</t>
    </r>
    <r>
      <rPr>
        <b/>
        <sz val="10"/>
        <color rgb="FF000000"/>
        <rFont val="Arial"/>
        <family val="2"/>
      </rPr>
      <t>.  If you want your calculations to be perfect </t>
    </r>
    <r>
      <rPr>
        <sz val="10"/>
        <color rgb="FF000000"/>
        <rFont val="Arial"/>
        <family val="2"/>
      </rPr>
      <t>(i.e. to agree with the almanac)</t>
    </r>
    <r>
      <rPr>
        <b/>
        <sz val="10"/>
        <color rgb="FF000000"/>
        <rFont val="Arial"/>
        <family val="2"/>
      </rPr>
      <t>, you will need to interpolate the </t>
    </r>
    <r>
      <rPr>
        <b/>
        <i/>
        <sz val="10"/>
        <color rgb="FF000000"/>
        <rFont val="Arial"/>
        <family val="2"/>
      </rPr>
      <t>mean ecliptic longitude of the sun</t>
    </r>
    <r>
      <rPr>
        <b/>
        <sz val="10"/>
        <color rgb="FF000000"/>
        <rFont val="Arial"/>
        <family val="2"/>
      </rPr>
      <t> for the actual time of the event.  Start by doing the whole calculation without interpolation.  This will give you very nearly the actual time of the event </t>
    </r>
    <r>
      <rPr>
        <sz val="10"/>
        <color rgb="FF000000"/>
        <rFont val="Arial"/>
        <family val="2"/>
      </rPr>
      <t>(likely within one minute)</t>
    </r>
    <r>
      <rPr>
        <b/>
        <sz val="10"/>
        <color rgb="FF000000"/>
        <rFont val="Arial"/>
        <family val="2"/>
      </rPr>
      <t>.  Use this time to create the interpolating factor.  Now with your interpolated </t>
    </r>
    <r>
      <rPr>
        <b/>
        <i/>
        <sz val="10"/>
        <color rgb="FF000000"/>
        <rFont val="Arial"/>
        <family val="2"/>
      </rPr>
      <t>mean ecliptic longitude of the sun</t>
    </r>
    <r>
      <rPr>
        <b/>
        <sz val="10"/>
        <color rgb="FF000000"/>
        <rFont val="Arial"/>
        <family val="2"/>
      </rPr>
      <t>, go back and do the whole calculation again.  Your new answer will likely differ by less than a minute.  If you want it even more accurate, use this answer to interpolate and do the whole calculation yet again.  After doing this several times, you should notice that your final answer is no longer changing.  This is the actual time of the event.</t>
    </r>
  </si>
  <si>
    <t>The general accuracies involved in this algorithm are as follows.</t>
  </si>
  <si>
    <t>mean ecliptic longitude of the sun</t>
  </si>
  <si>
    <t>±0.002°</t>
  </si>
  <si>
    <t>ecliptic longitude of perigee of the sun</t>
  </si>
  <si>
    <t>±0.02°</t>
  </si>
  <si>
    <t>mean anomaly of the sun</t>
  </si>
  <si>
    <t>ecliptic longitude of the sun</t>
  </si>
  <si>
    <t>±0.01°</t>
  </si>
  <si>
    <t>declination of the sun</t>
  </si>
  <si>
    <t>right ascension of the sun</t>
  </si>
  <si>
    <t>equation of time</t>
  </si>
  <si>
    <t>mean time of sunrise/sunset</t>
  </si>
  <si>
    <t>±0</t>
  </si>
  <si>
    <r>
      <t>time of sunrise/sunset </t>
    </r>
    <r>
      <rPr>
        <i/>
        <sz val="10"/>
        <color theme="1"/>
        <rFont val="Arial"/>
        <family val="2"/>
      </rPr>
      <t>(in the tropics)</t>
    </r>
  </si>
  <si>
    <t>±0.01° (± 3 seconds)</t>
  </si>
  <si>
    <t>Time zone</t>
  </si>
  <si>
    <t>A=</t>
  </si>
  <si>
    <t>B=</t>
  </si>
  <si>
    <t>S</t>
  </si>
  <si>
    <t>D</t>
  </si>
  <si>
    <t>Theta o=</t>
  </si>
  <si>
    <t>Rise</t>
  </si>
  <si>
    <t>Merridian</t>
  </si>
  <si>
    <t>Set</t>
  </si>
  <si>
    <t>Tee=</t>
  </si>
  <si>
    <t>TOU=</t>
  </si>
  <si>
    <t>epsilon=</t>
  </si>
  <si>
    <t>EQT</t>
  </si>
  <si>
    <t>c=</t>
  </si>
  <si>
    <t>theta-s=</t>
  </si>
  <si>
    <t>Si=</t>
  </si>
  <si>
    <t>Landa=</t>
  </si>
  <si>
    <t>Day num=</t>
  </si>
  <si>
    <t>Epsilon=</t>
  </si>
  <si>
    <t>alpha=</t>
  </si>
  <si>
    <t>New Eps=</t>
  </si>
  <si>
    <t>alpha app=</t>
  </si>
  <si>
    <t>Time =</t>
  </si>
  <si>
    <t>At any instant</t>
  </si>
  <si>
    <t>At Uto</t>
  </si>
  <si>
    <t>ALG1</t>
  </si>
  <si>
    <t>ALG2</t>
  </si>
  <si>
    <t>M'</t>
  </si>
  <si>
    <t>F</t>
  </si>
  <si>
    <t>si</t>
  </si>
  <si>
    <t>C1</t>
  </si>
  <si>
    <t>C2</t>
  </si>
  <si>
    <t>C3</t>
  </si>
  <si>
    <t>C4</t>
  </si>
  <si>
    <t>C2*T</t>
  </si>
  <si>
    <t>C4*T</t>
  </si>
  <si>
    <t>Delta Si=</t>
  </si>
  <si>
    <t>M'=</t>
  </si>
  <si>
    <t>F=</t>
  </si>
  <si>
    <t>Delta Epsi</t>
  </si>
  <si>
    <t>C1+C2*T</t>
  </si>
  <si>
    <t>C3+C4*T</t>
  </si>
  <si>
    <t>Epsilon o=</t>
  </si>
  <si>
    <t>U=</t>
  </si>
  <si>
    <t>eps=</t>
  </si>
  <si>
    <t>MONTH</t>
  </si>
</sst>
</file>

<file path=xl/styles.xml><?xml version="1.0" encoding="utf-8"?>
<styleSheet xmlns="http://schemas.openxmlformats.org/spreadsheetml/2006/main">
  <numFmts count="2">
    <numFmt numFmtId="164" formatCode="0.000"/>
    <numFmt numFmtId="165" formatCode="0.00000"/>
  </numFmts>
  <fonts count="109">
    <font>
      <sz val="11"/>
      <color theme="1"/>
      <name val="Calibri"/>
      <family val="2"/>
      <scheme val="minor"/>
    </font>
    <font>
      <b/>
      <sz val="10"/>
      <color rgb="FF000000"/>
      <name val="Arial"/>
      <family val="2"/>
    </font>
    <font>
      <sz val="8"/>
      <color rgb="FF000000"/>
      <name val="Arial"/>
      <family val="2"/>
    </font>
    <font>
      <u/>
      <sz val="11"/>
      <color theme="10"/>
      <name val="Calibri"/>
      <family val="2"/>
    </font>
    <font>
      <sz val="14"/>
      <color rgb="FF000000"/>
      <name val="Calibri"/>
      <family val="2"/>
      <scheme val="minor"/>
    </font>
    <font>
      <sz val="10.5"/>
      <color rgb="FF9900FF"/>
      <name val="Arial"/>
      <family val="2"/>
    </font>
    <font>
      <sz val="10.5"/>
      <color rgb="FF333333"/>
      <name val="Trebuchet MS"/>
      <family val="2"/>
    </font>
    <font>
      <sz val="10"/>
      <color rgb="FF000000"/>
      <name val="Courier New"/>
      <family val="3"/>
    </font>
    <font>
      <sz val="11"/>
      <color rgb="FF000000"/>
      <name val="Calibri"/>
      <family val="2"/>
      <scheme val="minor"/>
    </font>
    <font>
      <sz val="13.5"/>
      <color rgb="FF000000"/>
      <name val="Calibri"/>
      <family val="2"/>
      <scheme val="minor"/>
    </font>
    <font>
      <i/>
      <sz val="10"/>
      <color rgb="FF000000"/>
      <name val="Courier New"/>
      <family val="3"/>
    </font>
    <font>
      <sz val="10.5"/>
      <color rgb="FF000000"/>
      <name val="Arial"/>
      <family val="2"/>
    </font>
    <font>
      <sz val="11"/>
      <color rgb="FF000000"/>
      <name val="Arial"/>
      <family val="2"/>
    </font>
    <font>
      <i/>
      <sz val="8"/>
      <color rgb="FF000000"/>
      <name val="Arial"/>
      <family val="2"/>
    </font>
    <font>
      <sz val="8"/>
      <color rgb="FF0B0080"/>
      <name val="Arial"/>
      <family val="2"/>
    </font>
    <font>
      <b/>
      <sz val="8"/>
      <color rgb="FF000000"/>
      <name val="Arial"/>
      <family val="2"/>
    </font>
    <font>
      <u/>
      <sz val="8"/>
      <color rgb="FF0B0080"/>
      <name val="Arial"/>
      <family val="2"/>
    </font>
    <font>
      <sz val="8"/>
      <color rgb="FF9900FF"/>
      <name val="Arial"/>
      <family val="2"/>
    </font>
    <font>
      <sz val="10"/>
      <color rgb="FF000000"/>
      <name val="Arial Unicode MS"/>
      <family val="2"/>
    </font>
    <font>
      <b/>
      <sz val="12"/>
      <color rgb="FFFF0000"/>
      <name val="Calibri"/>
      <family val="2"/>
      <scheme val="minor"/>
    </font>
    <font>
      <b/>
      <sz val="14"/>
      <color rgb="FFFF0000"/>
      <name val="Calibri"/>
      <family val="2"/>
      <scheme val="minor"/>
    </font>
    <font>
      <sz val="11"/>
      <color rgb="FFFF0000"/>
      <name val="Calibri"/>
      <family val="2"/>
      <scheme val="minor"/>
    </font>
    <font>
      <vertAlign val="superscript"/>
      <sz val="10.5"/>
      <color rgb="FF000000"/>
      <name val="Arial"/>
      <family val="2"/>
    </font>
    <font>
      <b/>
      <sz val="18"/>
      <color rgb="FF000000"/>
      <name val="Times New Roman"/>
      <family val="1"/>
    </font>
    <font>
      <sz val="13.5"/>
      <color theme="1"/>
      <name val="Calibri"/>
      <family val="2"/>
      <scheme val="minor"/>
    </font>
    <font>
      <b/>
      <sz val="12"/>
      <color rgb="FF000000"/>
      <name val="Arial"/>
      <family val="2"/>
    </font>
    <font>
      <sz val="12"/>
      <color rgb="FF000000"/>
      <name val="Arial"/>
      <family val="2"/>
    </font>
    <font>
      <i/>
      <sz val="12"/>
      <color rgb="FF000000"/>
      <name val="Arial"/>
      <family val="2"/>
    </font>
    <font>
      <sz val="12"/>
      <color rgb="FF0000FF"/>
      <name val="Arial"/>
      <family val="2"/>
    </font>
    <font>
      <b/>
      <sz val="18"/>
      <color rgb="FF000000"/>
      <name val="Arial"/>
      <family val="2"/>
    </font>
    <font>
      <sz val="13.5"/>
      <color rgb="FF000000"/>
      <name val="Arial"/>
      <family val="2"/>
    </font>
    <font>
      <sz val="10"/>
      <color rgb="FF000000"/>
      <name val="Arial"/>
      <family val="2"/>
    </font>
    <font>
      <sz val="12"/>
      <color rgb="FF000000"/>
      <name val="Calibri"/>
      <family val="2"/>
      <scheme val="minor"/>
    </font>
    <font>
      <b/>
      <sz val="8"/>
      <color rgb="FF0B0080"/>
      <name val="Arial"/>
      <family val="2"/>
    </font>
    <font>
      <sz val="8"/>
      <color rgb="FF663366"/>
      <name val="Arial"/>
      <family val="2"/>
    </font>
    <font>
      <i/>
      <sz val="7.5"/>
      <color rgb="FF000000"/>
      <name val="Arial"/>
      <family val="2"/>
    </font>
    <font>
      <vertAlign val="subscript"/>
      <sz val="8"/>
      <color rgb="FF000000"/>
      <name val="Arial"/>
      <family val="2"/>
    </font>
    <font>
      <b/>
      <sz val="7.5"/>
      <color rgb="FF000000"/>
      <name val="Verdana"/>
      <family val="2"/>
    </font>
    <font>
      <b/>
      <vertAlign val="subscript"/>
      <sz val="7.5"/>
      <color rgb="FF000000"/>
      <name val="Verdana"/>
      <family val="2"/>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vertAlign val="subscript"/>
      <sz val="12"/>
      <color theme="1"/>
      <name val="Calibri"/>
      <family val="2"/>
      <scheme val="minor"/>
    </font>
    <font>
      <sz val="10"/>
      <color theme="1"/>
      <name val="Calibri"/>
      <family val="2"/>
      <scheme val="minor"/>
    </font>
    <font>
      <sz val="10"/>
      <color rgb="FF000000"/>
      <name val="Calibri"/>
      <family val="2"/>
      <scheme val="minor"/>
    </font>
    <font>
      <vertAlign val="subscript"/>
      <sz val="10"/>
      <color rgb="FF000000"/>
      <name val="Calibri"/>
      <family val="2"/>
      <scheme val="minor"/>
    </font>
    <font>
      <b/>
      <sz val="10"/>
      <color rgb="FF000000"/>
      <name val="Calibri"/>
      <family val="2"/>
      <scheme val="minor"/>
    </font>
    <font>
      <b/>
      <vertAlign val="subscript"/>
      <sz val="10"/>
      <color rgb="FF000000"/>
      <name val="Calibri"/>
      <family val="2"/>
      <scheme val="minor"/>
    </font>
    <font>
      <b/>
      <sz val="21.5"/>
      <color theme="1"/>
      <name val="Times New Roman"/>
      <family val="1"/>
    </font>
    <font>
      <i/>
      <sz val="6.5"/>
      <color rgb="FF0086DF"/>
      <name val="Times New Roman"/>
      <family val="1"/>
    </font>
    <font>
      <i/>
      <sz val="6.5"/>
      <color rgb="FF666666"/>
      <name val="Times New Roman"/>
      <family val="1"/>
    </font>
    <font>
      <sz val="8"/>
      <color theme="1"/>
      <name val="Times New Roman"/>
      <family val="1"/>
    </font>
    <font>
      <i/>
      <sz val="9"/>
      <color rgb="FF666666"/>
      <name val="Georgia"/>
      <family val="1"/>
    </font>
    <font>
      <sz val="14.5"/>
      <color rgb="FF000000"/>
      <name val="Times New Roman"/>
      <family val="1"/>
    </font>
    <font>
      <sz val="9"/>
      <color rgb="FF000000"/>
      <name val="Georgia"/>
      <family val="1"/>
    </font>
    <font>
      <sz val="10"/>
      <color rgb="FF0000FF"/>
      <name val="Arial"/>
      <family val="2"/>
    </font>
    <font>
      <sz val="12"/>
      <color theme="1"/>
      <name val="Times New Roman"/>
      <family val="1"/>
    </font>
    <font>
      <b/>
      <sz val="10"/>
      <color rgb="FF0000FF"/>
      <name val="Courier New"/>
      <family val="3"/>
    </font>
    <font>
      <b/>
      <sz val="13.5"/>
      <color rgb="FF000000"/>
      <name val="Times New Roman"/>
      <family val="1"/>
    </font>
    <font>
      <sz val="14"/>
      <color rgb="FF000000"/>
      <name val="Times New Roman"/>
      <family val="1"/>
    </font>
    <font>
      <sz val="7.5"/>
      <color theme="1"/>
      <name val="Arial"/>
      <family val="2"/>
    </font>
    <font>
      <b/>
      <sz val="12"/>
      <color theme="1"/>
      <name val="Arial"/>
      <family val="2"/>
    </font>
    <font>
      <sz val="10"/>
      <color rgb="FF0000FF"/>
      <name val="Verdana"/>
      <family val="2"/>
    </font>
    <font>
      <vertAlign val="subscript"/>
      <sz val="10"/>
      <color rgb="FF0000FF"/>
      <name val="Verdana"/>
      <family val="2"/>
    </font>
    <font>
      <sz val="10"/>
      <color rgb="FF000000"/>
      <name val="Verdana"/>
      <family val="2"/>
    </font>
    <font>
      <b/>
      <sz val="10"/>
      <color rgb="FF000000"/>
      <name val="Verdana"/>
      <family val="2"/>
    </font>
    <font>
      <sz val="13.5"/>
      <color rgb="FF000000"/>
      <name val="Times New Roman"/>
      <family val="1"/>
    </font>
    <font>
      <b/>
      <sz val="12"/>
      <color rgb="FF0000FF"/>
      <name val="Arial"/>
      <family val="2"/>
    </font>
    <font>
      <b/>
      <sz val="10"/>
      <color rgb="FF0000FF"/>
      <name val="Verdana"/>
      <family val="2"/>
    </font>
    <font>
      <i/>
      <sz val="10"/>
      <color rgb="FF000000"/>
      <name val="Verdana"/>
      <family val="2"/>
    </font>
    <font>
      <vertAlign val="subscript"/>
      <sz val="10"/>
      <color rgb="FF0000FF"/>
      <name val="Arial"/>
      <family val="2"/>
    </font>
    <font>
      <b/>
      <vertAlign val="superscript"/>
      <sz val="10"/>
      <color rgb="FF0000FF"/>
      <name val="Courier New"/>
      <family val="3"/>
    </font>
    <font>
      <b/>
      <vertAlign val="subscript"/>
      <sz val="10"/>
      <color rgb="FF0000FF"/>
      <name val="Courier New"/>
      <family val="3"/>
    </font>
    <font>
      <vertAlign val="superscript"/>
      <sz val="10"/>
      <color rgb="FF000000"/>
      <name val="Verdana"/>
      <family val="2"/>
    </font>
    <font>
      <b/>
      <sz val="10"/>
      <color rgb="FF0000FF"/>
      <name val="Times New Roman"/>
      <family val="1"/>
    </font>
    <font>
      <b/>
      <vertAlign val="superscript"/>
      <sz val="10"/>
      <color rgb="FF0000FF"/>
      <name val="Times New Roman"/>
      <family val="1"/>
    </font>
    <font>
      <vertAlign val="subscript"/>
      <sz val="10"/>
      <color rgb="FF000000"/>
      <name val="Verdana"/>
      <family val="2"/>
    </font>
    <font>
      <sz val="10"/>
      <color theme="1"/>
      <name val="Arial Unicode MS"/>
      <family val="2"/>
    </font>
    <font>
      <b/>
      <sz val="18"/>
      <color theme="1"/>
      <name val="Calibri"/>
      <family val="2"/>
      <scheme val="minor"/>
    </font>
    <font>
      <b/>
      <sz val="13.5"/>
      <color theme="1"/>
      <name val="Calibri"/>
      <family val="2"/>
      <scheme val="minor"/>
    </font>
    <font>
      <b/>
      <sz val="11"/>
      <color theme="1"/>
      <name val="Calibri"/>
      <family val="2"/>
      <scheme val="minor"/>
    </font>
    <font>
      <b/>
      <vertAlign val="subscript"/>
      <sz val="11"/>
      <color theme="1"/>
      <name val="Calibri"/>
      <family val="2"/>
      <scheme val="minor"/>
    </font>
    <font>
      <sz val="14"/>
      <color rgb="FF000000"/>
      <name val="Arial"/>
      <family val="2"/>
    </font>
    <font>
      <sz val="14"/>
      <color theme="1"/>
      <name val="Arial"/>
      <family val="2"/>
    </font>
    <font>
      <b/>
      <sz val="14"/>
      <color rgb="FF000000"/>
      <name val="Arial"/>
      <family val="2"/>
    </font>
    <font>
      <b/>
      <i/>
      <sz val="10"/>
      <color rgb="FF000000"/>
      <name val="Arial"/>
      <family val="2"/>
    </font>
    <font>
      <sz val="11"/>
      <color theme="1"/>
      <name val="Times New Roman"/>
      <family val="1"/>
    </font>
    <font>
      <sz val="10"/>
      <color theme="1"/>
      <name val="Arial"/>
      <family val="2"/>
    </font>
    <font>
      <b/>
      <i/>
      <sz val="10"/>
      <color theme="1"/>
      <name val="Arial"/>
      <family val="2"/>
    </font>
    <font>
      <b/>
      <sz val="18"/>
      <color theme="1"/>
      <name val="Arial"/>
      <family val="2"/>
    </font>
    <font>
      <vertAlign val="superscript"/>
      <sz val="10"/>
      <color rgb="FF000000"/>
      <name val="Arial"/>
      <family val="2"/>
    </font>
    <font>
      <b/>
      <sz val="18"/>
      <color rgb="FFFF0000"/>
      <name val="Arial"/>
      <family val="2"/>
    </font>
    <font>
      <i/>
      <sz val="10"/>
      <color theme="1"/>
      <name val="Arial"/>
      <family val="2"/>
    </font>
    <font>
      <b/>
      <sz val="11"/>
      <color rgb="FFFF0000"/>
      <name val="Calibri"/>
      <family val="2"/>
      <scheme val="minor"/>
    </font>
    <font>
      <b/>
      <sz val="20"/>
      <color rgb="FFFFFF00"/>
      <name val="Calibri"/>
      <family val="2"/>
      <scheme val="minor"/>
    </font>
    <font>
      <b/>
      <sz val="11"/>
      <color theme="0"/>
      <name val="Calibri"/>
      <family val="2"/>
      <scheme val="minor"/>
    </font>
    <font>
      <b/>
      <sz val="12"/>
      <color theme="3" tint="-0.499984740745262"/>
      <name val="Calibri"/>
      <family val="2"/>
      <scheme val="minor"/>
    </font>
    <font>
      <b/>
      <sz val="12"/>
      <color rgb="FFFFFF00"/>
      <name val="Calibri"/>
      <family val="2"/>
      <scheme val="minor"/>
    </font>
    <font>
      <b/>
      <sz val="14"/>
      <color rgb="FFFFFF00"/>
      <name val="Calibri"/>
      <family val="2"/>
      <scheme val="minor"/>
    </font>
    <font>
      <b/>
      <sz val="16"/>
      <color rgb="FFFFFF00"/>
      <name val="Calibri"/>
      <family val="2"/>
      <scheme val="minor"/>
    </font>
    <font>
      <sz val="16"/>
      <color rgb="FFFF0000"/>
      <name val="Calibri"/>
      <family val="2"/>
      <scheme val="minor"/>
    </font>
    <font>
      <b/>
      <sz val="16"/>
      <color rgb="FFFF0000"/>
      <name val="Calibri"/>
      <family val="2"/>
      <scheme val="minor"/>
    </font>
    <font>
      <sz val="12"/>
      <color theme="1"/>
      <name val="Calibri"/>
      <family val="2"/>
      <scheme val="minor"/>
    </font>
    <font>
      <b/>
      <sz val="12"/>
      <color rgb="FF002060"/>
      <name val="Calibri"/>
      <family val="2"/>
      <scheme val="minor"/>
    </font>
    <font>
      <b/>
      <sz val="12"/>
      <color rgb="FFC00000"/>
      <name val="Calibri"/>
      <family val="2"/>
      <scheme val="minor"/>
    </font>
    <font>
      <b/>
      <sz val="11"/>
      <color rgb="FF0070C0"/>
      <name val="Calibri"/>
      <family val="2"/>
      <scheme val="minor"/>
    </font>
    <font>
      <sz val="12"/>
      <color rgb="FFFF0000"/>
      <name val="Calibri"/>
      <family val="2"/>
      <scheme val="minor"/>
    </font>
    <font>
      <b/>
      <sz val="14"/>
      <color rgb="FF002060"/>
      <name val="Calibri"/>
      <family val="2"/>
      <scheme val="minor"/>
    </font>
    <font>
      <b/>
      <sz val="14"/>
      <color rgb="FFC00000"/>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BFBFB"/>
        <bgColor indexed="64"/>
      </patternFill>
    </fill>
    <fill>
      <patternFill patternType="solid">
        <fgColor rgb="FFCCCCCC"/>
        <bgColor indexed="64"/>
      </patternFill>
    </fill>
    <fill>
      <patternFill patternType="solid">
        <fgColor rgb="FFC0C0C0"/>
        <bgColor indexed="64"/>
      </patternFill>
    </fill>
    <fill>
      <patternFill patternType="solid">
        <fgColor theme="1"/>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bgColor indexed="64"/>
      </patternFill>
    </fill>
  </fills>
  <borders count="10">
    <border>
      <left/>
      <right/>
      <top/>
      <bottom/>
      <diagonal/>
    </border>
    <border>
      <left/>
      <right/>
      <top/>
      <bottom style="medium">
        <color rgb="FFAAAAAA"/>
      </bottom>
      <diagonal/>
    </border>
    <border>
      <left style="thick">
        <color rgb="FFF28500"/>
      </left>
      <right/>
      <top style="medium">
        <color rgb="FFAAAAAA"/>
      </top>
      <bottom/>
      <diagonal/>
    </border>
    <border>
      <left/>
      <right style="medium">
        <color rgb="FFAAAAAA"/>
      </right>
      <top style="medium">
        <color rgb="FFAAAAAA"/>
      </top>
      <bottom/>
      <diagonal/>
    </border>
    <border>
      <left style="thick">
        <color rgb="FFF28500"/>
      </left>
      <right/>
      <top/>
      <bottom style="medium">
        <color rgb="FFAAAAAA"/>
      </bottom>
      <diagonal/>
    </border>
    <border>
      <left/>
      <right style="medium">
        <color rgb="FFAAAAAA"/>
      </right>
      <top/>
      <bottom style="medium">
        <color rgb="FFAAAAAA"/>
      </bottom>
      <diagonal/>
    </border>
    <border>
      <left style="medium">
        <color rgb="FF000000"/>
      </left>
      <right style="medium">
        <color rgb="FF000000"/>
      </right>
      <top style="medium">
        <color rgb="FF000000"/>
      </top>
      <bottom style="medium">
        <color rgb="FF000000"/>
      </bottom>
      <diagonal/>
    </border>
    <border>
      <left/>
      <right/>
      <top/>
      <bottom style="thick">
        <color rgb="FF0000FF"/>
      </bottom>
      <diagonal/>
    </border>
    <border>
      <left/>
      <right/>
      <top/>
      <bottom style="medium">
        <color rgb="FF0000FF"/>
      </bottom>
      <diagonal/>
    </border>
    <border>
      <left style="thick">
        <color rgb="FFFFFFFF"/>
      </left>
      <right style="thick">
        <color rgb="FFFFFFFF"/>
      </right>
      <top style="medium">
        <color rgb="FFFFFFFF"/>
      </top>
      <bottom style="thick">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03">
    <xf numFmtId="0" fontId="0" fillId="0" borderId="0" xfId="0"/>
    <xf numFmtId="0" fontId="1" fillId="0" borderId="0" xfId="0" applyFont="1" applyAlignment="1">
      <alignment wrapText="1"/>
    </xf>
    <xf numFmtId="0" fontId="2" fillId="0" borderId="0" xfId="0" applyFont="1" applyAlignment="1">
      <alignment wrapText="1"/>
    </xf>
    <xf numFmtId="0" fontId="3" fillId="0" borderId="0" xfId="1" applyAlignment="1" applyProtection="1">
      <alignment wrapText="1"/>
    </xf>
    <xf numFmtId="14" fontId="0" fillId="0" borderId="0" xfId="0" applyNumberFormat="1"/>
    <xf numFmtId="164" fontId="0" fillId="0" borderId="0" xfId="0" applyNumberFormat="1"/>
    <xf numFmtId="0" fontId="4" fillId="0" borderId="0" xfId="0" applyFont="1"/>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horizontal="center"/>
    </xf>
    <xf numFmtId="0" fontId="7" fillId="0" borderId="0" xfId="0" applyFont="1"/>
    <xf numFmtId="0" fontId="8" fillId="0" borderId="0" xfId="0" applyFont="1"/>
    <xf numFmtId="0" fontId="9" fillId="0" borderId="0" xfId="0" applyFont="1"/>
    <xf numFmtId="0" fontId="11" fillId="0" borderId="0" xfId="0" applyFont="1"/>
    <xf numFmtId="0" fontId="5" fillId="2" borderId="0" xfId="0" applyFont="1" applyFill="1" applyAlignment="1">
      <alignment vertical="top" wrapText="1"/>
    </xf>
    <xf numFmtId="0" fontId="5" fillId="0" borderId="0" xfId="0" applyFont="1" applyAlignment="1">
      <alignment horizontal="left"/>
    </xf>
    <xf numFmtId="0" fontId="2" fillId="0" borderId="0" xfId="0" applyFont="1"/>
    <xf numFmtId="0" fontId="12" fillId="0" borderId="1" xfId="0" applyFont="1" applyBorder="1" applyAlignment="1">
      <alignment wrapText="1"/>
    </xf>
    <xf numFmtId="0" fontId="2" fillId="0" borderId="0" xfId="0" applyFont="1" applyAlignment="1">
      <alignment horizontal="left" wrapText="1" indent="1"/>
    </xf>
    <xf numFmtId="0" fontId="1" fillId="0" borderId="0" xfId="0" applyFont="1" applyAlignment="1">
      <alignment horizontal="left" wrapText="1"/>
    </xf>
    <xf numFmtId="0" fontId="2" fillId="0" borderId="0" xfId="0" applyFont="1" applyAlignment="1">
      <alignment horizontal="left" wrapText="1"/>
    </xf>
    <xf numFmtId="0" fontId="3" fillId="0" borderId="0" xfId="1" applyAlignment="1" applyProtection="1">
      <alignment horizontal="left" wrapText="1"/>
    </xf>
    <xf numFmtId="0" fontId="17" fillId="0" borderId="0" xfId="0" applyFont="1" applyAlignment="1">
      <alignment vertical="top" wrapText="1"/>
    </xf>
    <xf numFmtId="0" fontId="15" fillId="0" borderId="0" xfId="0" applyFont="1" applyAlignment="1">
      <alignment horizontal="left" wrapText="1"/>
    </xf>
    <xf numFmtId="0" fontId="18" fillId="0" borderId="0" xfId="0" applyFont="1"/>
    <xf numFmtId="0" fontId="19" fillId="3" borderId="0" xfId="0" applyFont="1" applyFill="1"/>
    <xf numFmtId="0" fontId="20" fillId="3" borderId="0" xfId="0" applyFont="1" applyFill="1"/>
    <xf numFmtId="0" fontId="23" fillId="0" borderId="0" xfId="0" applyFont="1"/>
    <xf numFmtId="0" fontId="3" fillId="0" borderId="0" xfId="1" applyAlignment="1" applyProtection="1"/>
    <xf numFmtId="0" fontId="25" fillId="0" borderId="0" xfId="0" applyFont="1"/>
    <xf numFmtId="0" fontId="26" fillId="0" borderId="0" xfId="0" applyFont="1"/>
    <xf numFmtId="0" fontId="29" fillId="0" borderId="0" xfId="0" applyFont="1"/>
    <xf numFmtId="0" fontId="30" fillId="0" borderId="0" xfId="0" applyFont="1"/>
    <xf numFmtId="0" fontId="31" fillId="0" borderId="0" xfId="0" applyFont="1"/>
    <xf numFmtId="14" fontId="32" fillId="0" borderId="0" xfId="0" applyNumberFormat="1" applyFont="1"/>
    <xf numFmtId="0" fontId="32" fillId="0" borderId="0" xfId="0" applyFont="1"/>
    <xf numFmtId="0" fontId="21" fillId="3" borderId="0" xfId="0" applyFont="1" applyFill="1"/>
    <xf numFmtId="22" fontId="0" fillId="0" borderId="0" xfId="0" applyNumberFormat="1"/>
    <xf numFmtId="0" fontId="3" fillId="0" borderId="1" xfId="1" applyBorder="1" applyAlignment="1" applyProtection="1">
      <alignment wrapText="1"/>
    </xf>
    <xf numFmtId="0" fontId="3" fillId="0" borderId="0" xfId="1" applyAlignment="1" applyProtection="1">
      <alignment horizontal="left" wrapText="1" indent="1"/>
    </xf>
    <xf numFmtId="0" fontId="13" fillId="0" borderId="0" xfId="0" applyFont="1" applyAlignment="1">
      <alignment wrapText="1"/>
    </xf>
    <xf numFmtId="0" fontId="37" fillId="0" borderId="6" xfId="0" applyFont="1" applyBorder="1" applyAlignment="1">
      <alignment horizontal="left" wrapText="1"/>
    </xf>
    <xf numFmtId="0" fontId="0" fillId="3" borderId="0" xfId="0" applyFill="1"/>
    <xf numFmtId="0" fontId="41" fillId="0" borderId="0" xfId="0" applyFont="1" applyAlignment="1">
      <alignment horizontal="center" vertical="center"/>
    </xf>
    <xf numFmtId="0" fontId="43" fillId="0" borderId="0" xfId="0" applyFont="1"/>
    <xf numFmtId="0" fontId="44" fillId="0" borderId="0" xfId="0" applyFont="1" applyAlignment="1">
      <alignment wrapText="1"/>
    </xf>
    <xf numFmtId="0" fontId="46" fillId="0" borderId="6" xfId="0" applyFont="1" applyBorder="1" applyAlignment="1">
      <alignment horizontal="left" wrapText="1"/>
    </xf>
    <xf numFmtId="0" fontId="44" fillId="0" borderId="0" xfId="0" applyFont="1"/>
    <xf numFmtId="0" fontId="48" fillId="0" borderId="0" xfId="0" applyFont="1"/>
    <xf numFmtId="0" fontId="49" fillId="0" borderId="0" xfId="0" applyFont="1"/>
    <xf numFmtId="0" fontId="52" fillId="0" borderId="0" xfId="0" applyFont="1" applyAlignment="1">
      <alignment horizontal="justify"/>
    </xf>
    <xf numFmtId="0" fontId="53" fillId="0" borderId="0" xfId="0" applyFont="1"/>
    <xf numFmtId="0" fontId="0" fillId="0" borderId="0" xfId="0" applyAlignment="1">
      <alignment wrapText="1"/>
    </xf>
    <xf numFmtId="0" fontId="54" fillId="0" borderId="0" xfId="0" applyFont="1" applyAlignment="1">
      <alignment wrapText="1"/>
    </xf>
    <xf numFmtId="0" fontId="55" fillId="0" borderId="0" xfId="0" applyFont="1"/>
    <xf numFmtId="0" fontId="56" fillId="0" borderId="0" xfId="0" applyFont="1" applyAlignment="1">
      <alignment wrapText="1"/>
    </xf>
    <xf numFmtId="0" fontId="0" fillId="0" borderId="0" xfId="0"/>
    <xf numFmtId="0" fontId="58" fillId="0" borderId="0" xfId="0" applyFont="1" applyAlignment="1">
      <alignment wrapText="1"/>
    </xf>
    <xf numFmtId="0" fontId="59" fillId="0" borderId="0" xfId="0" applyFont="1"/>
    <xf numFmtId="0" fontId="59" fillId="0" borderId="0" xfId="0" applyFont="1" applyAlignment="1">
      <alignment wrapText="1"/>
    </xf>
    <xf numFmtId="0" fontId="0" fillId="0" borderId="0" xfId="0" applyAlignment="1">
      <alignment horizontal="left" wrapText="1" indent="1"/>
    </xf>
    <xf numFmtId="0" fontId="59" fillId="0" borderId="0" xfId="0" applyFont="1" applyAlignment="1">
      <alignment horizontal="left" wrapText="1" indent="1"/>
    </xf>
    <xf numFmtId="0" fontId="56" fillId="0" borderId="0" xfId="0" applyFont="1" applyAlignment="1">
      <alignment wrapText="1"/>
    </xf>
    <xf numFmtId="0" fontId="57" fillId="0" borderId="0" xfId="0" applyFont="1" applyAlignment="1">
      <alignment horizontal="center" wrapText="1"/>
    </xf>
    <xf numFmtId="0" fontId="0" fillId="0" borderId="0" xfId="0"/>
    <xf numFmtId="0" fontId="62" fillId="5" borderId="0" xfId="0" applyFont="1" applyFill="1" applyAlignment="1">
      <alignment horizontal="center" vertical="top" wrapText="1"/>
    </xf>
    <xf numFmtId="0" fontId="60" fillId="0" borderId="0" xfId="0" applyFont="1" applyAlignment="1">
      <alignment horizontal="center" vertical="top" wrapText="1"/>
    </xf>
    <xf numFmtId="0" fontId="0" fillId="0" borderId="0" xfId="0" applyAlignment="1">
      <alignment horizontal="center"/>
    </xf>
    <xf numFmtId="0" fontId="59" fillId="0" borderId="0" xfId="0" applyFont="1" applyAlignment="1">
      <alignment horizontal="center" wrapText="1"/>
    </xf>
    <xf numFmtId="0" fontId="56" fillId="0" borderId="0" xfId="0" applyFont="1" applyAlignment="1">
      <alignment wrapText="1"/>
    </xf>
    <xf numFmtId="0" fontId="57" fillId="0" borderId="0" xfId="0" applyFont="1" applyAlignment="1">
      <alignment horizontal="center" wrapText="1"/>
    </xf>
    <xf numFmtId="0" fontId="0" fillId="0" borderId="0" xfId="0"/>
    <xf numFmtId="0" fontId="64" fillId="0" borderId="0" xfId="0" applyFont="1"/>
    <xf numFmtId="0" fontId="67" fillId="0" borderId="0" xfId="0" applyFont="1"/>
    <xf numFmtId="0" fontId="0" fillId="0" borderId="0" xfId="0" applyAlignment="1">
      <alignment horizontal="left" indent="1"/>
    </xf>
    <xf numFmtId="0" fontId="65" fillId="0" borderId="0" xfId="0" applyFont="1"/>
    <xf numFmtId="0" fontId="65" fillId="0" borderId="0" xfId="0" applyFont="1" applyAlignment="1">
      <alignment horizontal="left" indent="1"/>
    </xf>
    <xf numFmtId="0" fontId="64" fillId="0" borderId="0" xfId="0" applyFont="1" applyAlignment="1">
      <alignment horizontal="left" indent="1"/>
    </xf>
    <xf numFmtId="0" fontId="0" fillId="0" borderId="6" xfId="0" applyBorder="1"/>
    <xf numFmtId="0" fontId="57" fillId="0" borderId="0" xfId="0" applyFont="1" applyAlignment="1">
      <alignment horizontal="left" indent="4"/>
    </xf>
    <xf numFmtId="0" fontId="66" fillId="0" borderId="0" xfId="0" applyFont="1"/>
    <xf numFmtId="0" fontId="57" fillId="0" borderId="0" xfId="0" applyFont="1" applyAlignment="1">
      <alignment horizontal="left" wrapText="1" indent="4"/>
    </xf>
    <xf numFmtId="0" fontId="57" fillId="0" borderId="0" xfId="0" applyFont="1" applyAlignment="1">
      <alignment wrapText="1"/>
    </xf>
    <xf numFmtId="0" fontId="57" fillId="0" borderId="0" xfId="0" applyFont="1" applyAlignment="1">
      <alignment horizontal="left" wrapText="1" indent="4"/>
    </xf>
    <xf numFmtId="0" fontId="57" fillId="0" borderId="0" xfId="0" applyFont="1" applyAlignment="1">
      <alignment wrapText="1"/>
    </xf>
    <xf numFmtId="0" fontId="74" fillId="0" borderId="0" xfId="0" applyFont="1" applyAlignment="1">
      <alignment horizontal="center" wrapText="1"/>
    </xf>
    <xf numFmtId="0" fontId="0" fillId="0" borderId="9" xfId="0" applyBorder="1"/>
    <xf numFmtId="0" fontId="57" fillId="0" borderId="0" xfId="0" applyFont="1" applyAlignment="1">
      <alignment horizontal="left" indent="1"/>
    </xf>
    <xf numFmtId="0" fontId="57" fillId="0" borderId="0" xfId="0" applyFont="1" applyAlignment="1">
      <alignment horizontal="left" indent="10"/>
    </xf>
    <xf numFmtId="0" fontId="62" fillId="0" borderId="0" xfId="0" applyFont="1"/>
    <xf numFmtId="0" fontId="68" fillId="0" borderId="0" xfId="0" applyFont="1"/>
    <xf numFmtId="0" fontId="0" fillId="0" borderId="0" xfId="0" applyAlignment="1">
      <alignment horizontal="center"/>
    </xf>
    <xf numFmtId="0" fontId="0" fillId="0" borderId="8" xfId="0" applyBorder="1" applyAlignment="1"/>
    <xf numFmtId="0" fontId="0" fillId="0" borderId="0" xfId="0" applyAlignment="1"/>
    <xf numFmtId="0" fontId="0" fillId="0" borderId="0" xfId="0" applyAlignment="1">
      <alignment horizontal="center"/>
    </xf>
    <xf numFmtId="0" fontId="57" fillId="0" borderId="0" xfId="0" applyFont="1" applyAlignment="1">
      <alignment horizontal="center" wrapText="1"/>
    </xf>
    <xf numFmtId="0" fontId="77" fillId="0" borderId="0" xfId="0" applyFont="1"/>
    <xf numFmtId="0" fontId="56" fillId="0" borderId="0" xfId="0" applyFont="1" applyAlignment="1">
      <alignment wrapText="1"/>
    </xf>
    <xf numFmtId="0" fontId="0" fillId="0" borderId="0" xfId="0" applyAlignment="1">
      <alignment horizontal="center"/>
    </xf>
    <xf numFmtId="0" fontId="57" fillId="0" borderId="0" xfId="0" applyFont="1" applyAlignment="1">
      <alignment wrapText="1"/>
    </xf>
    <xf numFmtId="0" fontId="57" fillId="0" borderId="0" xfId="0" applyFont="1" applyAlignment="1">
      <alignment horizontal="left" wrapText="1" indent="4"/>
    </xf>
    <xf numFmtId="0" fontId="0" fillId="0" borderId="0" xfId="0"/>
    <xf numFmtId="0" fontId="57" fillId="0" borderId="0" xfId="0" applyFont="1" applyAlignment="1">
      <alignment horizontal="center" wrapText="1"/>
    </xf>
    <xf numFmtId="0" fontId="56" fillId="0" borderId="0" xfId="0" applyFont="1" applyAlignment="1">
      <alignment wrapText="1"/>
    </xf>
    <xf numFmtId="0" fontId="0" fillId="0" borderId="0" xfId="0" applyAlignment="1">
      <alignment horizontal="center"/>
    </xf>
    <xf numFmtId="0" fontId="57" fillId="0" borderId="0" xfId="0" applyFont="1" applyAlignment="1">
      <alignment wrapText="1"/>
    </xf>
    <xf numFmtId="0" fontId="0" fillId="0" borderId="0" xfId="0"/>
    <xf numFmtId="0" fontId="57" fillId="0" borderId="0" xfId="0" applyFont="1" applyAlignment="1">
      <alignment horizontal="left" wrapText="1" indent="4"/>
    </xf>
    <xf numFmtId="0" fontId="78" fillId="0" borderId="0" xfId="0" applyFont="1"/>
    <xf numFmtId="0" fontId="79" fillId="0" borderId="0" xfId="0" applyFont="1"/>
    <xf numFmtId="0" fontId="57" fillId="0" borderId="0" xfId="0" applyFont="1" applyAlignment="1">
      <alignment horizontal="center" wrapText="1"/>
    </xf>
    <xf numFmtId="0" fontId="56" fillId="0" borderId="0" xfId="0" applyFont="1" applyAlignment="1">
      <alignment wrapText="1"/>
    </xf>
    <xf numFmtId="0" fontId="0" fillId="0" borderId="0" xfId="0" applyAlignment="1">
      <alignment horizontal="center"/>
    </xf>
    <xf numFmtId="0" fontId="57" fillId="0" borderId="0" xfId="0" applyFont="1" applyAlignment="1">
      <alignment wrapText="1"/>
    </xf>
    <xf numFmtId="0" fontId="57" fillId="0" borderId="0" xfId="0" applyFont="1" applyAlignment="1">
      <alignment horizontal="left" wrapText="1" indent="4"/>
    </xf>
    <xf numFmtId="0" fontId="0" fillId="0" borderId="0" xfId="0"/>
    <xf numFmtId="0" fontId="56" fillId="0" borderId="0" xfId="0" applyFont="1" applyAlignment="1">
      <alignment wrapText="1"/>
    </xf>
    <xf numFmtId="0" fontId="57" fillId="0" borderId="0" xfId="0" applyFont="1" applyAlignment="1">
      <alignment horizontal="center" wrapText="1"/>
    </xf>
    <xf numFmtId="0" fontId="0" fillId="0" borderId="0" xfId="0"/>
    <xf numFmtId="0" fontId="57" fillId="0" borderId="0" xfId="0" applyFont="1" applyAlignment="1">
      <alignment horizontal="left" wrapText="1" indent="4"/>
    </xf>
    <xf numFmtId="0" fontId="57" fillId="0" borderId="0" xfId="0" applyFont="1" applyAlignment="1">
      <alignment wrapText="1"/>
    </xf>
    <xf numFmtId="0" fontId="0" fillId="0" borderId="0" xfId="0" applyAlignment="1">
      <alignment horizontal="center"/>
    </xf>
    <xf numFmtId="0" fontId="80" fillId="0" borderId="0" xfId="0" applyFont="1" applyAlignment="1">
      <alignment horizontal="center"/>
    </xf>
    <xf numFmtId="0" fontId="82" fillId="0" borderId="0" xfId="0" applyFont="1"/>
    <xf numFmtId="0" fontId="25" fillId="0" borderId="0" xfId="0" applyFont="1" applyAlignment="1">
      <alignment wrapText="1"/>
    </xf>
    <xf numFmtId="0" fontId="82" fillId="0" borderId="0" xfId="0" applyFont="1" applyAlignment="1">
      <alignment horizontal="justify" wrapText="1"/>
    </xf>
    <xf numFmtId="0" fontId="82" fillId="0" borderId="0" xfId="0" applyFont="1" applyAlignment="1">
      <alignment horizontal="left" wrapText="1" indent="1"/>
    </xf>
    <xf numFmtId="0" fontId="83" fillId="0" borderId="0" xfId="0" applyFont="1"/>
    <xf numFmtId="0" fontId="84" fillId="0" borderId="0" xfId="0" applyFont="1" applyAlignment="1">
      <alignment wrapText="1"/>
    </xf>
    <xf numFmtId="0" fontId="82" fillId="0" borderId="0" xfId="0" applyFont="1" applyAlignment="1">
      <alignment horizontal="center" wrapText="1"/>
    </xf>
    <xf numFmtId="0" fontId="84" fillId="0" borderId="0" xfId="0" applyFont="1" applyAlignment="1">
      <alignment horizontal="justify" wrapText="1"/>
    </xf>
    <xf numFmtId="0" fontId="88" fillId="6" borderId="0" xfId="0" applyFont="1" applyFill="1" applyAlignment="1">
      <alignment horizontal="center" wrapText="1"/>
    </xf>
    <xf numFmtId="0" fontId="86" fillId="0" borderId="0" xfId="0" applyFont="1" applyAlignment="1">
      <alignment wrapText="1"/>
    </xf>
    <xf numFmtId="0" fontId="88" fillId="0" borderId="0" xfId="0" applyFont="1" applyAlignment="1">
      <alignment wrapText="1"/>
    </xf>
    <xf numFmtId="0" fontId="87" fillId="0" borderId="0" xfId="0" applyFont="1" applyAlignment="1">
      <alignment wrapText="1"/>
    </xf>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19" fontId="93" fillId="3" borderId="0" xfId="0" applyNumberFormat="1" applyFont="1" applyFill="1" applyAlignment="1">
      <alignment horizontal="center"/>
    </xf>
    <xf numFmtId="0" fontId="0" fillId="0" borderId="0" xfId="0"/>
    <xf numFmtId="165" fontId="20" fillId="3" borderId="0" xfId="0" applyNumberFormat="1" applyFont="1" applyFill="1"/>
    <xf numFmtId="0" fontId="0" fillId="0" borderId="0" xfId="0"/>
    <xf numFmtId="0" fontId="77" fillId="0" borderId="0" xfId="0" applyFont="1"/>
    <xf numFmtId="0" fontId="0" fillId="0" borderId="0" xfId="0"/>
    <xf numFmtId="0" fontId="94" fillId="7" borderId="0" xfId="0" applyFont="1" applyFill="1"/>
    <xf numFmtId="165" fontId="94" fillId="7" borderId="0" xfId="0" applyNumberFormat="1" applyFont="1" applyFill="1"/>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0" xfId="0"/>
    <xf numFmtId="0" fontId="96" fillId="8" borderId="0" xfId="0" applyFont="1" applyFill="1" applyAlignment="1">
      <alignment horizontal="center"/>
    </xf>
    <xf numFmtId="0" fontId="97" fillId="9" borderId="0" xfId="0" applyFont="1" applyFill="1" applyAlignment="1">
      <alignment horizontal="center"/>
    </xf>
    <xf numFmtId="0" fontId="98" fillId="10" borderId="0" xfId="0" applyFont="1" applyFill="1" applyAlignment="1">
      <alignment horizontal="center"/>
    </xf>
    <xf numFmtId="0" fontId="93" fillId="11" borderId="0" xfId="0" applyFont="1" applyFill="1"/>
    <xf numFmtId="0" fontId="100" fillId="11" borderId="0" xfId="0" applyFont="1" applyFill="1"/>
    <xf numFmtId="21" fontId="101" fillId="11" borderId="0" xfId="0" applyNumberFormat="1" applyFont="1" applyFill="1"/>
    <xf numFmtId="0" fontId="0" fillId="0" borderId="0" xfId="0" applyAlignment="1">
      <alignment horizontal="center" vertical="center"/>
    </xf>
    <xf numFmtId="0" fontId="0" fillId="0" borderId="0" xfId="0" applyAlignment="1">
      <alignment vertical="center"/>
    </xf>
    <xf numFmtId="21" fontId="99" fillId="7" borderId="0" xfId="0" applyNumberFormat="1" applyFont="1" applyFill="1" applyAlignment="1">
      <alignment horizontal="center" vertical="center"/>
    </xf>
    <xf numFmtId="0" fontId="97" fillId="10" borderId="0" xfId="0" applyFont="1" applyFill="1" applyAlignment="1">
      <alignment horizontal="center"/>
    </xf>
    <xf numFmtId="0" fontId="102" fillId="0" borderId="0" xfId="0" applyFont="1"/>
    <xf numFmtId="0" fontId="103" fillId="13" borderId="0" xfId="0" applyFont="1" applyFill="1" applyAlignment="1">
      <alignment horizontal="center"/>
    </xf>
    <xf numFmtId="0" fontId="104" fillId="13" borderId="0" xfId="0" applyFont="1" applyFill="1" applyAlignment="1">
      <alignment horizontal="center"/>
    </xf>
    <xf numFmtId="21" fontId="20" fillId="3" borderId="0" xfId="0" applyNumberFormat="1" applyFont="1" applyFill="1" applyAlignment="1">
      <alignment horizontal="center"/>
    </xf>
    <xf numFmtId="21" fontId="20" fillId="3" borderId="0" xfId="0" applyNumberFormat="1" applyFont="1" applyFill="1" applyAlignment="1">
      <alignment horizontal="center" vertical="center"/>
    </xf>
    <xf numFmtId="19" fontId="93" fillId="12" borderId="0" xfId="0" applyNumberFormat="1" applyFont="1" applyFill="1" applyAlignment="1">
      <alignment horizontal="center"/>
    </xf>
    <xf numFmtId="19" fontId="95" fillId="7" borderId="0" xfId="0" applyNumberFormat="1" applyFont="1" applyFill="1" applyAlignment="1">
      <alignment horizontal="center" vertical="center"/>
    </xf>
    <xf numFmtId="19" fontId="105" fillId="3" borderId="0" xfId="0" applyNumberFormat="1" applyFont="1" applyFill="1" applyAlignment="1">
      <alignment horizontal="center" vertical="center"/>
    </xf>
    <xf numFmtId="0" fontId="0" fillId="0" borderId="0" xfId="0"/>
    <xf numFmtId="0" fontId="0" fillId="0" borderId="0" xfId="0" applyAlignment="1">
      <alignment horizontal="center"/>
    </xf>
    <xf numFmtId="0" fontId="106" fillId="14" borderId="0" xfId="0" applyFont="1" applyFill="1"/>
    <xf numFmtId="0" fontId="0" fillId="0" borderId="0" xfId="0"/>
    <xf numFmtId="0" fontId="0" fillId="0" borderId="0" xfId="0" applyAlignment="1">
      <alignment horizontal="center"/>
    </xf>
    <xf numFmtId="0" fontId="19" fillId="3" borderId="0" xfId="0" applyFont="1" applyFill="1" applyAlignment="1">
      <alignment horizontal="center"/>
    </xf>
    <xf numFmtId="0" fontId="19" fillId="15" borderId="0" xfId="0" applyFont="1" applyFill="1" applyAlignment="1">
      <alignment horizontal="center"/>
    </xf>
    <xf numFmtId="0" fontId="0" fillId="12" borderId="0" xfId="0" applyFill="1" applyAlignment="1">
      <alignment horizontal="center"/>
    </xf>
    <xf numFmtId="0" fontId="0" fillId="11" borderId="0" xfId="0" applyFill="1" applyAlignment="1">
      <alignment horizontal="center"/>
    </xf>
    <xf numFmtId="0" fontId="0" fillId="16" borderId="0" xfId="0" applyFill="1"/>
    <xf numFmtId="0" fontId="0" fillId="16" borderId="0" xfId="0" applyFill="1" applyAlignment="1">
      <alignment horizontal="center"/>
    </xf>
    <xf numFmtId="0" fontId="107" fillId="17" borderId="0" xfId="0" applyFont="1" applyFill="1" applyAlignment="1">
      <alignment horizontal="center"/>
    </xf>
    <xf numFmtId="0" fontId="108" fillId="11" borderId="0" xfId="0" applyFont="1" applyFill="1" applyAlignment="1">
      <alignment horizontal="center"/>
    </xf>
    <xf numFmtId="0" fontId="0" fillId="0" borderId="0" xfId="0"/>
    <xf numFmtId="0" fontId="0" fillId="3" borderId="0" xfId="0" applyFill="1" applyAlignment="1">
      <alignment horizontal="center"/>
    </xf>
    <xf numFmtId="0" fontId="5" fillId="2" borderId="0" xfId="0" applyFont="1" applyFill="1" applyAlignment="1">
      <alignment wrapText="1"/>
    </xf>
    <xf numFmtId="0" fontId="61" fillId="0" borderId="0" xfId="0" applyFont="1" applyAlignment="1">
      <alignment horizontal="center" vertical="top" wrapText="1"/>
    </xf>
    <xf numFmtId="0" fontId="56" fillId="0" borderId="0" xfId="0" applyFont="1" applyAlignment="1">
      <alignment wrapText="1"/>
    </xf>
    <xf numFmtId="0" fontId="57" fillId="0" borderId="0" xfId="0" applyFont="1" applyAlignment="1">
      <alignment horizontal="left" wrapText="1" indent="4"/>
    </xf>
    <xf numFmtId="0" fontId="57" fillId="0" borderId="0" xfId="0" applyFont="1" applyAlignment="1">
      <alignment horizontal="center" wrapText="1"/>
    </xf>
    <xf numFmtId="0" fontId="0" fillId="0" borderId="8" xfId="0" applyBorder="1"/>
    <xf numFmtId="0" fontId="0" fillId="0" borderId="0" xfId="0"/>
    <xf numFmtId="0" fontId="57" fillId="0" borderId="0" xfId="0" applyFont="1" applyAlignment="1">
      <alignment wrapText="1"/>
    </xf>
    <xf numFmtId="0" fontId="89" fillId="0" borderId="0" xfId="0" applyFont="1" applyAlignment="1">
      <alignment horizontal="center" wrapText="1"/>
    </xf>
    <xf numFmtId="0" fontId="29" fillId="0" borderId="0" xfId="0" applyFont="1" applyAlignment="1">
      <alignment horizontal="center" wrapText="1"/>
    </xf>
    <xf numFmtId="0" fontId="17" fillId="0" borderId="0" xfId="0" applyFont="1" applyAlignment="1">
      <alignment vertical="top" wrapText="1"/>
    </xf>
    <xf numFmtId="0" fontId="77" fillId="0" borderId="0" xfId="0" applyFont="1"/>
    <xf numFmtId="0" fontId="0" fillId="0" borderId="7" xfId="0" applyBorder="1" applyAlignment="1">
      <alignment horizontal="center"/>
    </xf>
    <xf numFmtId="0" fontId="0" fillId="0" borderId="0" xfId="0" applyAlignment="1">
      <alignment horizontal="center"/>
    </xf>
    <xf numFmtId="0" fontId="2" fillId="4" borderId="2" xfId="0" applyFont="1" applyFill="1" applyBorder="1" applyAlignment="1">
      <alignment horizontal="center" wrapText="1"/>
    </xf>
    <xf numFmtId="0" fontId="2" fillId="4" borderId="4" xfId="0" applyFont="1" applyFill="1" applyBorder="1" applyAlignment="1">
      <alignment horizontal="center" wrapText="1"/>
    </xf>
    <xf numFmtId="0" fontId="2" fillId="4" borderId="3" xfId="0" applyFont="1" applyFill="1" applyBorder="1" applyAlignment="1">
      <alignment wrapText="1"/>
    </xf>
    <xf numFmtId="0" fontId="2" fillId="4" borderId="5"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praytimes.org/wiki/File:Twilight-formula.gif" TargetMode="External"/></Relationships>
</file>

<file path=xl/drawings/_rels/drawing10.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1.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2.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3.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4.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5.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5.gif"/><Relationship Id="rId2" Type="http://schemas.openxmlformats.org/officeDocument/2006/relationships/image" Target="../media/image8.gif"/><Relationship Id="rId1" Type="http://schemas.openxmlformats.org/officeDocument/2006/relationships/image" Target="../media/image6.gif"/><Relationship Id="rId6" Type="http://schemas.openxmlformats.org/officeDocument/2006/relationships/image" Target="../media/image11.gif"/><Relationship Id="rId5" Type="http://schemas.openxmlformats.org/officeDocument/2006/relationships/image" Target="../media/image10.gif"/><Relationship Id="rId4" Type="http://schemas.openxmlformats.org/officeDocument/2006/relationships/image" Target="../media/image9.gif"/></Relationships>
</file>

<file path=xl/drawings/_rels/drawing16.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7.emf"/></Relationships>
</file>

<file path=xl/drawings/_rels/drawing18.xml.rels><?xml version="1.0" encoding="UTF-8" standalone="yes"?>
<Relationships xmlns="http://schemas.openxmlformats.org/package/2006/relationships"><Relationship Id="rId3" Type="http://schemas.openxmlformats.org/officeDocument/2006/relationships/image" Target="../media/image40.emf"/><Relationship Id="rId2" Type="http://schemas.openxmlformats.org/officeDocument/2006/relationships/image" Target="../media/image39.emf"/><Relationship Id="rId1" Type="http://schemas.openxmlformats.org/officeDocument/2006/relationships/image" Target="../media/image38.emf"/></Relationships>
</file>

<file path=xl/drawings/_rels/drawing19.xml.rels><?xml version="1.0" encoding="UTF-8" standalone="yes"?>
<Relationships xmlns="http://schemas.openxmlformats.org/package/2006/relationships"><Relationship Id="rId8" Type="http://schemas.openxmlformats.org/officeDocument/2006/relationships/image" Target="../media/image48.emf"/><Relationship Id="rId3" Type="http://schemas.openxmlformats.org/officeDocument/2006/relationships/image" Target="../media/image43.emf"/><Relationship Id="rId7" Type="http://schemas.openxmlformats.org/officeDocument/2006/relationships/image" Target="../media/image47.emf"/><Relationship Id="rId2" Type="http://schemas.openxmlformats.org/officeDocument/2006/relationships/image" Target="../media/image42.emf"/><Relationship Id="rId1" Type="http://schemas.openxmlformats.org/officeDocument/2006/relationships/image" Target="../media/image41.emf"/><Relationship Id="rId6" Type="http://schemas.openxmlformats.org/officeDocument/2006/relationships/image" Target="../media/image46.emf"/><Relationship Id="rId5" Type="http://schemas.openxmlformats.org/officeDocument/2006/relationships/image" Target="../media/image45.emf"/><Relationship Id="rId4" Type="http://schemas.openxmlformats.org/officeDocument/2006/relationships/image" Target="../media/image44.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image" Target="../media/image51.emf"/><Relationship Id="rId7" Type="http://schemas.openxmlformats.org/officeDocument/2006/relationships/image" Target="../media/image55.emf"/><Relationship Id="rId2" Type="http://schemas.openxmlformats.org/officeDocument/2006/relationships/image" Target="../media/image50.emf"/><Relationship Id="rId1" Type="http://schemas.openxmlformats.org/officeDocument/2006/relationships/image" Target="../media/image49.emf"/><Relationship Id="rId6" Type="http://schemas.openxmlformats.org/officeDocument/2006/relationships/image" Target="../media/image54.emf"/><Relationship Id="rId5" Type="http://schemas.openxmlformats.org/officeDocument/2006/relationships/image" Target="../media/image53.emf"/><Relationship Id="rId4" Type="http://schemas.openxmlformats.org/officeDocument/2006/relationships/image" Target="../media/image52.emf"/></Relationships>
</file>

<file path=xl/drawings/_rels/drawing21.x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56.emf"/><Relationship Id="rId4" Type="http://schemas.openxmlformats.org/officeDocument/2006/relationships/image" Target="../media/image59.emf"/></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gif"/><Relationship Id="rId7" Type="http://schemas.openxmlformats.org/officeDocument/2006/relationships/image" Target="../media/image11.gif"/><Relationship Id="rId2" Type="http://schemas.openxmlformats.org/officeDocument/2006/relationships/image" Target="../media/image6.gif"/><Relationship Id="rId1" Type="http://schemas.openxmlformats.org/officeDocument/2006/relationships/image" Target="../media/image5.gif"/><Relationship Id="rId6" Type="http://schemas.openxmlformats.org/officeDocument/2006/relationships/image" Target="../media/image10.gif"/><Relationship Id="rId5" Type="http://schemas.openxmlformats.org/officeDocument/2006/relationships/image" Target="../media/image9.gif"/><Relationship Id="rId4" Type="http://schemas.openxmlformats.org/officeDocument/2006/relationships/image" Target="../media/image8.gif"/></Relationships>
</file>

<file path=xl/drawings/_rels/drawing5.xml.rels><?xml version="1.0" encoding="UTF-8" standalone="yes"?>
<Relationships xmlns="http://schemas.openxmlformats.org/package/2006/relationships"><Relationship Id="rId8" Type="http://schemas.openxmlformats.org/officeDocument/2006/relationships/image" Target="../media/image5.gif"/><Relationship Id="rId13" Type="http://schemas.openxmlformats.org/officeDocument/2006/relationships/image" Target="../media/image16.gif"/><Relationship Id="rId3" Type="http://schemas.openxmlformats.org/officeDocument/2006/relationships/image" Target="../media/image8.gif"/><Relationship Id="rId7" Type="http://schemas.openxmlformats.org/officeDocument/2006/relationships/image" Target="../media/image11.gif"/><Relationship Id="rId12" Type="http://schemas.openxmlformats.org/officeDocument/2006/relationships/hyperlink" Target="http://xoomer.virgilio.it/vtomezzo/sunriset/formulas/algorythms.html#Beginning" TargetMode="External"/><Relationship Id="rId2" Type="http://schemas.openxmlformats.org/officeDocument/2006/relationships/image" Target="../media/image6.gif"/><Relationship Id="rId1" Type="http://schemas.openxmlformats.org/officeDocument/2006/relationships/image" Target="../media/image12.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0" Type="http://schemas.openxmlformats.org/officeDocument/2006/relationships/image" Target="../media/image14.gif"/><Relationship Id="rId4" Type="http://schemas.openxmlformats.org/officeDocument/2006/relationships/image" Target="../media/image7.gif"/><Relationship Id="rId9" Type="http://schemas.openxmlformats.org/officeDocument/2006/relationships/image" Target="../media/image13.gif"/></Relationships>
</file>

<file path=xl/drawings/_rels/drawing6.xml.rels><?xml version="1.0" encoding="UTF-8" standalone="yes"?>
<Relationships xmlns="http://schemas.openxmlformats.org/package/2006/relationships"><Relationship Id="rId2" Type="http://schemas.openxmlformats.org/officeDocument/2006/relationships/image" Target="../media/image17.gif"/><Relationship Id="rId1" Type="http://schemas.openxmlformats.org/officeDocument/2006/relationships/hyperlink" Target="http://131.173.116.141/PV-Anlage/sunrise/sunrise_en.html#back"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18.gif"/></Relationships>
</file>

<file path=xl/drawings/_rels/drawing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praytimes.org/wiki/File:Twilight-formula.gif"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7</xdr:col>
      <xdr:colOff>382270</xdr:colOff>
      <xdr:row>7</xdr:row>
      <xdr:rowOff>35560</xdr:rowOff>
    </xdr:to>
    <xdr:pic>
      <xdr:nvPicPr>
        <xdr:cNvPr id="2" name="Picture 1" descr="Twilight Formula">
          <a:hlinkClick xmlns:r="http://schemas.openxmlformats.org/officeDocument/2006/relationships" r:id="rId1" tooltip="&quot;Twilight Formula&quot;"/>
        </xdr:cNvPr>
        <xdr:cNvPicPr/>
      </xdr:nvPicPr>
      <xdr:blipFill>
        <a:blip xmlns:r="http://schemas.openxmlformats.org/officeDocument/2006/relationships" r:embed="rId2" cstate="print"/>
        <a:srcRect/>
        <a:stretch>
          <a:fillRect/>
        </a:stretch>
      </xdr:blipFill>
      <xdr:spPr bwMode="auto">
        <a:xfrm>
          <a:off x="1828800" y="914400"/>
          <a:ext cx="3125470" cy="40132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2" name="Rectangle 1"/>
        <xdr:cNvSpPr>
          <a:spLocks noChangeArrowheads="1"/>
        </xdr:cNvSpPr>
      </xdr:nvSpPr>
      <xdr:spPr bwMode="auto">
        <a:xfrm>
          <a:off x="4419600" y="1859280"/>
          <a:ext cx="225552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0" y="7018020"/>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865620" y="7018020"/>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547860"/>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924300" y="954786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6865620" y="9509760"/>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9917430"/>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86200" y="9815079"/>
          <a:ext cx="171450" cy="22617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6865620" y="9898380"/>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865620" y="10081260"/>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0" y="10447020"/>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86200" y="10447020"/>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6865620" y="10447020"/>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0" y="1083564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305300" y="1086421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05662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0" y="1156716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229100" y="1198054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229100" y="1218247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9342120" y="1362646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10111740" y="1360741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903845" y="13818870"/>
          <a:ext cx="104775" cy="12573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580120" y="13828395"/>
          <a:ext cx="85725" cy="13525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10387965" y="14752320"/>
          <a:ext cx="114300" cy="9525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2" name="Rectangle 1"/>
        <xdr:cNvSpPr>
          <a:spLocks noChangeArrowheads="1"/>
        </xdr:cNvSpPr>
      </xdr:nvSpPr>
      <xdr:spPr bwMode="auto">
        <a:xfrm>
          <a:off x="4381500" y="1931670"/>
          <a:ext cx="190500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0" y="7267575"/>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7267575"/>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867900"/>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86200" y="986790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6477000" y="9829800"/>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10239375"/>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48100" y="10129404"/>
          <a:ext cx="171450" cy="23379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6477000" y="10220325"/>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10410825"/>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0" y="10791825"/>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48100" y="10791825"/>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6477000" y="10791825"/>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0" y="1118235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29100" y="1141095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0" y="1194435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37297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58252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8953500" y="1408747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9648825" y="1406842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515225" y="14287500"/>
          <a:ext cx="104775" cy="13335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191500" y="14297025"/>
          <a:ext cx="85725" cy="14287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9925050" y="15259050"/>
          <a:ext cx="114300" cy="9525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2" name="Rectangle 1"/>
        <xdr:cNvSpPr>
          <a:spLocks noChangeArrowheads="1"/>
        </xdr:cNvSpPr>
      </xdr:nvSpPr>
      <xdr:spPr bwMode="auto">
        <a:xfrm>
          <a:off x="4381500" y="1931670"/>
          <a:ext cx="220980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0" y="7267575"/>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781800" y="7267575"/>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867900"/>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86200" y="986790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6781800" y="9829800"/>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10239375"/>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48100" y="10129404"/>
          <a:ext cx="171450" cy="23379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6781800" y="10220325"/>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781800" y="10410825"/>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0" y="10791825"/>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48100" y="10791825"/>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6781800" y="10791825"/>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0" y="1118235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29100" y="1141095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0" y="1194435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37297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58252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9258300" y="1408747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9953625" y="1406842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820025" y="14287500"/>
          <a:ext cx="104775" cy="13335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496300" y="14297025"/>
          <a:ext cx="85725" cy="14287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10229850" y="15259050"/>
          <a:ext cx="114300" cy="9525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1025" name="Rectangle 1"/>
        <xdr:cNvSpPr>
          <a:spLocks noChangeArrowheads="1"/>
        </xdr:cNvSpPr>
      </xdr:nvSpPr>
      <xdr:spPr bwMode="auto">
        <a:xfrm>
          <a:off x="4419600" y="2011680"/>
          <a:ext cx="172974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4267200" y="16859250"/>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4267200" y="17049750"/>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477375"/>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86200" y="986790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4267200" y="23402925"/>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10239375"/>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48100" y="10129404"/>
          <a:ext cx="171450" cy="23379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4267200" y="23983950"/>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4267200" y="24174450"/>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4555450"/>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48100" y="10601325"/>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4936450"/>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2592705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29100" y="1141095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267200" y="2687955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37297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58252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8953500" y="1408747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515225" y="14287500"/>
          <a:ext cx="104775" cy="13335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191500" y="14297025"/>
          <a:ext cx="85725" cy="14287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9925050" y="15259050"/>
          <a:ext cx="114300" cy="95250"/>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2" name="Rectangle 1"/>
        <xdr:cNvSpPr>
          <a:spLocks noChangeArrowheads="1"/>
        </xdr:cNvSpPr>
      </xdr:nvSpPr>
      <xdr:spPr bwMode="auto">
        <a:xfrm>
          <a:off x="4381500" y="1931670"/>
          <a:ext cx="190500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0" y="7267575"/>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7267575"/>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867900"/>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86200" y="986790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6477000" y="9829800"/>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10239375"/>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48100" y="10129404"/>
          <a:ext cx="171450" cy="23379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6477000" y="10220325"/>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10410825"/>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0" y="10791825"/>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48100" y="10791825"/>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6477000" y="10791825"/>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0" y="1118235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29100" y="1141095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0" y="1194435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37297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58252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8953500" y="1408747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9648825" y="1406842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515225" y="14287500"/>
          <a:ext cx="104775" cy="13335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191500" y="14297025"/>
          <a:ext cx="85725" cy="14287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9925050" y="15259050"/>
          <a:ext cx="114300" cy="9525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533400</xdr:colOff>
      <xdr:row>10</xdr:row>
      <xdr:rowOff>7620</xdr:rowOff>
    </xdr:from>
    <xdr:to>
      <xdr:col>7</xdr:col>
      <xdr:colOff>419100</xdr:colOff>
      <xdr:row>10</xdr:row>
      <xdr:rowOff>91440</xdr:rowOff>
    </xdr:to>
    <xdr:sp macro="" textlink="">
      <xdr:nvSpPr>
        <xdr:cNvPr id="2" name="Rectangle 1"/>
        <xdr:cNvSpPr>
          <a:spLocks noChangeArrowheads="1"/>
        </xdr:cNvSpPr>
      </xdr:nvSpPr>
      <xdr:spPr bwMode="auto">
        <a:xfrm>
          <a:off x="4381500" y="1931670"/>
          <a:ext cx="1905000" cy="83820"/>
        </a:xfrm>
        <a:prstGeom prst="rect">
          <a:avLst/>
        </a:prstGeom>
        <a:solidFill>
          <a:srgbClr val="0000FF"/>
        </a:solidFill>
        <a:ln w="9525">
          <a:noFill/>
          <a:miter lim="800000"/>
          <a:headEnd/>
          <a:tailEnd/>
        </a:ln>
      </xdr:spPr>
    </xdr:sp>
    <xdr:clientData/>
  </xdr:twoCellAnchor>
  <xdr:twoCellAnchor>
    <xdr:from>
      <xdr:col>0</xdr:col>
      <xdr:colOff>0</xdr:colOff>
      <xdr:row>37</xdr:row>
      <xdr:rowOff>0</xdr:rowOff>
    </xdr:from>
    <xdr:to>
      <xdr:col>0</xdr:col>
      <xdr:colOff>142875</xdr:colOff>
      <xdr:row>37</xdr:row>
      <xdr:rowOff>142875</xdr:rowOff>
    </xdr:to>
    <xdr:pic>
      <xdr:nvPicPr>
        <xdr:cNvPr id="3" name="Picture 10"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0" y="7267575"/>
          <a:ext cx="142875" cy="142875"/>
        </a:xfrm>
        <a:prstGeom prst="rect">
          <a:avLst/>
        </a:prstGeom>
        <a:noFill/>
      </xdr:spPr>
    </xdr:pic>
    <xdr:clientData/>
  </xdr:twoCellAnchor>
  <xdr:twoCellAnchor>
    <xdr:from>
      <xdr:col>8</xdr:col>
      <xdr:colOff>0</xdr:colOff>
      <xdr:row>37</xdr:row>
      <xdr:rowOff>0</xdr:rowOff>
    </xdr:from>
    <xdr:to>
      <xdr:col>8</xdr:col>
      <xdr:colOff>142875</xdr:colOff>
      <xdr:row>37</xdr:row>
      <xdr:rowOff>142875</xdr:rowOff>
    </xdr:to>
    <xdr:pic>
      <xdr:nvPicPr>
        <xdr:cNvPr id="4" name="Picture 11"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7267575"/>
          <a:ext cx="142875" cy="142875"/>
        </a:xfrm>
        <a:prstGeom prst="rect">
          <a:avLst/>
        </a:prstGeom>
        <a:noFill/>
      </xdr:spPr>
    </xdr:pic>
    <xdr:clientData/>
  </xdr:twoCellAnchor>
  <xdr:twoCellAnchor>
    <xdr:from>
      <xdr:col>0</xdr:col>
      <xdr:colOff>38100</xdr:colOff>
      <xdr:row>50</xdr:row>
      <xdr:rowOff>38100</xdr:rowOff>
    </xdr:from>
    <xdr:to>
      <xdr:col>0</xdr:col>
      <xdr:colOff>180975</xdr:colOff>
      <xdr:row>50</xdr:row>
      <xdr:rowOff>171450</xdr:rowOff>
    </xdr:to>
    <xdr:pic>
      <xdr:nvPicPr>
        <xdr:cNvPr id="5"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100" y="9867900"/>
          <a:ext cx="142875" cy="133350"/>
        </a:xfrm>
        <a:prstGeom prst="rect">
          <a:avLst/>
        </a:prstGeom>
        <a:noFill/>
      </xdr:spPr>
    </xdr:pic>
    <xdr:clientData/>
  </xdr:twoCellAnchor>
  <xdr:twoCellAnchor>
    <xdr:from>
      <xdr:col>5</xdr:col>
      <xdr:colOff>38100</xdr:colOff>
      <xdr:row>50</xdr:row>
      <xdr:rowOff>38100</xdr:rowOff>
    </xdr:from>
    <xdr:to>
      <xdr:col>5</xdr:col>
      <xdr:colOff>180975</xdr:colOff>
      <xdr:row>50</xdr:row>
      <xdr:rowOff>171450</xdr:rowOff>
    </xdr:to>
    <xdr:pic>
      <xdr:nvPicPr>
        <xdr:cNvPr id="6" name="Picture 14"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3886200" y="9867900"/>
          <a:ext cx="142875" cy="133350"/>
        </a:xfrm>
        <a:prstGeom prst="rect">
          <a:avLst/>
        </a:prstGeom>
        <a:noFill/>
      </xdr:spPr>
    </xdr:pic>
    <xdr:clientData/>
  </xdr:twoCellAnchor>
  <xdr:twoCellAnchor>
    <xdr:from>
      <xdr:col>8</xdr:col>
      <xdr:colOff>0</xdr:colOff>
      <xdr:row>50</xdr:row>
      <xdr:rowOff>0</xdr:rowOff>
    </xdr:from>
    <xdr:to>
      <xdr:col>8</xdr:col>
      <xdr:colOff>142875</xdr:colOff>
      <xdr:row>50</xdr:row>
      <xdr:rowOff>133350</xdr:rowOff>
    </xdr:to>
    <xdr:pic>
      <xdr:nvPicPr>
        <xdr:cNvPr id="7" name="Picture 15" descr="http://xoomer.virgilio.it/vtomezzo/sunriset/formulas/o.gif"/>
        <xdr:cNvPicPr>
          <a:picLocks noChangeAspect="1" noChangeArrowheads="1"/>
        </xdr:cNvPicPr>
      </xdr:nvPicPr>
      <xdr:blipFill>
        <a:blip xmlns:r="http://schemas.openxmlformats.org/officeDocument/2006/relationships" r:embed="rId2" cstate="print"/>
        <a:srcRect/>
        <a:stretch>
          <a:fillRect/>
        </a:stretch>
      </xdr:blipFill>
      <xdr:spPr bwMode="auto">
        <a:xfrm>
          <a:off x="6477000" y="9829800"/>
          <a:ext cx="142875" cy="133350"/>
        </a:xfrm>
        <a:prstGeom prst="rect">
          <a:avLst/>
        </a:prstGeom>
        <a:noFill/>
      </xdr:spPr>
    </xdr:pic>
    <xdr:clientData/>
  </xdr:twoCellAnchor>
  <xdr:twoCellAnchor>
    <xdr:from>
      <xdr:col>0</xdr:col>
      <xdr:colOff>171450</xdr:colOff>
      <xdr:row>52</xdr:row>
      <xdr:rowOff>19050</xdr:rowOff>
    </xdr:from>
    <xdr:to>
      <xdr:col>0</xdr:col>
      <xdr:colOff>276225</xdr:colOff>
      <xdr:row>52</xdr:row>
      <xdr:rowOff>161925</xdr:rowOff>
    </xdr:to>
    <xdr:pic>
      <xdr:nvPicPr>
        <xdr:cNvPr id="8"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171450" y="10239375"/>
          <a:ext cx="104775" cy="142875"/>
        </a:xfrm>
        <a:prstGeom prst="rect">
          <a:avLst/>
        </a:prstGeom>
        <a:noFill/>
      </xdr:spPr>
    </xdr:pic>
    <xdr:clientData/>
  </xdr:twoCellAnchor>
  <xdr:twoCellAnchor>
    <xdr:from>
      <xdr:col>5</xdr:col>
      <xdr:colOff>0</xdr:colOff>
      <xdr:row>51</xdr:row>
      <xdr:rowOff>99579</xdr:rowOff>
    </xdr:from>
    <xdr:to>
      <xdr:col>5</xdr:col>
      <xdr:colOff>171450</xdr:colOff>
      <xdr:row>52</xdr:row>
      <xdr:rowOff>142875</xdr:rowOff>
    </xdr:to>
    <xdr:pic>
      <xdr:nvPicPr>
        <xdr:cNvPr id="9" name="Picture 16"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3848100" y="10129404"/>
          <a:ext cx="171450" cy="233796"/>
        </a:xfrm>
        <a:prstGeom prst="rect">
          <a:avLst/>
        </a:prstGeom>
        <a:noFill/>
      </xdr:spPr>
    </xdr:pic>
    <xdr:clientData/>
  </xdr:twoCellAnchor>
  <xdr:twoCellAnchor>
    <xdr:from>
      <xdr:col>8</xdr:col>
      <xdr:colOff>0</xdr:colOff>
      <xdr:row>52</xdr:row>
      <xdr:rowOff>0</xdr:rowOff>
    </xdr:from>
    <xdr:to>
      <xdr:col>8</xdr:col>
      <xdr:colOff>104775</xdr:colOff>
      <xdr:row>52</xdr:row>
      <xdr:rowOff>142875</xdr:rowOff>
    </xdr:to>
    <xdr:pic>
      <xdr:nvPicPr>
        <xdr:cNvPr id="10" name="Picture 17"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6477000" y="10220325"/>
          <a:ext cx="104775" cy="142875"/>
        </a:xfrm>
        <a:prstGeom prst="rect">
          <a:avLst/>
        </a:prstGeom>
        <a:noFill/>
      </xdr:spPr>
    </xdr:pic>
    <xdr:clientData/>
  </xdr:twoCellAnchor>
  <xdr:twoCellAnchor>
    <xdr:from>
      <xdr:col>8</xdr:col>
      <xdr:colOff>0</xdr:colOff>
      <xdr:row>53</xdr:row>
      <xdr:rowOff>0</xdr:rowOff>
    </xdr:from>
    <xdr:to>
      <xdr:col>8</xdr:col>
      <xdr:colOff>142875</xdr:colOff>
      <xdr:row>53</xdr:row>
      <xdr:rowOff>161925</xdr:rowOff>
    </xdr:to>
    <xdr:pic>
      <xdr:nvPicPr>
        <xdr:cNvPr id="11" name="Picture 18" descr="http://xoomer.virgilio.it/vtomezzo/sunriset/formulas/tl.gif"/>
        <xdr:cNvPicPr>
          <a:picLocks noChangeAspect="1" noChangeArrowheads="1"/>
        </xdr:cNvPicPr>
      </xdr:nvPicPr>
      <xdr:blipFill>
        <a:blip xmlns:r="http://schemas.openxmlformats.org/officeDocument/2006/relationships" r:embed="rId1" cstate="print"/>
        <a:srcRect/>
        <a:stretch>
          <a:fillRect/>
        </a:stretch>
      </xdr:blipFill>
      <xdr:spPr bwMode="auto">
        <a:xfrm>
          <a:off x="6477000" y="10410825"/>
          <a:ext cx="142875" cy="161925"/>
        </a:xfrm>
        <a:prstGeom prst="rect">
          <a:avLst/>
        </a:prstGeom>
        <a:noFill/>
      </xdr:spPr>
    </xdr:pic>
    <xdr:clientData/>
  </xdr:twoCellAnchor>
  <xdr:twoCellAnchor>
    <xdr:from>
      <xdr:col>0</xdr:col>
      <xdr:colOff>0</xdr:colOff>
      <xdr:row>55</xdr:row>
      <xdr:rowOff>0</xdr:rowOff>
    </xdr:from>
    <xdr:to>
      <xdr:col>0</xdr:col>
      <xdr:colOff>95250</xdr:colOff>
      <xdr:row>55</xdr:row>
      <xdr:rowOff>123825</xdr:rowOff>
    </xdr:to>
    <xdr:pic>
      <xdr:nvPicPr>
        <xdr:cNvPr id="12"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0" y="10791825"/>
          <a:ext cx="95250" cy="123825"/>
        </a:xfrm>
        <a:prstGeom prst="rect">
          <a:avLst/>
        </a:prstGeom>
        <a:noFill/>
      </xdr:spPr>
    </xdr:pic>
    <xdr:clientData/>
  </xdr:twoCellAnchor>
  <xdr:twoCellAnchor>
    <xdr:from>
      <xdr:col>5</xdr:col>
      <xdr:colOff>0</xdr:colOff>
      <xdr:row>55</xdr:row>
      <xdr:rowOff>0</xdr:rowOff>
    </xdr:from>
    <xdr:to>
      <xdr:col>5</xdr:col>
      <xdr:colOff>95250</xdr:colOff>
      <xdr:row>55</xdr:row>
      <xdr:rowOff>123825</xdr:rowOff>
    </xdr:to>
    <xdr:pic>
      <xdr:nvPicPr>
        <xdr:cNvPr id="13" name="Picture 20"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3848100" y="10791825"/>
          <a:ext cx="95250" cy="123825"/>
        </a:xfrm>
        <a:prstGeom prst="rect">
          <a:avLst/>
        </a:prstGeom>
        <a:noFill/>
      </xdr:spPr>
    </xdr:pic>
    <xdr:clientData/>
  </xdr:twoCellAnchor>
  <xdr:twoCellAnchor>
    <xdr:from>
      <xdr:col>8</xdr:col>
      <xdr:colOff>0</xdr:colOff>
      <xdr:row>55</xdr:row>
      <xdr:rowOff>0</xdr:rowOff>
    </xdr:from>
    <xdr:to>
      <xdr:col>8</xdr:col>
      <xdr:colOff>95250</xdr:colOff>
      <xdr:row>55</xdr:row>
      <xdr:rowOff>123825</xdr:rowOff>
    </xdr:to>
    <xdr:pic>
      <xdr:nvPicPr>
        <xdr:cNvPr id="14" name="Picture 21" descr="http://xoomer.virgilio.it/vtomezzo/sunriset/formulas/e.gif"/>
        <xdr:cNvPicPr>
          <a:picLocks noChangeAspect="1" noChangeArrowheads="1"/>
        </xdr:cNvPicPr>
      </xdr:nvPicPr>
      <xdr:blipFill>
        <a:blip xmlns:r="http://schemas.openxmlformats.org/officeDocument/2006/relationships" r:embed="rId4" cstate="print"/>
        <a:srcRect/>
        <a:stretch>
          <a:fillRect/>
        </a:stretch>
      </xdr:blipFill>
      <xdr:spPr bwMode="auto">
        <a:xfrm>
          <a:off x="6477000" y="10791825"/>
          <a:ext cx="95250" cy="123825"/>
        </a:xfrm>
        <a:prstGeom prst="rect">
          <a:avLst/>
        </a:prstGeom>
        <a:noFill/>
      </xdr:spPr>
    </xdr:pic>
    <xdr:clientData/>
  </xdr:twoCellAnchor>
  <xdr:twoCellAnchor>
    <xdr:from>
      <xdr:col>0</xdr:col>
      <xdr:colOff>0</xdr:colOff>
      <xdr:row>57</xdr:row>
      <xdr:rowOff>0</xdr:rowOff>
    </xdr:from>
    <xdr:to>
      <xdr:col>0</xdr:col>
      <xdr:colOff>85725</xdr:colOff>
      <xdr:row>57</xdr:row>
      <xdr:rowOff>142875</xdr:rowOff>
    </xdr:to>
    <xdr:pic>
      <xdr:nvPicPr>
        <xdr:cNvPr id="15"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0" y="11182350"/>
          <a:ext cx="85725" cy="142875"/>
        </a:xfrm>
        <a:prstGeom prst="rect">
          <a:avLst/>
        </a:prstGeom>
        <a:noFill/>
      </xdr:spPr>
    </xdr:pic>
    <xdr:clientData/>
  </xdr:twoCellAnchor>
  <xdr:twoCellAnchor>
    <xdr:from>
      <xdr:col>5</xdr:col>
      <xdr:colOff>419100</xdr:colOff>
      <xdr:row>57</xdr:row>
      <xdr:rowOff>28575</xdr:rowOff>
    </xdr:from>
    <xdr:to>
      <xdr:col>5</xdr:col>
      <xdr:colOff>504825</xdr:colOff>
      <xdr:row>57</xdr:row>
      <xdr:rowOff>171450</xdr:rowOff>
    </xdr:to>
    <xdr:pic>
      <xdr:nvPicPr>
        <xdr:cNvPr id="16"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11210925"/>
          <a:ext cx="85725" cy="142875"/>
        </a:xfrm>
        <a:prstGeom prst="rect">
          <a:avLst/>
        </a:prstGeom>
        <a:noFill/>
      </xdr:spPr>
    </xdr:pic>
    <xdr:clientData/>
  </xdr:twoCellAnchor>
  <xdr:twoCellAnchor>
    <xdr:from>
      <xdr:col>5</xdr:col>
      <xdr:colOff>381000</xdr:colOff>
      <xdr:row>58</xdr:row>
      <xdr:rowOff>38100</xdr:rowOff>
    </xdr:from>
    <xdr:to>
      <xdr:col>5</xdr:col>
      <xdr:colOff>466725</xdr:colOff>
      <xdr:row>58</xdr:row>
      <xdr:rowOff>180975</xdr:rowOff>
    </xdr:to>
    <xdr:pic>
      <xdr:nvPicPr>
        <xdr:cNvPr id="17"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4229100" y="11410950"/>
          <a:ext cx="85725" cy="142875"/>
        </a:xfrm>
        <a:prstGeom prst="rect">
          <a:avLst/>
        </a:prstGeom>
        <a:noFill/>
      </xdr:spPr>
    </xdr:pic>
    <xdr:clientData/>
  </xdr:twoCellAnchor>
  <xdr:twoCellAnchor>
    <xdr:from>
      <xdr:col>0</xdr:col>
      <xdr:colOff>0</xdr:colOff>
      <xdr:row>61</xdr:row>
      <xdr:rowOff>0</xdr:rowOff>
    </xdr:from>
    <xdr:to>
      <xdr:col>0</xdr:col>
      <xdr:colOff>114300</xdr:colOff>
      <xdr:row>61</xdr:row>
      <xdr:rowOff>95250</xdr:rowOff>
    </xdr:to>
    <xdr:pic>
      <xdr:nvPicPr>
        <xdr:cNvPr id="18"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0" y="11944350"/>
          <a:ext cx="114300" cy="95250"/>
        </a:xfrm>
        <a:prstGeom prst="rect">
          <a:avLst/>
        </a:prstGeom>
        <a:noFill/>
      </xdr:spPr>
    </xdr:pic>
    <xdr:clientData/>
  </xdr:twoCellAnchor>
  <xdr:twoCellAnchor>
    <xdr:from>
      <xdr:col>5</xdr:col>
      <xdr:colOff>342900</xdr:colOff>
      <xdr:row>63</xdr:row>
      <xdr:rowOff>47625</xdr:rowOff>
    </xdr:from>
    <xdr:to>
      <xdr:col>5</xdr:col>
      <xdr:colOff>457200</xdr:colOff>
      <xdr:row>63</xdr:row>
      <xdr:rowOff>142875</xdr:rowOff>
    </xdr:to>
    <xdr:pic>
      <xdr:nvPicPr>
        <xdr:cNvPr id="19"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372975"/>
          <a:ext cx="114300" cy="95250"/>
        </a:xfrm>
        <a:prstGeom prst="rect">
          <a:avLst/>
        </a:prstGeom>
        <a:noFill/>
      </xdr:spPr>
    </xdr:pic>
    <xdr:clientData/>
  </xdr:twoCellAnchor>
  <xdr:twoCellAnchor>
    <xdr:from>
      <xdr:col>5</xdr:col>
      <xdr:colOff>342900</xdr:colOff>
      <xdr:row>64</xdr:row>
      <xdr:rowOff>66675</xdr:rowOff>
    </xdr:from>
    <xdr:to>
      <xdr:col>5</xdr:col>
      <xdr:colOff>457200</xdr:colOff>
      <xdr:row>64</xdr:row>
      <xdr:rowOff>161925</xdr:rowOff>
    </xdr:to>
    <xdr:pic>
      <xdr:nvPicPr>
        <xdr:cNvPr id="20" name="Picture 27"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4191000" y="12582525"/>
          <a:ext cx="114300" cy="95250"/>
        </a:xfrm>
        <a:prstGeom prst="rect">
          <a:avLst/>
        </a:prstGeom>
        <a:noFill/>
      </xdr:spPr>
    </xdr:pic>
    <xdr:clientData/>
  </xdr:twoCellAnchor>
  <xdr:twoCellAnchor>
    <xdr:from>
      <xdr:col>8</xdr:col>
      <xdr:colOff>2476500</xdr:colOff>
      <xdr:row>72</xdr:row>
      <xdr:rowOff>47625</xdr:rowOff>
    </xdr:from>
    <xdr:to>
      <xdr:col>8</xdr:col>
      <xdr:colOff>2581275</xdr:colOff>
      <xdr:row>72</xdr:row>
      <xdr:rowOff>180975</xdr:rowOff>
    </xdr:to>
    <xdr:pic>
      <xdr:nvPicPr>
        <xdr:cNvPr id="21"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8953500" y="14087475"/>
          <a:ext cx="104775" cy="133350"/>
        </a:xfrm>
        <a:prstGeom prst="rect">
          <a:avLst/>
        </a:prstGeom>
        <a:noFill/>
      </xdr:spPr>
    </xdr:pic>
    <xdr:clientData/>
  </xdr:twoCellAnchor>
  <xdr:twoCellAnchor>
    <xdr:from>
      <xdr:col>9</xdr:col>
      <xdr:colOff>419100</xdr:colOff>
      <xdr:row>72</xdr:row>
      <xdr:rowOff>28575</xdr:rowOff>
    </xdr:from>
    <xdr:to>
      <xdr:col>9</xdr:col>
      <xdr:colOff>504825</xdr:colOff>
      <xdr:row>72</xdr:row>
      <xdr:rowOff>171450</xdr:rowOff>
    </xdr:to>
    <xdr:pic>
      <xdr:nvPicPr>
        <xdr:cNvPr id="22"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9648825" y="14068425"/>
          <a:ext cx="85725" cy="142875"/>
        </a:xfrm>
        <a:prstGeom prst="rect">
          <a:avLst/>
        </a:prstGeom>
        <a:noFill/>
      </xdr:spPr>
    </xdr:pic>
    <xdr:clientData/>
  </xdr:twoCellAnchor>
  <xdr:twoCellAnchor>
    <xdr:from>
      <xdr:col>8</xdr:col>
      <xdr:colOff>1038225</xdr:colOff>
      <xdr:row>73</xdr:row>
      <xdr:rowOff>57150</xdr:rowOff>
    </xdr:from>
    <xdr:to>
      <xdr:col>8</xdr:col>
      <xdr:colOff>1143000</xdr:colOff>
      <xdr:row>74</xdr:row>
      <xdr:rowOff>0</xdr:rowOff>
    </xdr:to>
    <xdr:pic>
      <xdr:nvPicPr>
        <xdr:cNvPr id="23" name="Picture 32" descr="http://xoomer.virgilio.it/vtomezzo/sunriset/formulas/la.gif"/>
        <xdr:cNvPicPr>
          <a:picLocks noChangeAspect="1" noChangeArrowheads="1"/>
        </xdr:cNvPicPr>
      </xdr:nvPicPr>
      <xdr:blipFill>
        <a:blip xmlns:r="http://schemas.openxmlformats.org/officeDocument/2006/relationships" r:embed="rId7" cstate="print"/>
        <a:srcRect/>
        <a:stretch>
          <a:fillRect/>
        </a:stretch>
      </xdr:blipFill>
      <xdr:spPr bwMode="auto">
        <a:xfrm>
          <a:off x="7515225" y="14287500"/>
          <a:ext cx="104775" cy="133350"/>
        </a:xfrm>
        <a:prstGeom prst="rect">
          <a:avLst/>
        </a:prstGeom>
        <a:noFill/>
      </xdr:spPr>
    </xdr:pic>
    <xdr:clientData/>
  </xdr:twoCellAnchor>
  <xdr:twoCellAnchor>
    <xdr:from>
      <xdr:col>8</xdr:col>
      <xdr:colOff>1714500</xdr:colOff>
      <xdr:row>73</xdr:row>
      <xdr:rowOff>66675</xdr:rowOff>
    </xdr:from>
    <xdr:to>
      <xdr:col>8</xdr:col>
      <xdr:colOff>1800225</xdr:colOff>
      <xdr:row>74</xdr:row>
      <xdr:rowOff>19050</xdr:rowOff>
    </xdr:to>
    <xdr:pic>
      <xdr:nvPicPr>
        <xdr:cNvPr id="24" name="Picture 23" descr="http://xoomer.virgilio.it/vtomezzo/sunriset/formulas/d.gif"/>
        <xdr:cNvPicPr>
          <a:picLocks noChangeAspect="1" noChangeArrowheads="1"/>
        </xdr:cNvPicPr>
      </xdr:nvPicPr>
      <xdr:blipFill>
        <a:blip xmlns:r="http://schemas.openxmlformats.org/officeDocument/2006/relationships" r:embed="rId5" cstate="print"/>
        <a:srcRect/>
        <a:stretch>
          <a:fillRect/>
        </a:stretch>
      </xdr:blipFill>
      <xdr:spPr bwMode="auto">
        <a:xfrm>
          <a:off x="8191500" y="14297025"/>
          <a:ext cx="85725" cy="142875"/>
        </a:xfrm>
        <a:prstGeom prst="rect">
          <a:avLst/>
        </a:prstGeom>
        <a:noFill/>
      </xdr:spPr>
    </xdr:pic>
    <xdr:clientData/>
  </xdr:twoCellAnchor>
  <xdr:twoCellAnchor>
    <xdr:from>
      <xdr:col>9</xdr:col>
      <xdr:colOff>695325</xdr:colOff>
      <xdr:row>78</xdr:row>
      <xdr:rowOff>76200</xdr:rowOff>
    </xdr:from>
    <xdr:to>
      <xdr:col>9</xdr:col>
      <xdr:colOff>809625</xdr:colOff>
      <xdr:row>78</xdr:row>
      <xdr:rowOff>171450</xdr:rowOff>
    </xdr:to>
    <xdr:pic>
      <xdr:nvPicPr>
        <xdr:cNvPr id="25" name="Picture 39" descr="http://xoomer.virgilio.it/vtomezzo/sunriset/formulas/a.gif"/>
        <xdr:cNvPicPr>
          <a:picLocks noChangeAspect="1" noChangeArrowheads="1"/>
        </xdr:cNvPicPr>
      </xdr:nvPicPr>
      <xdr:blipFill>
        <a:blip xmlns:r="http://schemas.openxmlformats.org/officeDocument/2006/relationships" r:embed="rId6" cstate="print"/>
        <a:srcRect/>
        <a:stretch>
          <a:fillRect/>
        </a:stretch>
      </xdr:blipFill>
      <xdr:spPr bwMode="auto">
        <a:xfrm>
          <a:off x="9925050" y="15259050"/>
          <a:ext cx="114300" cy="95250"/>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4152900</xdr:colOff>
      <xdr:row>2</xdr:row>
      <xdr:rowOff>53340</xdr:rowOff>
    </xdr:from>
    <xdr:to>
      <xdr:col>12</xdr:col>
      <xdr:colOff>99060</xdr:colOff>
      <xdr:row>2</xdr:row>
      <xdr:rowOff>480060</xdr:rowOff>
    </xdr:to>
    <xdr:pic>
      <xdr:nvPicPr>
        <xdr:cNvPr id="1057" name="Picture 33" descr="\cos \omega_o = \dfrac{\sin a - \sin \phi  \times \sin \delta}{\cos \phi \times \cos \delta }"/>
        <xdr:cNvPicPr>
          <a:picLocks noChangeAspect="1" noChangeArrowheads="1"/>
        </xdr:cNvPicPr>
      </xdr:nvPicPr>
      <xdr:blipFill>
        <a:blip xmlns:r="http://schemas.openxmlformats.org/officeDocument/2006/relationships" r:embed="rId1" cstate="print"/>
        <a:srcRect/>
        <a:stretch>
          <a:fillRect/>
        </a:stretch>
      </xdr:blipFill>
      <xdr:spPr bwMode="auto">
        <a:xfrm>
          <a:off x="10248900" y="426720"/>
          <a:ext cx="2278380" cy="426720"/>
        </a:xfrm>
        <a:prstGeom prst="rect">
          <a:avLst/>
        </a:prstGeom>
        <a:noFill/>
      </xdr:spPr>
    </xdr:pic>
    <xdr:clientData/>
  </xdr:twoCellAnchor>
  <xdr:twoCellAnchor editAs="oneCell">
    <xdr:from>
      <xdr:col>10</xdr:col>
      <xdr:colOff>0</xdr:colOff>
      <xdr:row>10</xdr:row>
      <xdr:rowOff>0</xdr:rowOff>
    </xdr:from>
    <xdr:to>
      <xdr:col>10</xdr:col>
      <xdr:colOff>2712720</xdr:colOff>
      <xdr:row>12</xdr:row>
      <xdr:rowOff>22860</xdr:rowOff>
    </xdr:to>
    <xdr:pic>
      <xdr:nvPicPr>
        <xdr:cNvPr id="1059" name="Picture 35" descr="n^{\star} = J_{date} - 2451545.0009 - \dfrac{l_w}{360^o}"/>
        <xdr:cNvPicPr>
          <a:picLocks noChangeAspect="1" noChangeArrowheads="1"/>
        </xdr:cNvPicPr>
      </xdr:nvPicPr>
      <xdr:blipFill>
        <a:blip xmlns:r="http://schemas.openxmlformats.org/officeDocument/2006/relationships" r:embed="rId2" cstate="print"/>
        <a:srcRect/>
        <a:stretch>
          <a:fillRect/>
        </a:stretch>
      </xdr:blipFill>
      <xdr:spPr bwMode="auto">
        <a:xfrm>
          <a:off x="6096000" y="3444240"/>
          <a:ext cx="2712720" cy="388620"/>
        </a:xfrm>
        <a:prstGeom prst="rect">
          <a:avLst/>
        </a:prstGeom>
        <a:noFill/>
      </xdr:spPr>
    </xdr:pic>
    <xdr:clientData/>
  </xdr:twoCellAnchor>
  <xdr:twoCellAnchor editAs="oneCell">
    <xdr:from>
      <xdr:col>11</xdr:col>
      <xdr:colOff>358140</xdr:colOff>
      <xdr:row>9</xdr:row>
      <xdr:rowOff>144780</xdr:rowOff>
    </xdr:from>
    <xdr:to>
      <xdr:col>11</xdr:col>
      <xdr:colOff>1417320</xdr:colOff>
      <xdr:row>12</xdr:row>
      <xdr:rowOff>0</xdr:rowOff>
    </xdr:to>
    <xdr:pic>
      <xdr:nvPicPr>
        <xdr:cNvPr id="1060" name="Picture 36" descr="n = \left \lfloor n^{\star} + \frac{1}{2} \right \rfloor "/>
        <xdr:cNvPicPr>
          <a:picLocks noChangeAspect="1" noChangeArrowheads="1"/>
        </xdr:cNvPicPr>
      </xdr:nvPicPr>
      <xdr:blipFill>
        <a:blip xmlns:r="http://schemas.openxmlformats.org/officeDocument/2006/relationships" r:embed="rId3" cstate="print"/>
        <a:srcRect/>
        <a:stretch>
          <a:fillRect/>
        </a:stretch>
      </xdr:blipFill>
      <xdr:spPr bwMode="auto">
        <a:xfrm>
          <a:off x="10645140" y="3406140"/>
          <a:ext cx="1059180" cy="403860"/>
        </a:xfrm>
        <a:prstGeom prst="rect">
          <a:avLst/>
        </a:prstGeom>
        <a:noFill/>
      </xdr:spPr>
    </xdr:pic>
    <xdr:clientData/>
  </xdr:twoCellAnchor>
  <xdr:twoCellAnchor editAs="oneCell">
    <xdr:from>
      <xdr:col>10</xdr:col>
      <xdr:colOff>0</xdr:colOff>
      <xdr:row>17</xdr:row>
      <xdr:rowOff>0</xdr:rowOff>
    </xdr:from>
    <xdr:to>
      <xdr:col>10</xdr:col>
      <xdr:colOff>2468880</xdr:colOff>
      <xdr:row>19</xdr:row>
      <xdr:rowOff>7620</xdr:rowOff>
    </xdr:to>
    <xdr:pic>
      <xdr:nvPicPr>
        <xdr:cNvPr id="1061" name="Picture 37" descr="J^{\star} = 2451545.0009 + \dfrac{l_w}{360^o} + n"/>
        <xdr:cNvPicPr>
          <a:picLocks noChangeAspect="1" noChangeArrowheads="1"/>
        </xdr:cNvPicPr>
      </xdr:nvPicPr>
      <xdr:blipFill>
        <a:blip xmlns:r="http://schemas.openxmlformats.org/officeDocument/2006/relationships" r:embed="rId4" cstate="print"/>
        <a:srcRect/>
        <a:stretch>
          <a:fillRect/>
        </a:stretch>
      </xdr:blipFill>
      <xdr:spPr bwMode="auto">
        <a:xfrm>
          <a:off x="6096000" y="4724400"/>
          <a:ext cx="2468880" cy="388620"/>
        </a:xfrm>
        <a:prstGeom prst="rect">
          <a:avLst/>
        </a:prstGeom>
        <a:noFill/>
      </xdr:spPr>
    </xdr:pic>
    <xdr:clientData/>
  </xdr:twoCellAnchor>
  <xdr:twoCellAnchor editAs="oneCell">
    <xdr:from>
      <xdr:col>10</xdr:col>
      <xdr:colOff>0</xdr:colOff>
      <xdr:row>19</xdr:row>
      <xdr:rowOff>0</xdr:rowOff>
    </xdr:from>
    <xdr:to>
      <xdr:col>10</xdr:col>
      <xdr:colOff>182880</xdr:colOff>
      <xdr:row>19</xdr:row>
      <xdr:rowOff>152400</xdr:rowOff>
    </xdr:to>
    <xdr:pic>
      <xdr:nvPicPr>
        <xdr:cNvPr id="1062" name="Picture 38" descr="J^{\star}"/>
        <xdr:cNvPicPr>
          <a:picLocks noChangeAspect="1" noChangeArrowheads="1"/>
        </xdr:cNvPicPr>
      </xdr:nvPicPr>
      <xdr:blipFill>
        <a:blip xmlns:r="http://schemas.openxmlformats.org/officeDocument/2006/relationships" r:embed="rId5" cstate="print"/>
        <a:srcRect/>
        <a:stretch>
          <a:fillRect/>
        </a:stretch>
      </xdr:blipFill>
      <xdr:spPr bwMode="auto">
        <a:xfrm>
          <a:off x="6096000" y="5090160"/>
          <a:ext cx="182880" cy="152400"/>
        </a:xfrm>
        <a:prstGeom prst="rect">
          <a:avLst/>
        </a:prstGeom>
        <a:noFill/>
      </xdr:spPr>
    </xdr:pic>
    <xdr:clientData/>
  </xdr:twoCellAnchor>
  <xdr:twoCellAnchor editAs="oneCell">
    <xdr:from>
      <xdr:col>10</xdr:col>
      <xdr:colOff>1851660</xdr:colOff>
      <xdr:row>19</xdr:row>
      <xdr:rowOff>45720</xdr:rowOff>
    </xdr:from>
    <xdr:to>
      <xdr:col>10</xdr:col>
      <xdr:colOff>2004060</xdr:colOff>
      <xdr:row>20</xdr:row>
      <xdr:rowOff>15240</xdr:rowOff>
    </xdr:to>
    <xdr:pic>
      <xdr:nvPicPr>
        <xdr:cNvPr id="1063" name="Picture 39" descr="l_w"/>
        <xdr:cNvPicPr>
          <a:picLocks noChangeAspect="1" noChangeArrowheads="1"/>
        </xdr:cNvPicPr>
      </xdr:nvPicPr>
      <xdr:blipFill>
        <a:blip xmlns:r="http://schemas.openxmlformats.org/officeDocument/2006/relationships" r:embed="rId6" cstate="print"/>
        <a:srcRect/>
        <a:stretch>
          <a:fillRect/>
        </a:stretch>
      </xdr:blipFill>
      <xdr:spPr bwMode="auto">
        <a:xfrm>
          <a:off x="7947660" y="5135880"/>
          <a:ext cx="152400" cy="160020"/>
        </a:xfrm>
        <a:prstGeom prst="rect">
          <a:avLst/>
        </a:prstGeom>
        <a:noFill/>
      </xdr:spPr>
    </xdr:pic>
    <xdr:clientData/>
  </xdr:twoCellAnchor>
  <xdr:twoCellAnchor editAs="oneCell">
    <xdr:from>
      <xdr:col>10</xdr:col>
      <xdr:colOff>0</xdr:colOff>
      <xdr:row>22</xdr:row>
      <xdr:rowOff>0</xdr:rowOff>
    </xdr:from>
    <xdr:to>
      <xdr:col>11</xdr:col>
      <xdr:colOff>525780</xdr:colOff>
      <xdr:row>23</xdr:row>
      <xdr:rowOff>7620</xdr:rowOff>
    </xdr:to>
    <xdr:pic>
      <xdr:nvPicPr>
        <xdr:cNvPr id="1064" name="Picture 40" descr="M = [357.5291 + 0.98560028 \times (J^{\star} - 2451545)]  \mod 360"/>
        <xdr:cNvPicPr>
          <a:picLocks noChangeAspect="1" noChangeArrowheads="1"/>
        </xdr:cNvPicPr>
      </xdr:nvPicPr>
      <xdr:blipFill>
        <a:blip xmlns:r="http://schemas.openxmlformats.org/officeDocument/2006/relationships" r:embed="rId7" cstate="print"/>
        <a:srcRect/>
        <a:stretch>
          <a:fillRect/>
        </a:stretch>
      </xdr:blipFill>
      <xdr:spPr bwMode="auto">
        <a:xfrm>
          <a:off x="6096000" y="5638800"/>
          <a:ext cx="4716780" cy="198120"/>
        </a:xfrm>
        <a:prstGeom prst="rect">
          <a:avLst/>
        </a:prstGeom>
        <a:noFill/>
      </xdr:spPr>
    </xdr:pic>
    <xdr:clientData/>
  </xdr:twoCellAnchor>
  <xdr:twoCellAnchor editAs="oneCell">
    <xdr:from>
      <xdr:col>10</xdr:col>
      <xdr:colOff>0</xdr:colOff>
      <xdr:row>26</xdr:row>
      <xdr:rowOff>0</xdr:rowOff>
    </xdr:from>
    <xdr:to>
      <xdr:col>11</xdr:col>
      <xdr:colOff>182880</xdr:colOff>
      <xdr:row>27</xdr:row>
      <xdr:rowOff>7620</xdr:rowOff>
    </xdr:to>
    <xdr:pic>
      <xdr:nvPicPr>
        <xdr:cNvPr id="1065" name="Picture 41" descr="C = 1.9148 \sin(M) + 0.0200 \sin(2  M) + 0.0003 \sin(3  M)"/>
        <xdr:cNvPicPr>
          <a:picLocks noChangeAspect="1" noChangeArrowheads="1"/>
        </xdr:cNvPicPr>
      </xdr:nvPicPr>
      <xdr:blipFill>
        <a:blip xmlns:r="http://schemas.openxmlformats.org/officeDocument/2006/relationships" r:embed="rId8" cstate="print"/>
        <a:srcRect/>
        <a:stretch>
          <a:fillRect/>
        </a:stretch>
      </xdr:blipFill>
      <xdr:spPr bwMode="auto">
        <a:xfrm>
          <a:off x="6096000" y="6370320"/>
          <a:ext cx="4373880" cy="198120"/>
        </a:xfrm>
        <a:prstGeom prst="rect">
          <a:avLst/>
        </a:prstGeom>
        <a:noFill/>
      </xdr:spPr>
    </xdr:pic>
    <xdr:clientData/>
  </xdr:twoCellAnchor>
  <xdr:twoCellAnchor editAs="oneCell">
    <xdr:from>
      <xdr:col>10</xdr:col>
      <xdr:colOff>0</xdr:colOff>
      <xdr:row>31</xdr:row>
      <xdr:rowOff>0</xdr:rowOff>
    </xdr:from>
    <xdr:to>
      <xdr:col>10</xdr:col>
      <xdr:colOff>3390900</xdr:colOff>
      <xdr:row>32</xdr:row>
      <xdr:rowOff>0</xdr:rowOff>
    </xdr:to>
    <xdr:pic>
      <xdr:nvPicPr>
        <xdr:cNvPr id="1066" name="Picture 42" descr="\lambda = (M + 102.9372 + C + 180) \mod 360"/>
        <xdr:cNvPicPr>
          <a:picLocks noChangeAspect="1" noChangeArrowheads="1"/>
        </xdr:cNvPicPr>
      </xdr:nvPicPr>
      <xdr:blipFill>
        <a:blip xmlns:r="http://schemas.openxmlformats.org/officeDocument/2006/relationships" r:embed="rId9" cstate="print"/>
        <a:srcRect/>
        <a:stretch>
          <a:fillRect/>
        </a:stretch>
      </xdr:blipFill>
      <xdr:spPr bwMode="auto">
        <a:xfrm>
          <a:off x="6096000" y="7101840"/>
          <a:ext cx="3390900" cy="198120"/>
        </a:xfrm>
        <a:prstGeom prst="rect">
          <a:avLst/>
        </a:prstGeom>
        <a:noFill/>
      </xdr:spPr>
    </xdr:pic>
    <xdr:clientData/>
  </xdr:twoCellAnchor>
  <xdr:twoCellAnchor editAs="oneCell">
    <xdr:from>
      <xdr:col>10</xdr:col>
      <xdr:colOff>0</xdr:colOff>
      <xdr:row>35</xdr:row>
      <xdr:rowOff>0</xdr:rowOff>
    </xdr:from>
    <xdr:to>
      <xdr:col>10</xdr:col>
      <xdr:colOff>3573780</xdr:colOff>
      <xdr:row>36</xdr:row>
      <xdr:rowOff>0</xdr:rowOff>
    </xdr:to>
    <xdr:pic>
      <xdr:nvPicPr>
        <xdr:cNvPr id="1067" name="Picture 43" descr="J_{transit} = J^{\star} + 0.0053 \sin M  - 0.0069  \sin \left( 2 \lambda \right) "/>
        <xdr:cNvPicPr>
          <a:picLocks noChangeAspect="1" noChangeArrowheads="1"/>
        </xdr:cNvPicPr>
      </xdr:nvPicPr>
      <xdr:blipFill>
        <a:blip xmlns:r="http://schemas.openxmlformats.org/officeDocument/2006/relationships" r:embed="rId10" cstate="print"/>
        <a:srcRect/>
        <a:stretch>
          <a:fillRect/>
        </a:stretch>
      </xdr:blipFill>
      <xdr:spPr bwMode="auto">
        <a:xfrm>
          <a:off x="6096000" y="7833360"/>
          <a:ext cx="3573780" cy="198120"/>
        </a:xfrm>
        <a:prstGeom prst="rect">
          <a:avLst/>
        </a:prstGeom>
        <a:noFill/>
      </xdr:spPr>
    </xdr:pic>
    <xdr:clientData/>
  </xdr:twoCellAnchor>
  <xdr:twoCellAnchor editAs="oneCell">
    <xdr:from>
      <xdr:col>10</xdr:col>
      <xdr:colOff>0</xdr:colOff>
      <xdr:row>39</xdr:row>
      <xdr:rowOff>0</xdr:rowOff>
    </xdr:from>
    <xdr:to>
      <xdr:col>10</xdr:col>
      <xdr:colOff>1950720</xdr:colOff>
      <xdr:row>39</xdr:row>
      <xdr:rowOff>152400</xdr:rowOff>
    </xdr:to>
    <xdr:pic>
      <xdr:nvPicPr>
        <xdr:cNvPr id="1068" name="Picture 44" descr="\sin \delta = \sin \lambda \times \sin 23.45^o "/>
        <xdr:cNvPicPr>
          <a:picLocks noChangeAspect="1" noChangeArrowheads="1"/>
        </xdr:cNvPicPr>
      </xdr:nvPicPr>
      <xdr:blipFill>
        <a:blip xmlns:r="http://schemas.openxmlformats.org/officeDocument/2006/relationships" r:embed="rId11" cstate="print"/>
        <a:srcRect/>
        <a:stretch>
          <a:fillRect/>
        </a:stretch>
      </xdr:blipFill>
      <xdr:spPr bwMode="auto">
        <a:xfrm>
          <a:off x="6096000" y="8564880"/>
          <a:ext cx="1950720" cy="152400"/>
        </a:xfrm>
        <a:prstGeom prst="rect">
          <a:avLst/>
        </a:prstGeom>
        <a:noFill/>
      </xdr:spPr>
    </xdr:pic>
    <xdr:clientData/>
  </xdr:twoCellAnchor>
  <xdr:twoCellAnchor editAs="oneCell">
    <xdr:from>
      <xdr:col>9</xdr:col>
      <xdr:colOff>495300</xdr:colOff>
      <xdr:row>43</xdr:row>
      <xdr:rowOff>152400</xdr:rowOff>
    </xdr:from>
    <xdr:to>
      <xdr:col>10</xdr:col>
      <xdr:colOff>2750820</xdr:colOff>
      <xdr:row>46</xdr:row>
      <xdr:rowOff>7620</xdr:rowOff>
    </xdr:to>
    <xdr:pic>
      <xdr:nvPicPr>
        <xdr:cNvPr id="1069" name="Picture 45" descr="\cos \omega_o = \dfrac{\sin(-0.83^o) - \sin \Phi \times \sin \delta}{\cos \Phi \times \cos \delta}"/>
        <xdr:cNvPicPr>
          <a:picLocks noChangeAspect="1" noChangeArrowheads="1"/>
        </xdr:cNvPicPr>
      </xdr:nvPicPr>
      <xdr:blipFill>
        <a:blip xmlns:r="http://schemas.openxmlformats.org/officeDocument/2006/relationships" r:embed="rId12" cstate="print"/>
        <a:srcRect/>
        <a:stretch>
          <a:fillRect/>
        </a:stretch>
      </xdr:blipFill>
      <xdr:spPr bwMode="auto">
        <a:xfrm>
          <a:off x="6743700" y="13754100"/>
          <a:ext cx="2865120" cy="419100"/>
        </a:xfrm>
        <a:prstGeom prst="rect">
          <a:avLst/>
        </a:prstGeom>
        <a:noFill/>
      </xdr:spPr>
    </xdr:pic>
    <xdr:clientData/>
  </xdr:twoCellAnchor>
  <xdr:twoCellAnchor editAs="oneCell">
    <xdr:from>
      <xdr:col>10</xdr:col>
      <xdr:colOff>0</xdr:colOff>
      <xdr:row>47</xdr:row>
      <xdr:rowOff>0</xdr:rowOff>
    </xdr:from>
    <xdr:to>
      <xdr:col>10</xdr:col>
      <xdr:colOff>114300</xdr:colOff>
      <xdr:row>47</xdr:row>
      <xdr:rowOff>152400</xdr:rowOff>
    </xdr:to>
    <xdr:pic>
      <xdr:nvPicPr>
        <xdr:cNvPr id="1070" name="Picture 46" descr="\Phi"/>
        <xdr:cNvPicPr>
          <a:picLocks noChangeAspect="1" noChangeArrowheads="1"/>
        </xdr:cNvPicPr>
      </xdr:nvPicPr>
      <xdr:blipFill>
        <a:blip xmlns:r="http://schemas.openxmlformats.org/officeDocument/2006/relationships" r:embed="rId13" cstate="print"/>
        <a:srcRect/>
        <a:stretch>
          <a:fillRect/>
        </a:stretch>
      </xdr:blipFill>
      <xdr:spPr bwMode="auto">
        <a:xfrm>
          <a:off x="6096000" y="10027920"/>
          <a:ext cx="114300" cy="152400"/>
        </a:xfrm>
        <a:prstGeom prst="rect">
          <a:avLst/>
        </a:prstGeom>
        <a:noFill/>
      </xdr:spPr>
    </xdr:pic>
    <xdr:clientData/>
  </xdr:twoCellAnchor>
  <xdr:twoCellAnchor editAs="oneCell">
    <xdr:from>
      <xdr:col>10</xdr:col>
      <xdr:colOff>7620</xdr:colOff>
      <xdr:row>52</xdr:row>
      <xdr:rowOff>160020</xdr:rowOff>
    </xdr:from>
    <xdr:to>
      <xdr:col>11</xdr:col>
      <xdr:colOff>1074420</xdr:colOff>
      <xdr:row>54</xdr:row>
      <xdr:rowOff>15240</xdr:rowOff>
    </xdr:to>
    <xdr:pic>
      <xdr:nvPicPr>
        <xdr:cNvPr id="1071" name="Picture 47" descr="J_{set} = 2451545.0009 + \dfrac{\omega_o + l_w}{360^o} + n + 0.0053  \sin M - 0.0069 \sin 2 \lambda"/>
        <xdr:cNvPicPr>
          <a:picLocks noChangeAspect="1" noChangeArrowheads="1"/>
        </xdr:cNvPicPr>
      </xdr:nvPicPr>
      <xdr:blipFill>
        <a:blip xmlns:r="http://schemas.openxmlformats.org/officeDocument/2006/relationships" r:embed="rId14" cstate="print"/>
        <a:srcRect/>
        <a:stretch>
          <a:fillRect/>
        </a:stretch>
      </xdr:blipFill>
      <xdr:spPr bwMode="auto">
        <a:xfrm>
          <a:off x="6865620" y="15742920"/>
          <a:ext cx="5257800" cy="388620"/>
        </a:xfrm>
        <a:prstGeom prst="rect">
          <a:avLst/>
        </a:prstGeom>
        <a:noFill/>
      </xdr:spPr>
    </xdr:pic>
    <xdr:clientData/>
  </xdr:twoCellAnchor>
  <xdr:twoCellAnchor editAs="oneCell">
    <xdr:from>
      <xdr:col>10</xdr:col>
      <xdr:colOff>0</xdr:colOff>
      <xdr:row>51</xdr:row>
      <xdr:rowOff>0</xdr:rowOff>
    </xdr:from>
    <xdr:to>
      <xdr:col>10</xdr:col>
      <xdr:colOff>2522220</xdr:colOff>
      <xdr:row>52</xdr:row>
      <xdr:rowOff>7620</xdr:rowOff>
    </xdr:to>
    <xdr:pic>
      <xdr:nvPicPr>
        <xdr:cNvPr id="1072" name="Picture 48" descr="J_{rise} = J_{transit} - \left( J_{set} - J_{transit} \right)"/>
        <xdr:cNvPicPr>
          <a:picLocks noChangeAspect="1" noChangeArrowheads="1"/>
        </xdr:cNvPicPr>
      </xdr:nvPicPr>
      <xdr:blipFill>
        <a:blip xmlns:r="http://schemas.openxmlformats.org/officeDocument/2006/relationships" r:embed="rId15" cstate="print"/>
        <a:srcRect/>
        <a:stretch>
          <a:fillRect/>
        </a:stretch>
      </xdr:blipFill>
      <xdr:spPr bwMode="auto">
        <a:xfrm>
          <a:off x="6096000" y="10759440"/>
          <a:ext cx="2522220" cy="198120"/>
        </a:xfrm>
        <a:prstGeom prst="rect">
          <a:avLst/>
        </a:prstGeom>
        <a:noFill/>
      </xdr:spPr>
    </xdr:pic>
    <xdr:clientData/>
  </xdr:twoCellAnchor>
  <xdr:twoCellAnchor editAs="oneCell">
    <xdr:from>
      <xdr:col>2</xdr:col>
      <xdr:colOff>30480</xdr:colOff>
      <xdr:row>19</xdr:row>
      <xdr:rowOff>160020</xdr:rowOff>
    </xdr:from>
    <xdr:to>
      <xdr:col>4</xdr:col>
      <xdr:colOff>731520</xdr:colOff>
      <xdr:row>21</xdr:row>
      <xdr:rowOff>15240</xdr:rowOff>
    </xdr:to>
    <xdr:pic>
      <xdr:nvPicPr>
        <xdr:cNvPr id="50" name="Picture 45" descr="\cos \omega_o = \dfrac{\sin(-0.83^o) - \sin \Phi \times \sin \delta}{\cos \Phi \times \cos \delta}"/>
        <xdr:cNvPicPr>
          <a:picLocks noChangeAspect="1" noChangeArrowheads="1"/>
        </xdr:cNvPicPr>
      </xdr:nvPicPr>
      <xdr:blipFill>
        <a:blip xmlns:r="http://schemas.openxmlformats.org/officeDocument/2006/relationships" r:embed="rId12" cstate="print"/>
        <a:srcRect/>
        <a:stretch>
          <a:fillRect/>
        </a:stretch>
      </xdr:blipFill>
      <xdr:spPr bwMode="auto">
        <a:xfrm>
          <a:off x="1249680" y="5280660"/>
          <a:ext cx="1920240" cy="251460"/>
        </a:xfrm>
        <a:prstGeom prst="rect">
          <a:avLst/>
        </a:prstGeom>
        <a:noFill/>
      </xdr:spPr>
    </xdr:pic>
    <xdr:clientData/>
  </xdr:twoCellAnchor>
  <xdr:twoCellAnchor editAs="oneCell">
    <xdr:from>
      <xdr:col>4</xdr:col>
      <xdr:colOff>312420</xdr:colOff>
      <xdr:row>28</xdr:row>
      <xdr:rowOff>160020</xdr:rowOff>
    </xdr:from>
    <xdr:to>
      <xdr:col>6</xdr:col>
      <xdr:colOff>601980</xdr:colOff>
      <xdr:row>29</xdr:row>
      <xdr:rowOff>175260</xdr:rowOff>
    </xdr:to>
    <xdr:pic>
      <xdr:nvPicPr>
        <xdr:cNvPr id="51" name="Picture 48" descr="J_{rise} = J_{transit} - \left( J_{set} - J_{transit} \right)"/>
        <xdr:cNvPicPr>
          <a:picLocks noChangeAspect="1" noChangeArrowheads="1"/>
        </xdr:cNvPicPr>
      </xdr:nvPicPr>
      <xdr:blipFill>
        <a:blip xmlns:r="http://schemas.openxmlformats.org/officeDocument/2006/relationships" r:embed="rId15" cstate="print"/>
        <a:srcRect/>
        <a:stretch>
          <a:fillRect/>
        </a:stretch>
      </xdr:blipFill>
      <xdr:spPr bwMode="auto">
        <a:xfrm>
          <a:off x="2750820" y="7109460"/>
          <a:ext cx="2522220" cy="198120"/>
        </a:xfrm>
        <a:prstGeom prst="rect">
          <a:avLst/>
        </a:prstGeom>
        <a:noFill/>
      </xdr:spPr>
    </xdr:pic>
    <xdr:clientData/>
  </xdr:twoCellAnchor>
  <xdr:twoCellAnchor editAs="oneCell">
    <xdr:from>
      <xdr:col>1</xdr:col>
      <xdr:colOff>396240</xdr:colOff>
      <xdr:row>22</xdr:row>
      <xdr:rowOff>68116</xdr:rowOff>
    </xdr:from>
    <xdr:to>
      <xdr:col>6</xdr:col>
      <xdr:colOff>449580</xdr:colOff>
      <xdr:row>23</xdr:row>
      <xdr:rowOff>182880</xdr:rowOff>
    </xdr:to>
    <xdr:pic>
      <xdr:nvPicPr>
        <xdr:cNvPr id="52" name="Picture 47" descr="J_{set} = 2451545.0009 + \dfrac{\omega_o + l_w}{360^o} + n + 0.0053  \sin M - 0.0069 \sin 2 \lambda"/>
        <xdr:cNvPicPr>
          <a:picLocks noChangeAspect="1" noChangeArrowheads="1"/>
        </xdr:cNvPicPr>
      </xdr:nvPicPr>
      <xdr:blipFill>
        <a:blip xmlns:r="http://schemas.openxmlformats.org/officeDocument/2006/relationships" r:embed="rId14" cstate="print"/>
        <a:srcRect/>
        <a:stretch>
          <a:fillRect/>
        </a:stretch>
      </xdr:blipFill>
      <xdr:spPr bwMode="auto">
        <a:xfrm>
          <a:off x="1005840" y="5760256"/>
          <a:ext cx="4130040" cy="305264"/>
        </a:xfrm>
        <a:prstGeom prst="rect">
          <a:avLst/>
        </a:prstGeom>
        <a:noFill/>
      </xdr:spPr>
    </xdr:pic>
    <xdr:clientData/>
  </xdr:twoCellAnchor>
  <xdr:twoCellAnchor editAs="oneCell">
    <xdr:from>
      <xdr:col>2</xdr:col>
      <xdr:colOff>0</xdr:colOff>
      <xdr:row>5</xdr:row>
      <xdr:rowOff>0</xdr:rowOff>
    </xdr:from>
    <xdr:to>
      <xdr:col>6</xdr:col>
      <xdr:colOff>106680</xdr:colOff>
      <xdr:row>6</xdr:row>
      <xdr:rowOff>7620</xdr:rowOff>
    </xdr:to>
    <xdr:pic>
      <xdr:nvPicPr>
        <xdr:cNvPr id="21" name="Picture 43" descr="J_{transit} = J^{\star} + 0.0053 \sin M  - 0.0069  \sin \left( 2 \lambda \right) "/>
        <xdr:cNvPicPr>
          <a:picLocks noChangeAspect="1" noChangeArrowheads="1"/>
        </xdr:cNvPicPr>
      </xdr:nvPicPr>
      <xdr:blipFill>
        <a:blip xmlns:r="http://schemas.openxmlformats.org/officeDocument/2006/relationships" r:embed="rId10" cstate="print"/>
        <a:srcRect/>
        <a:stretch>
          <a:fillRect/>
        </a:stretch>
      </xdr:blipFill>
      <xdr:spPr bwMode="auto">
        <a:xfrm>
          <a:off x="1219200" y="2019300"/>
          <a:ext cx="3573780" cy="19812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0</xdr:colOff>
      <xdr:row>0</xdr:row>
      <xdr:rowOff>9525</xdr:rowOff>
    </xdr:from>
    <xdr:to>
      <xdr:col>23</xdr:col>
      <xdr:colOff>333375</xdr:colOff>
      <xdr:row>15</xdr:row>
      <xdr:rowOff>93345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744075" y="9525"/>
          <a:ext cx="6429375" cy="3209925"/>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409575</xdr:colOff>
      <xdr:row>3</xdr:row>
      <xdr:rowOff>161925</xdr:rowOff>
    </xdr:from>
    <xdr:to>
      <xdr:col>19</xdr:col>
      <xdr:colOff>552450</xdr:colOff>
      <xdr:row>21</xdr:row>
      <xdr:rowOff>152400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05575" y="733425"/>
          <a:ext cx="5629275" cy="3505200"/>
        </a:xfrm>
        <a:prstGeom prst="rect">
          <a:avLst/>
        </a:prstGeom>
        <a:noFill/>
      </xdr:spPr>
    </xdr:pic>
    <xdr:clientData/>
  </xdr:twoCellAnchor>
  <xdr:twoCellAnchor editAs="oneCell">
    <xdr:from>
      <xdr:col>11</xdr:col>
      <xdr:colOff>0</xdr:colOff>
      <xdr:row>1</xdr:row>
      <xdr:rowOff>0</xdr:rowOff>
    </xdr:from>
    <xdr:to>
      <xdr:col>18</xdr:col>
      <xdr:colOff>447675</xdr:colOff>
      <xdr:row>4</xdr:row>
      <xdr:rowOff>13335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848475" y="190500"/>
          <a:ext cx="4714875" cy="600075"/>
        </a:xfrm>
        <a:prstGeom prst="rect">
          <a:avLst/>
        </a:prstGeom>
        <a:noFill/>
      </xdr:spPr>
    </xdr:pic>
    <xdr:clientData/>
  </xdr:twoCellAnchor>
  <xdr:twoCellAnchor editAs="oneCell">
    <xdr:from>
      <xdr:col>10</xdr:col>
      <xdr:colOff>579120</xdr:colOff>
      <xdr:row>23</xdr:row>
      <xdr:rowOff>49732</xdr:rowOff>
    </xdr:from>
    <xdr:to>
      <xdr:col>19</xdr:col>
      <xdr:colOff>533400</xdr:colOff>
      <xdr:row>45</xdr:row>
      <xdr:rowOff>166843</xdr:rowOff>
    </xdr:to>
    <xdr:pic>
      <xdr:nvPicPr>
        <xdr:cNvPr id="5121"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597140" y="4347412"/>
          <a:ext cx="5440680" cy="4140471"/>
        </a:xfrm>
        <a:prstGeom prst="rect">
          <a:avLst/>
        </a:prstGeom>
        <a:noFill/>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434340</xdr:colOff>
      <xdr:row>0</xdr:row>
      <xdr:rowOff>0</xdr:rowOff>
    </xdr:from>
    <xdr:to>
      <xdr:col>22</xdr:col>
      <xdr:colOff>91441</xdr:colOff>
      <xdr:row>18</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02140" y="0"/>
          <a:ext cx="5143501" cy="3429000"/>
        </a:xfrm>
        <a:prstGeom prst="rect">
          <a:avLst/>
        </a:prstGeom>
        <a:noFill/>
      </xdr:spPr>
    </xdr:pic>
    <xdr:clientData/>
  </xdr:twoCellAnchor>
  <xdr:twoCellAnchor editAs="oneCell">
    <xdr:from>
      <xdr:col>7</xdr:col>
      <xdr:colOff>83489</xdr:colOff>
      <xdr:row>17</xdr:row>
      <xdr:rowOff>89563</xdr:rowOff>
    </xdr:from>
    <xdr:to>
      <xdr:col>15</xdr:col>
      <xdr:colOff>347979</xdr:colOff>
      <xdr:row>31</xdr:row>
      <xdr:rowOff>86802</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93689" y="3335683"/>
          <a:ext cx="5141290" cy="2633759"/>
        </a:xfrm>
        <a:prstGeom prst="rect">
          <a:avLst/>
        </a:prstGeom>
        <a:noFill/>
      </xdr:spPr>
    </xdr:pic>
    <xdr:clientData/>
  </xdr:twoCellAnchor>
  <xdr:twoCellAnchor editAs="oneCell">
    <xdr:from>
      <xdr:col>1</xdr:col>
      <xdr:colOff>453997</xdr:colOff>
      <xdr:row>0</xdr:row>
      <xdr:rowOff>90667</xdr:rowOff>
    </xdr:from>
    <xdr:to>
      <xdr:col>6</xdr:col>
      <xdr:colOff>372386</xdr:colOff>
      <xdr:row>3</xdr:row>
      <xdr:rowOff>121147</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063597" y="90667"/>
          <a:ext cx="4109389" cy="579120"/>
        </a:xfrm>
        <a:prstGeom prst="rect">
          <a:avLst/>
        </a:prstGeom>
        <a:noFill/>
      </xdr:spPr>
    </xdr:pic>
    <xdr:clientData/>
  </xdr:twoCellAnchor>
  <xdr:twoCellAnchor editAs="oneCell">
    <xdr:from>
      <xdr:col>6</xdr:col>
      <xdr:colOff>99060</xdr:colOff>
      <xdr:row>5</xdr:row>
      <xdr:rowOff>15240</xdr:rowOff>
    </xdr:from>
    <xdr:to>
      <xdr:col>12</xdr:col>
      <xdr:colOff>487681</xdr:colOff>
      <xdr:row>7</xdr:row>
      <xdr:rowOff>167640</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4899660" y="929640"/>
          <a:ext cx="4046221" cy="548640"/>
        </a:xfrm>
        <a:prstGeom prst="rect">
          <a:avLst/>
        </a:prstGeom>
        <a:noFill/>
      </xdr:spPr>
    </xdr:pic>
    <xdr:clientData/>
  </xdr:twoCellAnchor>
  <xdr:twoCellAnchor editAs="oneCell">
    <xdr:from>
      <xdr:col>7</xdr:col>
      <xdr:colOff>11374</xdr:colOff>
      <xdr:row>39</xdr:row>
      <xdr:rowOff>65487</xdr:rowOff>
    </xdr:from>
    <xdr:to>
      <xdr:col>16</xdr:col>
      <xdr:colOff>163774</xdr:colOff>
      <xdr:row>44</xdr:row>
      <xdr:rowOff>87243</xdr:rowOff>
    </xdr:to>
    <xdr:pic>
      <xdr:nvPicPr>
        <xdr:cNvPr id="6"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5421574" y="7510227"/>
          <a:ext cx="5638800" cy="1019976"/>
        </a:xfrm>
        <a:prstGeom prst="rect">
          <a:avLst/>
        </a:prstGeom>
        <a:noFill/>
      </xdr:spPr>
    </xdr:pic>
    <xdr:clientData/>
  </xdr:twoCellAnchor>
  <xdr:twoCellAnchor editAs="oneCell">
    <xdr:from>
      <xdr:col>7</xdr:col>
      <xdr:colOff>445273</xdr:colOff>
      <xdr:row>54</xdr:row>
      <xdr:rowOff>115076</xdr:rowOff>
    </xdr:from>
    <xdr:to>
      <xdr:col>15</xdr:col>
      <xdr:colOff>587844</xdr:colOff>
      <xdr:row>78</xdr:row>
      <xdr:rowOff>31256</xdr:rowOff>
    </xdr:to>
    <xdr:pic>
      <xdr:nvPicPr>
        <xdr:cNvPr id="7"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5855473" y="10386836"/>
          <a:ext cx="5019371" cy="4305300"/>
        </a:xfrm>
        <a:prstGeom prst="rect">
          <a:avLst/>
        </a:prstGeom>
        <a:noFill/>
      </xdr:spPr>
    </xdr:pic>
    <xdr:clientData/>
  </xdr:twoCellAnchor>
  <xdr:twoCellAnchor editAs="oneCell">
    <xdr:from>
      <xdr:col>6</xdr:col>
      <xdr:colOff>405295</xdr:colOff>
      <xdr:row>13</xdr:row>
      <xdr:rowOff>63610</xdr:rowOff>
    </xdr:from>
    <xdr:to>
      <xdr:col>13</xdr:col>
      <xdr:colOff>59747</xdr:colOff>
      <xdr:row>17</xdr:row>
      <xdr:rowOff>48371</xdr:rowOff>
    </xdr:to>
    <xdr:pic>
      <xdr:nvPicPr>
        <xdr:cNvPr id="8"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5205895" y="2562970"/>
          <a:ext cx="3921652" cy="731521"/>
        </a:xfrm>
        <a:prstGeom prst="rect">
          <a:avLst/>
        </a:prstGeom>
        <a:noFill/>
      </xdr:spPr>
    </xdr:pic>
    <xdr:clientData/>
  </xdr:twoCellAnchor>
  <xdr:twoCellAnchor editAs="oneCell">
    <xdr:from>
      <xdr:col>0</xdr:col>
      <xdr:colOff>0</xdr:colOff>
      <xdr:row>46</xdr:row>
      <xdr:rowOff>0</xdr:rowOff>
    </xdr:from>
    <xdr:to>
      <xdr:col>10</xdr:col>
      <xdr:colOff>220980</xdr:colOff>
      <xdr:row>54</xdr:row>
      <xdr:rowOff>129540</xdr:rowOff>
    </xdr:to>
    <xdr:pic>
      <xdr:nvPicPr>
        <xdr:cNvPr id="2049"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0" y="8808720"/>
          <a:ext cx="7459980" cy="159258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190500</xdr:rowOff>
    </xdr:from>
    <xdr:to>
      <xdr:col>3</xdr:col>
      <xdr:colOff>4953000</xdr:colOff>
      <xdr:row>6</xdr:row>
      <xdr:rowOff>411480</xdr:rowOff>
    </xdr:to>
    <xdr:pic>
      <xdr:nvPicPr>
        <xdr:cNvPr id="1027" name="Picture 3" descr="d = 5.597661 + 29.5305888610 \times N + (102.026 \times 10^{-12})\times N^2"/>
        <xdr:cNvPicPr>
          <a:picLocks noChangeAspect="1" noChangeArrowheads="1"/>
        </xdr:cNvPicPr>
      </xdr:nvPicPr>
      <xdr:blipFill>
        <a:blip xmlns:r="http://schemas.openxmlformats.org/officeDocument/2006/relationships" r:embed="rId1" cstate="print"/>
        <a:srcRect/>
        <a:stretch>
          <a:fillRect/>
        </a:stretch>
      </xdr:blipFill>
      <xdr:spPr bwMode="auto">
        <a:xfrm>
          <a:off x="1828800" y="1760220"/>
          <a:ext cx="4953000" cy="220980"/>
        </a:xfrm>
        <a:prstGeom prst="rect">
          <a:avLst/>
        </a:prstGeom>
        <a:noFill/>
      </xdr:spPr>
    </xdr:pic>
    <xdr:clientData/>
  </xdr:twoCellAnchor>
  <xdr:twoCellAnchor editAs="oneCell">
    <xdr:from>
      <xdr:col>2</xdr:col>
      <xdr:colOff>579120</xdr:colOff>
      <xdr:row>9</xdr:row>
      <xdr:rowOff>243840</xdr:rowOff>
    </xdr:from>
    <xdr:to>
      <xdr:col>3</xdr:col>
      <xdr:colOff>2598420</xdr:colOff>
      <xdr:row>9</xdr:row>
      <xdr:rowOff>464820</xdr:rowOff>
    </xdr:to>
    <xdr:pic>
      <xdr:nvPicPr>
        <xdr:cNvPr id="1028" name="Picture 4" descr="-0.000739 - (235 \times 10^{-12})\times N^2"/>
        <xdr:cNvPicPr>
          <a:picLocks noChangeAspect="1" noChangeArrowheads="1"/>
        </xdr:cNvPicPr>
      </xdr:nvPicPr>
      <xdr:blipFill>
        <a:blip xmlns:r="http://schemas.openxmlformats.org/officeDocument/2006/relationships" r:embed="rId2" cstate="print"/>
        <a:srcRect/>
        <a:stretch>
          <a:fillRect/>
        </a:stretch>
      </xdr:blipFill>
      <xdr:spPr bwMode="auto">
        <a:xfrm>
          <a:off x="1798320" y="3276600"/>
          <a:ext cx="2628900" cy="220980"/>
        </a:xfrm>
        <a:prstGeom prst="rect">
          <a:avLst/>
        </a:prstGeom>
        <a:noFill/>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15</xdr:col>
      <xdr:colOff>15240</xdr:colOff>
      <xdr:row>4</xdr:row>
      <xdr:rowOff>0</xdr:rowOff>
    </xdr:from>
    <xdr:to>
      <xdr:col>23</xdr:col>
      <xdr:colOff>7620</xdr:colOff>
      <xdr:row>12</xdr:row>
      <xdr:rowOff>152400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898380" y="777240"/>
          <a:ext cx="4869180" cy="1615440"/>
        </a:xfrm>
        <a:prstGeom prst="rect">
          <a:avLst/>
        </a:prstGeom>
        <a:noFill/>
      </xdr:spPr>
    </xdr:pic>
    <xdr:clientData/>
  </xdr:twoCellAnchor>
  <xdr:twoCellAnchor editAs="oneCell">
    <xdr:from>
      <xdr:col>13</xdr:col>
      <xdr:colOff>373380</xdr:colOff>
      <xdr:row>14</xdr:row>
      <xdr:rowOff>45720</xdr:rowOff>
    </xdr:from>
    <xdr:to>
      <xdr:col>21</xdr:col>
      <xdr:colOff>487680</xdr:colOff>
      <xdr:row>28</xdr:row>
      <xdr:rowOff>137160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9037320" y="2651760"/>
          <a:ext cx="4991100" cy="2819400"/>
        </a:xfrm>
        <a:prstGeom prst="rect">
          <a:avLst/>
        </a:prstGeom>
        <a:noFill/>
      </xdr:spPr>
    </xdr:pic>
    <xdr:clientData/>
  </xdr:twoCellAnchor>
  <xdr:twoCellAnchor editAs="oneCell">
    <xdr:from>
      <xdr:col>9</xdr:col>
      <xdr:colOff>541020</xdr:colOff>
      <xdr:row>8</xdr:row>
      <xdr:rowOff>129540</xdr:rowOff>
    </xdr:from>
    <xdr:to>
      <xdr:col>17</xdr:col>
      <xdr:colOff>563880</xdr:colOff>
      <xdr:row>34</xdr:row>
      <xdr:rowOff>68580</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766560" y="1638300"/>
          <a:ext cx="4899660" cy="4861560"/>
        </a:xfrm>
        <a:prstGeom prst="rect">
          <a:avLst/>
        </a:prstGeom>
        <a:noFill/>
      </xdr:spPr>
    </xdr:pic>
    <xdr:clientData/>
  </xdr:twoCellAnchor>
  <xdr:twoCellAnchor editAs="oneCell">
    <xdr:from>
      <xdr:col>3</xdr:col>
      <xdr:colOff>22860</xdr:colOff>
      <xdr:row>27</xdr:row>
      <xdr:rowOff>114300</xdr:rowOff>
    </xdr:from>
    <xdr:to>
      <xdr:col>8</xdr:col>
      <xdr:colOff>396240</xdr:colOff>
      <xdr:row>29</xdr:row>
      <xdr:rowOff>114300</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851660" y="5181600"/>
          <a:ext cx="3954780" cy="365760"/>
        </a:xfrm>
        <a:prstGeom prst="rect">
          <a:avLst/>
        </a:prstGeom>
        <a:noFill/>
      </xdr:spPr>
    </xdr:pic>
    <xdr:clientData/>
  </xdr:twoCellAnchor>
  <xdr:twoCellAnchor editAs="oneCell">
    <xdr:from>
      <xdr:col>0</xdr:col>
      <xdr:colOff>38100</xdr:colOff>
      <xdr:row>7</xdr:row>
      <xdr:rowOff>22540</xdr:rowOff>
    </xdr:from>
    <xdr:to>
      <xdr:col>3</xdr:col>
      <xdr:colOff>99060</xdr:colOff>
      <xdr:row>10</xdr:row>
      <xdr:rowOff>68580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8100" y="1378900"/>
          <a:ext cx="1889760" cy="594680"/>
        </a:xfrm>
        <a:prstGeom prst="rect">
          <a:avLst/>
        </a:prstGeom>
        <a:noFill/>
      </xdr:spPr>
    </xdr:pic>
    <xdr:clientData/>
  </xdr:twoCellAnchor>
  <xdr:twoCellAnchor editAs="oneCell">
    <xdr:from>
      <xdr:col>0</xdr:col>
      <xdr:colOff>84058</xdr:colOff>
      <xdr:row>12</xdr:row>
      <xdr:rowOff>83820</xdr:rowOff>
    </xdr:from>
    <xdr:to>
      <xdr:col>3</xdr:col>
      <xdr:colOff>274320</xdr:colOff>
      <xdr:row>15</xdr:row>
      <xdr:rowOff>0</xdr:rowOff>
    </xdr:to>
    <xdr:pic>
      <xdr:nvPicPr>
        <xdr:cNvPr id="205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84058" y="2354580"/>
          <a:ext cx="2019062" cy="464820"/>
        </a:xfrm>
        <a:prstGeom prst="rect">
          <a:avLst/>
        </a:prstGeom>
        <a:noFill/>
      </xdr:spPr>
    </xdr:pic>
    <xdr:clientData/>
  </xdr:twoCellAnchor>
  <xdr:twoCellAnchor editAs="oneCell">
    <xdr:from>
      <xdr:col>5</xdr:col>
      <xdr:colOff>382691</xdr:colOff>
      <xdr:row>47</xdr:row>
      <xdr:rowOff>160020</xdr:rowOff>
    </xdr:from>
    <xdr:to>
      <xdr:col>14</xdr:col>
      <xdr:colOff>164909</xdr:colOff>
      <xdr:row>70</xdr:row>
      <xdr:rowOff>76200</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3644051" y="8915400"/>
          <a:ext cx="6007758" cy="4122420"/>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12</xdr:col>
      <xdr:colOff>129507</xdr:colOff>
      <xdr:row>6</xdr:row>
      <xdr:rowOff>5767</xdr:rowOff>
    </xdr:from>
    <xdr:to>
      <xdr:col>18</xdr:col>
      <xdr:colOff>496725</xdr:colOff>
      <xdr:row>48</xdr:row>
      <xdr:rowOff>60476</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580835" y="1196392"/>
          <a:ext cx="5476984" cy="8349397"/>
        </a:xfrm>
        <a:prstGeom prst="rect">
          <a:avLst/>
        </a:prstGeom>
        <a:noFill/>
      </xdr:spPr>
    </xdr:pic>
    <xdr:clientData/>
  </xdr:twoCellAnchor>
  <xdr:twoCellAnchor editAs="oneCell">
    <xdr:from>
      <xdr:col>16</xdr:col>
      <xdr:colOff>658623</xdr:colOff>
      <xdr:row>29</xdr:row>
      <xdr:rowOff>28229</xdr:rowOff>
    </xdr:from>
    <xdr:to>
      <xdr:col>27</xdr:col>
      <xdr:colOff>304367</xdr:colOff>
      <xdr:row>85</xdr:row>
      <xdr:rowOff>187351</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354404" y="5931745"/>
          <a:ext cx="6958166" cy="10715997"/>
        </a:xfrm>
        <a:prstGeom prst="rect">
          <a:avLst/>
        </a:prstGeom>
        <a:noFill/>
      </xdr:spPr>
    </xdr:pic>
    <xdr:clientData/>
  </xdr:twoCellAnchor>
  <xdr:twoCellAnchor editAs="oneCell">
    <xdr:from>
      <xdr:col>24</xdr:col>
      <xdr:colOff>454098</xdr:colOff>
      <xdr:row>1</xdr:row>
      <xdr:rowOff>163918</xdr:rowOff>
    </xdr:from>
    <xdr:to>
      <xdr:col>29</xdr:col>
      <xdr:colOff>560336</xdr:colOff>
      <xdr:row>10</xdr:row>
      <xdr:rowOff>168384</xdr:rowOff>
    </xdr:to>
    <xdr:pic>
      <xdr:nvPicPr>
        <xdr:cNvPr id="4"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6657674" y="363278"/>
          <a:ext cx="3152022" cy="1798711"/>
        </a:xfrm>
        <a:prstGeom prst="rect">
          <a:avLst/>
        </a:prstGeom>
        <a:noFill/>
      </xdr:spPr>
    </xdr:pic>
    <xdr:clientData/>
  </xdr:twoCellAnchor>
  <xdr:twoCellAnchor editAs="oneCell">
    <xdr:from>
      <xdr:col>4</xdr:col>
      <xdr:colOff>221512</xdr:colOff>
      <xdr:row>0</xdr:row>
      <xdr:rowOff>0</xdr:rowOff>
    </xdr:from>
    <xdr:to>
      <xdr:col>12</xdr:col>
      <xdr:colOff>427252</xdr:colOff>
      <xdr:row>12</xdr:row>
      <xdr:rowOff>114300</xdr:rowOff>
    </xdr:to>
    <xdr:pic>
      <xdr:nvPicPr>
        <xdr:cNvPr id="1027" name="Picture 3"/>
        <xdr:cNvPicPr>
          <a:picLocks noChangeAspect="1" noChangeArrowheads="1"/>
        </xdr:cNvPicPr>
      </xdr:nvPicPr>
      <xdr:blipFill>
        <a:blip xmlns:r="http://schemas.openxmlformats.org/officeDocument/2006/relationships" r:embed="rId4" cstate="print"/>
        <a:srcRect/>
        <a:stretch>
          <a:fillRect/>
        </a:stretch>
      </xdr:blipFill>
      <xdr:spPr bwMode="auto">
        <a:xfrm>
          <a:off x="2923954" y="0"/>
          <a:ext cx="5096717" cy="245346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18</xdr:col>
      <xdr:colOff>457200</xdr:colOff>
      <xdr:row>13</xdr:row>
      <xdr:rowOff>38100</xdr:rowOff>
    </xdr:to>
    <xdr:pic>
      <xdr:nvPicPr>
        <xdr:cNvPr id="2049" name="Picture 1" descr="Excel julian date convert"/>
        <xdr:cNvPicPr>
          <a:picLocks noChangeAspect="1" noChangeArrowheads="1"/>
        </xdr:cNvPicPr>
      </xdr:nvPicPr>
      <xdr:blipFill>
        <a:blip xmlns:r="http://schemas.openxmlformats.org/officeDocument/2006/relationships" r:embed="rId1" cstate="print"/>
        <a:srcRect/>
        <a:stretch>
          <a:fillRect/>
        </a:stretch>
      </xdr:blipFill>
      <xdr:spPr bwMode="auto">
        <a:xfrm>
          <a:off x="6545580" y="365760"/>
          <a:ext cx="5334000" cy="221742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4</xdr:col>
      <xdr:colOff>114300</xdr:colOff>
      <xdr:row>6</xdr:row>
      <xdr:rowOff>144780</xdr:rowOff>
    </xdr:to>
    <xdr:pic>
      <xdr:nvPicPr>
        <xdr:cNvPr id="1025" name="Picture 1" descr="http://xoomer.virgilio.it/vtomezzo/sunriset/formulas/la.gif"/>
        <xdr:cNvPicPr>
          <a:picLocks noChangeAspect="1" noChangeArrowheads="1"/>
        </xdr:cNvPicPr>
      </xdr:nvPicPr>
      <xdr:blipFill>
        <a:blip xmlns:r="http://schemas.openxmlformats.org/officeDocument/2006/relationships" r:embed="rId1" cstate="print"/>
        <a:srcRect/>
        <a:stretch>
          <a:fillRect/>
        </a:stretch>
      </xdr:blipFill>
      <xdr:spPr bwMode="auto">
        <a:xfrm>
          <a:off x="2438400" y="1112520"/>
          <a:ext cx="114300" cy="144780"/>
        </a:xfrm>
        <a:prstGeom prst="rect">
          <a:avLst/>
        </a:prstGeom>
        <a:noFill/>
      </xdr:spPr>
    </xdr:pic>
    <xdr:clientData/>
  </xdr:twoCellAnchor>
  <xdr:twoCellAnchor editAs="oneCell">
    <xdr:from>
      <xdr:col>4</xdr:col>
      <xdr:colOff>0</xdr:colOff>
      <xdr:row>13</xdr:row>
      <xdr:rowOff>0</xdr:rowOff>
    </xdr:from>
    <xdr:to>
      <xdr:col>4</xdr:col>
      <xdr:colOff>152400</xdr:colOff>
      <xdr:row>13</xdr:row>
      <xdr:rowOff>152400</xdr:rowOff>
    </xdr:to>
    <xdr:pic>
      <xdr:nvPicPr>
        <xdr:cNvPr id="1026" name="Picture 2" descr="http://xoomer.virgilio.it/vtomezzo/sunriset/formulas/tl.gif"/>
        <xdr:cNvPicPr>
          <a:picLocks noChangeAspect="1" noChangeArrowheads="1"/>
        </xdr:cNvPicPr>
      </xdr:nvPicPr>
      <xdr:blipFill>
        <a:blip xmlns:r="http://schemas.openxmlformats.org/officeDocument/2006/relationships" r:embed="rId2" cstate="print"/>
        <a:srcRect/>
        <a:stretch>
          <a:fillRect/>
        </a:stretch>
      </xdr:blipFill>
      <xdr:spPr bwMode="auto">
        <a:xfrm>
          <a:off x="2438400" y="2788920"/>
          <a:ext cx="152400" cy="152400"/>
        </a:xfrm>
        <a:prstGeom prst="rect">
          <a:avLst/>
        </a:prstGeom>
        <a:noFill/>
      </xdr:spPr>
    </xdr:pic>
    <xdr:clientData/>
  </xdr:twoCellAnchor>
  <xdr:twoCellAnchor editAs="oneCell">
    <xdr:from>
      <xdr:col>4</xdr:col>
      <xdr:colOff>0</xdr:colOff>
      <xdr:row>14</xdr:row>
      <xdr:rowOff>0</xdr:rowOff>
    </xdr:from>
    <xdr:to>
      <xdr:col>4</xdr:col>
      <xdr:colOff>106680</xdr:colOff>
      <xdr:row>14</xdr:row>
      <xdr:rowOff>144780</xdr:rowOff>
    </xdr:to>
    <xdr:pic>
      <xdr:nvPicPr>
        <xdr:cNvPr id="1027" name="Picture 3" descr="http://xoomer.virgilio.it/vtomezzo/sunriset/formulas/l.gif"/>
        <xdr:cNvPicPr>
          <a:picLocks noChangeAspect="1" noChangeArrowheads="1"/>
        </xdr:cNvPicPr>
      </xdr:nvPicPr>
      <xdr:blipFill>
        <a:blip xmlns:r="http://schemas.openxmlformats.org/officeDocument/2006/relationships" r:embed="rId3" cstate="print"/>
        <a:srcRect/>
        <a:stretch>
          <a:fillRect/>
        </a:stretch>
      </xdr:blipFill>
      <xdr:spPr bwMode="auto">
        <a:xfrm>
          <a:off x="2438400" y="3002280"/>
          <a:ext cx="106680" cy="144780"/>
        </a:xfrm>
        <a:prstGeom prst="rect">
          <a:avLst/>
        </a:prstGeom>
        <a:noFill/>
      </xdr:spPr>
    </xdr:pic>
    <xdr:clientData/>
  </xdr:twoCellAnchor>
  <xdr:twoCellAnchor editAs="oneCell">
    <xdr:from>
      <xdr:col>4</xdr:col>
      <xdr:colOff>0</xdr:colOff>
      <xdr:row>21</xdr:row>
      <xdr:rowOff>0</xdr:rowOff>
    </xdr:from>
    <xdr:to>
      <xdr:col>4</xdr:col>
      <xdr:colOff>152400</xdr:colOff>
      <xdr:row>21</xdr:row>
      <xdr:rowOff>144780</xdr:rowOff>
    </xdr:to>
    <xdr:pic>
      <xdr:nvPicPr>
        <xdr:cNvPr id="1028" name="Picture 4" descr="http://xoomer.virgilio.it/vtomezzo/sunriset/formulas/o.gif"/>
        <xdr:cNvPicPr>
          <a:picLocks noChangeAspect="1" noChangeArrowheads="1"/>
        </xdr:cNvPicPr>
      </xdr:nvPicPr>
      <xdr:blipFill>
        <a:blip xmlns:r="http://schemas.openxmlformats.org/officeDocument/2006/relationships" r:embed="rId4" cstate="print"/>
        <a:srcRect/>
        <a:stretch>
          <a:fillRect/>
        </a:stretch>
      </xdr:blipFill>
      <xdr:spPr bwMode="auto">
        <a:xfrm>
          <a:off x="2438400" y="4373880"/>
          <a:ext cx="152400" cy="144780"/>
        </a:xfrm>
        <a:prstGeom prst="rect">
          <a:avLst/>
        </a:prstGeom>
        <a:noFill/>
      </xdr:spPr>
    </xdr:pic>
    <xdr:clientData/>
  </xdr:twoCellAnchor>
  <xdr:twoCellAnchor editAs="oneCell">
    <xdr:from>
      <xdr:col>4</xdr:col>
      <xdr:colOff>0</xdr:colOff>
      <xdr:row>22</xdr:row>
      <xdr:rowOff>0</xdr:rowOff>
    </xdr:from>
    <xdr:to>
      <xdr:col>4</xdr:col>
      <xdr:colOff>99060</xdr:colOff>
      <xdr:row>22</xdr:row>
      <xdr:rowOff>121920</xdr:rowOff>
    </xdr:to>
    <xdr:pic>
      <xdr:nvPicPr>
        <xdr:cNvPr id="1029" name="Picture 5" descr="http://xoomer.virgilio.it/vtomezzo/sunriset/formulas/e.gif"/>
        <xdr:cNvPicPr>
          <a:picLocks noChangeAspect="1" noChangeArrowheads="1"/>
        </xdr:cNvPicPr>
      </xdr:nvPicPr>
      <xdr:blipFill>
        <a:blip xmlns:r="http://schemas.openxmlformats.org/officeDocument/2006/relationships" r:embed="rId5" cstate="print"/>
        <a:srcRect/>
        <a:stretch>
          <a:fillRect/>
        </a:stretch>
      </xdr:blipFill>
      <xdr:spPr bwMode="auto">
        <a:xfrm>
          <a:off x="2438400" y="4800600"/>
          <a:ext cx="99060" cy="121920"/>
        </a:xfrm>
        <a:prstGeom prst="rect">
          <a:avLst/>
        </a:prstGeom>
        <a:noFill/>
      </xdr:spPr>
    </xdr:pic>
    <xdr:clientData/>
  </xdr:twoCellAnchor>
  <xdr:twoCellAnchor editAs="oneCell">
    <xdr:from>
      <xdr:col>4</xdr:col>
      <xdr:colOff>0</xdr:colOff>
      <xdr:row>23</xdr:row>
      <xdr:rowOff>0</xdr:rowOff>
    </xdr:from>
    <xdr:to>
      <xdr:col>4</xdr:col>
      <xdr:colOff>83820</xdr:colOff>
      <xdr:row>23</xdr:row>
      <xdr:rowOff>144780</xdr:rowOff>
    </xdr:to>
    <xdr:pic>
      <xdr:nvPicPr>
        <xdr:cNvPr id="1030" name="Picture 6"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2438400" y="5013960"/>
          <a:ext cx="83820" cy="144780"/>
        </a:xfrm>
        <a:prstGeom prst="rect">
          <a:avLst/>
        </a:prstGeom>
        <a:noFill/>
      </xdr:spPr>
    </xdr:pic>
    <xdr:clientData/>
  </xdr:twoCellAnchor>
  <xdr:twoCellAnchor editAs="oneCell">
    <xdr:from>
      <xdr:col>4</xdr:col>
      <xdr:colOff>0</xdr:colOff>
      <xdr:row>24</xdr:row>
      <xdr:rowOff>0</xdr:rowOff>
    </xdr:from>
    <xdr:to>
      <xdr:col>4</xdr:col>
      <xdr:colOff>114300</xdr:colOff>
      <xdr:row>24</xdr:row>
      <xdr:rowOff>99060</xdr:rowOff>
    </xdr:to>
    <xdr:pic>
      <xdr:nvPicPr>
        <xdr:cNvPr id="1031" name="Picture 7" descr="http://xoomer.virgilio.it/vtomezzo/sunriset/formulas/a.gif"/>
        <xdr:cNvPicPr>
          <a:picLocks noChangeAspect="1" noChangeArrowheads="1"/>
        </xdr:cNvPicPr>
      </xdr:nvPicPr>
      <xdr:blipFill>
        <a:blip xmlns:r="http://schemas.openxmlformats.org/officeDocument/2006/relationships" r:embed="rId7" cstate="print"/>
        <a:srcRect/>
        <a:stretch>
          <a:fillRect/>
        </a:stretch>
      </xdr:blipFill>
      <xdr:spPr bwMode="auto">
        <a:xfrm>
          <a:off x="2438400" y="5196840"/>
          <a:ext cx="114300" cy="9906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16</xdr:row>
      <xdr:rowOff>0</xdr:rowOff>
    </xdr:from>
    <xdr:to>
      <xdr:col>7</xdr:col>
      <xdr:colOff>123825</xdr:colOff>
      <xdr:row>16</xdr:row>
      <xdr:rowOff>142875</xdr:rowOff>
    </xdr:to>
    <xdr:pic>
      <xdr:nvPicPr>
        <xdr:cNvPr id="1056" name="Picture 3" descr="http://xoomer.virgilio.it/vtomezzo/sunriset/formulas/delta.gif"/>
        <xdr:cNvPicPr>
          <a:picLocks noChangeAspect="1" noChangeArrowheads="1"/>
        </xdr:cNvPicPr>
      </xdr:nvPicPr>
      <xdr:blipFill>
        <a:blip xmlns:r="http://schemas.openxmlformats.org/officeDocument/2006/relationships" r:embed="rId1" cstate="print"/>
        <a:srcRect/>
        <a:stretch>
          <a:fillRect/>
        </a:stretch>
      </xdr:blipFill>
      <xdr:spPr bwMode="auto">
        <a:xfrm>
          <a:off x="4267200" y="3095625"/>
          <a:ext cx="123825" cy="142875"/>
        </a:xfrm>
        <a:prstGeom prst="rect">
          <a:avLst/>
        </a:prstGeom>
        <a:noFill/>
      </xdr:spPr>
    </xdr:pic>
    <xdr:clientData/>
  </xdr:twoCellAnchor>
  <xdr:twoCellAnchor>
    <xdr:from>
      <xdr:col>7</xdr:col>
      <xdr:colOff>0</xdr:colOff>
      <xdr:row>18</xdr:row>
      <xdr:rowOff>0</xdr:rowOff>
    </xdr:from>
    <xdr:to>
      <xdr:col>7</xdr:col>
      <xdr:colOff>123825</xdr:colOff>
      <xdr:row>18</xdr:row>
      <xdr:rowOff>142875</xdr:rowOff>
    </xdr:to>
    <xdr:pic>
      <xdr:nvPicPr>
        <xdr:cNvPr id="1055" name="Picture 4" descr="http://xoomer.virgilio.it/vtomezzo/sunriset/formulas/delta.gif"/>
        <xdr:cNvPicPr>
          <a:picLocks noChangeAspect="1" noChangeArrowheads="1"/>
        </xdr:cNvPicPr>
      </xdr:nvPicPr>
      <xdr:blipFill>
        <a:blip xmlns:r="http://schemas.openxmlformats.org/officeDocument/2006/relationships" r:embed="rId1" cstate="print"/>
        <a:srcRect/>
        <a:stretch>
          <a:fillRect/>
        </a:stretch>
      </xdr:blipFill>
      <xdr:spPr bwMode="auto">
        <a:xfrm>
          <a:off x="4267200" y="3476625"/>
          <a:ext cx="123825" cy="142875"/>
        </a:xfrm>
        <a:prstGeom prst="rect">
          <a:avLst/>
        </a:prstGeom>
        <a:noFill/>
      </xdr:spPr>
    </xdr:pic>
    <xdr:clientData/>
  </xdr:twoCellAnchor>
  <xdr:twoCellAnchor>
    <xdr:from>
      <xdr:col>7</xdr:col>
      <xdr:colOff>0</xdr:colOff>
      <xdr:row>82</xdr:row>
      <xdr:rowOff>0</xdr:rowOff>
    </xdr:from>
    <xdr:to>
      <xdr:col>7</xdr:col>
      <xdr:colOff>142875</xdr:colOff>
      <xdr:row>82</xdr:row>
      <xdr:rowOff>142875</xdr:rowOff>
    </xdr:to>
    <xdr:pic>
      <xdr:nvPicPr>
        <xdr:cNvPr id="1054" name="Picture 10" descr="http://xoomer.virgilio.it/vtomezzo/sunriset/formulas/tl.gif"/>
        <xdr:cNvPicPr>
          <a:picLocks noChangeAspect="1" noChangeArrowheads="1"/>
        </xdr:cNvPicPr>
      </xdr:nvPicPr>
      <xdr:blipFill>
        <a:blip xmlns:r="http://schemas.openxmlformats.org/officeDocument/2006/relationships" r:embed="rId2" cstate="print"/>
        <a:srcRect/>
        <a:stretch>
          <a:fillRect/>
        </a:stretch>
      </xdr:blipFill>
      <xdr:spPr bwMode="auto">
        <a:xfrm>
          <a:off x="4267200" y="16859250"/>
          <a:ext cx="142875" cy="142875"/>
        </a:xfrm>
        <a:prstGeom prst="rect">
          <a:avLst/>
        </a:prstGeom>
        <a:noFill/>
      </xdr:spPr>
    </xdr:pic>
    <xdr:clientData/>
  </xdr:twoCellAnchor>
  <xdr:twoCellAnchor>
    <xdr:from>
      <xdr:col>7</xdr:col>
      <xdr:colOff>0</xdr:colOff>
      <xdr:row>83</xdr:row>
      <xdr:rowOff>0</xdr:rowOff>
    </xdr:from>
    <xdr:to>
      <xdr:col>7</xdr:col>
      <xdr:colOff>142875</xdr:colOff>
      <xdr:row>83</xdr:row>
      <xdr:rowOff>142875</xdr:rowOff>
    </xdr:to>
    <xdr:pic>
      <xdr:nvPicPr>
        <xdr:cNvPr id="1053" name="Picture 11" descr="http://xoomer.virgilio.it/vtomezzo/sunriset/formulas/tl.gif"/>
        <xdr:cNvPicPr>
          <a:picLocks noChangeAspect="1" noChangeArrowheads="1"/>
        </xdr:cNvPicPr>
      </xdr:nvPicPr>
      <xdr:blipFill>
        <a:blip xmlns:r="http://schemas.openxmlformats.org/officeDocument/2006/relationships" r:embed="rId2" cstate="print"/>
        <a:srcRect/>
        <a:stretch>
          <a:fillRect/>
        </a:stretch>
      </xdr:blipFill>
      <xdr:spPr bwMode="auto">
        <a:xfrm>
          <a:off x="4267200" y="17049750"/>
          <a:ext cx="142875" cy="142875"/>
        </a:xfrm>
        <a:prstGeom prst="rect">
          <a:avLst/>
        </a:prstGeom>
        <a:noFill/>
      </xdr:spPr>
    </xdr:pic>
    <xdr:clientData/>
  </xdr:twoCellAnchor>
  <xdr:twoCellAnchor>
    <xdr:from>
      <xdr:col>7</xdr:col>
      <xdr:colOff>0</xdr:colOff>
      <xdr:row>112</xdr:row>
      <xdr:rowOff>0</xdr:rowOff>
    </xdr:from>
    <xdr:to>
      <xdr:col>7</xdr:col>
      <xdr:colOff>142875</xdr:colOff>
      <xdr:row>112</xdr:row>
      <xdr:rowOff>133350</xdr:rowOff>
    </xdr:to>
    <xdr:pic>
      <xdr:nvPicPr>
        <xdr:cNvPr id="1052" name="Picture 14" descr="http://xoomer.virgilio.it/vtomezzo/sunriset/formulas/o.gif"/>
        <xdr:cNvPicPr>
          <a:picLocks noChangeAspect="1" noChangeArrowheads="1"/>
        </xdr:cNvPicPr>
      </xdr:nvPicPr>
      <xdr:blipFill>
        <a:blip xmlns:r="http://schemas.openxmlformats.org/officeDocument/2006/relationships" r:embed="rId3" cstate="print"/>
        <a:srcRect/>
        <a:stretch>
          <a:fillRect/>
        </a:stretch>
      </xdr:blipFill>
      <xdr:spPr bwMode="auto">
        <a:xfrm>
          <a:off x="4267200" y="23212425"/>
          <a:ext cx="142875" cy="133350"/>
        </a:xfrm>
        <a:prstGeom prst="rect">
          <a:avLst/>
        </a:prstGeom>
        <a:noFill/>
      </xdr:spPr>
    </xdr:pic>
    <xdr:clientData/>
  </xdr:twoCellAnchor>
  <xdr:twoCellAnchor>
    <xdr:from>
      <xdr:col>7</xdr:col>
      <xdr:colOff>0</xdr:colOff>
      <xdr:row>113</xdr:row>
      <xdr:rowOff>0</xdr:rowOff>
    </xdr:from>
    <xdr:to>
      <xdr:col>7</xdr:col>
      <xdr:colOff>142875</xdr:colOff>
      <xdr:row>113</xdr:row>
      <xdr:rowOff>133350</xdr:rowOff>
    </xdr:to>
    <xdr:pic>
      <xdr:nvPicPr>
        <xdr:cNvPr id="1051" name="Picture 15" descr="http://xoomer.virgilio.it/vtomezzo/sunriset/formulas/o.gif"/>
        <xdr:cNvPicPr>
          <a:picLocks noChangeAspect="1" noChangeArrowheads="1"/>
        </xdr:cNvPicPr>
      </xdr:nvPicPr>
      <xdr:blipFill>
        <a:blip xmlns:r="http://schemas.openxmlformats.org/officeDocument/2006/relationships" r:embed="rId3" cstate="print"/>
        <a:srcRect/>
        <a:stretch>
          <a:fillRect/>
        </a:stretch>
      </xdr:blipFill>
      <xdr:spPr bwMode="auto">
        <a:xfrm>
          <a:off x="4267200" y="23402925"/>
          <a:ext cx="142875" cy="133350"/>
        </a:xfrm>
        <a:prstGeom prst="rect">
          <a:avLst/>
        </a:prstGeom>
        <a:noFill/>
      </xdr:spPr>
    </xdr:pic>
    <xdr:clientData/>
  </xdr:twoCellAnchor>
  <xdr:twoCellAnchor>
    <xdr:from>
      <xdr:col>7</xdr:col>
      <xdr:colOff>0</xdr:colOff>
      <xdr:row>114</xdr:row>
      <xdr:rowOff>0</xdr:rowOff>
    </xdr:from>
    <xdr:to>
      <xdr:col>7</xdr:col>
      <xdr:colOff>104775</xdr:colOff>
      <xdr:row>114</xdr:row>
      <xdr:rowOff>142875</xdr:rowOff>
    </xdr:to>
    <xdr:pic>
      <xdr:nvPicPr>
        <xdr:cNvPr id="1050" name="Picture 16" descr="http://xoomer.virgilio.it/vtomezzo/sunriset/formulas/l.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3602950"/>
          <a:ext cx="104775" cy="142875"/>
        </a:xfrm>
        <a:prstGeom prst="rect">
          <a:avLst/>
        </a:prstGeom>
        <a:noFill/>
      </xdr:spPr>
    </xdr:pic>
    <xdr:clientData/>
  </xdr:twoCellAnchor>
  <xdr:twoCellAnchor>
    <xdr:from>
      <xdr:col>7</xdr:col>
      <xdr:colOff>0</xdr:colOff>
      <xdr:row>116</xdr:row>
      <xdr:rowOff>0</xdr:rowOff>
    </xdr:from>
    <xdr:to>
      <xdr:col>7</xdr:col>
      <xdr:colOff>104775</xdr:colOff>
      <xdr:row>116</xdr:row>
      <xdr:rowOff>142875</xdr:rowOff>
    </xdr:to>
    <xdr:pic>
      <xdr:nvPicPr>
        <xdr:cNvPr id="1049" name="Picture 17" descr="http://xoomer.virgilio.it/vtomezzo/sunriset/formulas/l.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3983950"/>
          <a:ext cx="104775" cy="142875"/>
        </a:xfrm>
        <a:prstGeom prst="rect">
          <a:avLst/>
        </a:prstGeom>
        <a:noFill/>
      </xdr:spPr>
    </xdr:pic>
    <xdr:clientData/>
  </xdr:twoCellAnchor>
  <xdr:twoCellAnchor>
    <xdr:from>
      <xdr:col>7</xdr:col>
      <xdr:colOff>0</xdr:colOff>
      <xdr:row>117</xdr:row>
      <xdr:rowOff>0</xdr:rowOff>
    </xdr:from>
    <xdr:to>
      <xdr:col>7</xdr:col>
      <xdr:colOff>142875</xdr:colOff>
      <xdr:row>117</xdr:row>
      <xdr:rowOff>161925</xdr:rowOff>
    </xdr:to>
    <xdr:pic>
      <xdr:nvPicPr>
        <xdr:cNvPr id="1048" name="Picture 18" descr="http://xoomer.virgilio.it/vtomezzo/sunriset/formulas/tl.gif"/>
        <xdr:cNvPicPr>
          <a:picLocks noChangeAspect="1" noChangeArrowheads="1"/>
        </xdr:cNvPicPr>
      </xdr:nvPicPr>
      <xdr:blipFill>
        <a:blip xmlns:r="http://schemas.openxmlformats.org/officeDocument/2006/relationships" r:embed="rId2" cstate="print"/>
        <a:srcRect/>
        <a:stretch>
          <a:fillRect/>
        </a:stretch>
      </xdr:blipFill>
      <xdr:spPr bwMode="auto">
        <a:xfrm>
          <a:off x="4267200" y="24174450"/>
          <a:ext cx="142875" cy="161925"/>
        </a:xfrm>
        <a:prstGeom prst="rect">
          <a:avLst/>
        </a:prstGeom>
        <a:noFill/>
      </xdr:spPr>
    </xdr:pic>
    <xdr:clientData/>
  </xdr:twoCellAnchor>
  <xdr:twoCellAnchor>
    <xdr:from>
      <xdr:col>7</xdr:col>
      <xdr:colOff>0</xdr:colOff>
      <xdr:row>118</xdr:row>
      <xdr:rowOff>0</xdr:rowOff>
    </xdr:from>
    <xdr:to>
      <xdr:col>7</xdr:col>
      <xdr:colOff>142875</xdr:colOff>
      <xdr:row>118</xdr:row>
      <xdr:rowOff>133350</xdr:rowOff>
    </xdr:to>
    <xdr:pic>
      <xdr:nvPicPr>
        <xdr:cNvPr id="1047" name="Picture 19" descr="http://xoomer.virgilio.it/vtomezzo/sunriset/formulas/o.gif"/>
        <xdr:cNvPicPr>
          <a:picLocks noChangeAspect="1" noChangeArrowheads="1"/>
        </xdr:cNvPicPr>
      </xdr:nvPicPr>
      <xdr:blipFill>
        <a:blip xmlns:r="http://schemas.openxmlformats.org/officeDocument/2006/relationships" r:embed="rId3" cstate="print"/>
        <a:srcRect/>
        <a:stretch>
          <a:fillRect/>
        </a:stretch>
      </xdr:blipFill>
      <xdr:spPr bwMode="auto">
        <a:xfrm>
          <a:off x="4267200" y="24364950"/>
          <a:ext cx="142875" cy="133350"/>
        </a:xfrm>
        <a:prstGeom prst="rect">
          <a:avLst/>
        </a:prstGeom>
        <a:noFill/>
      </xdr:spPr>
    </xdr:pic>
    <xdr:clientData/>
  </xdr:twoCellAnchor>
  <xdr:twoCellAnchor>
    <xdr:from>
      <xdr:col>7</xdr:col>
      <xdr:colOff>0</xdr:colOff>
      <xdr:row>119</xdr:row>
      <xdr:rowOff>0</xdr:rowOff>
    </xdr:from>
    <xdr:to>
      <xdr:col>7</xdr:col>
      <xdr:colOff>95250</xdr:colOff>
      <xdr:row>119</xdr:row>
      <xdr:rowOff>123825</xdr:rowOff>
    </xdr:to>
    <xdr:pic>
      <xdr:nvPicPr>
        <xdr:cNvPr id="1046" name="Picture 20" descr="http://xoomer.virgilio.it/vtomezzo/sunriset/formulas/e.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24555450"/>
          <a:ext cx="95250" cy="123825"/>
        </a:xfrm>
        <a:prstGeom prst="rect">
          <a:avLst/>
        </a:prstGeom>
        <a:noFill/>
      </xdr:spPr>
    </xdr:pic>
    <xdr:clientData/>
  </xdr:twoCellAnchor>
  <xdr:twoCellAnchor>
    <xdr:from>
      <xdr:col>7</xdr:col>
      <xdr:colOff>0</xdr:colOff>
      <xdr:row>121</xdr:row>
      <xdr:rowOff>0</xdr:rowOff>
    </xdr:from>
    <xdr:to>
      <xdr:col>7</xdr:col>
      <xdr:colOff>95250</xdr:colOff>
      <xdr:row>121</xdr:row>
      <xdr:rowOff>123825</xdr:rowOff>
    </xdr:to>
    <xdr:pic>
      <xdr:nvPicPr>
        <xdr:cNvPr id="1045" name="Picture 21" descr="http://xoomer.virgilio.it/vtomezzo/sunriset/formulas/e.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24936450"/>
          <a:ext cx="95250" cy="123825"/>
        </a:xfrm>
        <a:prstGeom prst="rect">
          <a:avLst/>
        </a:prstGeom>
        <a:noFill/>
      </xdr:spPr>
    </xdr:pic>
    <xdr:clientData/>
  </xdr:twoCellAnchor>
  <xdr:twoCellAnchor>
    <xdr:from>
      <xdr:col>7</xdr:col>
      <xdr:colOff>0</xdr:colOff>
      <xdr:row>122</xdr:row>
      <xdr:rowOff>0</xdr:rowOff>
    </xdr:from>
    <xdr:to>
      <xdr:col>7</xdr:col>
      <xdr:colOff>142875</xdr:colOff>
      <xdr:row>122</xdr:row>
      <xdr:rowOff>133350</xdr:rowOff>
    </xdr:to>
    <xdr:pic>
      <xdr:nvPicPr>
        <xdr:cNvPr id="1044" name="Picture 22" descr="http://xoomer.virgilio.it/vtomezzo/sunriset/formulas/o.gif"/>
        <xdr:cNvPicPr>
          <a:picLocks noChangeAspect="1" noChangeArrowheads="1"/>
        </xdr:cNvPicPr>
      </xdr:nvPicPr>
      <xdr:blipFill>
        <a:blip xmlns:r="http://schemas.openxmlformats.org/officeDocument/2006/relationships" r:embed="rId3" cstate="print"/>
        <a:srcRect/>
        <a:stretch>
          <a:fillRect/>
        </a:stretch>
      </xdr:blipFill>
      <xdr:spPr bwMode="auto">
        <a:xfrm>
          <a:off x="4267200" y="25146000"/>
          <a:ext cx="142875" cy="133350"/>
        </a:xfrm>
        <a:prstGeom prst="rect">
          <a:avLst/>
        </a:prstGeom>
        <a:noFill/>
      </xdr:spPr>
    </xdr:pic>
    <xdr:clientData/>
  </xdr:twoCellAnchor>
  <xdr:twoCellAnchor>
    <xdr:from>
      <xdr:col>7</xdr:col>
      <xdr:colOff>0</xdr:colOff>
      <xdr:row>126</xdr:row>
      <xdr:rowOff>0</xdr:rowOff>
    </xdr:from>
    <xdr:to>
      <xdr:col>7</xdr:col>
      <xdr:colOff>85725</xdr:colOff>
      <xdr:row>126</xdr:row>
      <xdr:rowOff>142875</xdr:rowOff>
    </xdr:to>
    <xdr:pic>
      <xdr:nvPicPr>
        <xdr:cNvPr id="1043" name="Picture 23"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4267200" y="25927050"/>
          <a:ext cx="85725" cy="142875"/>
        </a:xfrm>
        <a:prstGeom prst="rect">
          <a:avLst/>
        </a:prstGeom>
        <a:noFill/>
      </xdr:spPr>
    </xdr:pic>
    <xdr:clientData/>
  </xdr:twoCellAnchor>
  <xdr:twoCellAnchor>
    <xdr:from>
      <xdr:col>7</xdr:col>
      <xdr:colOff>0</xdr:colOff>
      <xdr:row>128</xdr:row>
      <xdr:rowOff>0</xdr:rowOff>
    </xdr:from>
    <xdr:to>
      <xdr:col>7</xdr:col>
      <xdr:colOff>85725</xdr:colOff>
      <xdr:row>128</xdr:row>
      <xdr:rowOff>171450</xdr:rowOff>
    </xdr:to>
    <xdr:pic>
      <xdr:nvPicPr>
        <xdr:cNvPr id="1042" name="Picture 24"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4267200" y="26308050"/>
          <a:ext cx="85725" cy="171450"/>
        </a:xfrm>
        <a:prstGeom prst="rect">
          <a:avLst/>
        </a:prstGeom>
        <a:noFill/>
      </xdr:spPr>
    </xdr:pic>
    <xdr:clientData/>
  </xdr:twoCellAnchor>
  <xdr:twoCellAnchor>
    <xdr:from>
      <xdr:col>7</xdr:col>
      <xdr:colOff>0</xdr:colOff>
      <xdr:row>129</xdr:row>
      <xdr:rowOff>0</xdr:rowOff>
    </xdr:from>
    <xdr:to>
      <xdr:col>7</xdr:col>
      <xdr:colOff>95250</xdr:colOff>
      <xdr:row>129</xdr:row>
      <xdr:rowOff>123825</xdr:rowOff>
    </xdr:to>
    <xdr:pic>
      <xdr:nvPicPr>
        <xdr:cNvPr id="1041" name="Picture 25" descr="http://xoomer.virgilio.it/vtomezzo/sunriset/formulas/e.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26498550"/>
          <a:ext cx="95250" cy="123825"/>
        </a:xfrm>
        <a:prstGeom prst="rect">
          <a:avLst/>
        </a:prstGeom>
        <a:noFill/>
      </xdr:spPr>
    </xdr:pic>
    <xdr:clientData/>
  </xdr:twoCellAnchor>
  <xdr:twoCellAnchor>
    <xdr:from>
      <xdr:col>7</xdr:col>
      <xdr:colOff>0</xdr:colOff>
      <xdr:row>130</xdr:row>
      <xdr:rowOff>0</xdr:rowOff>
    </xdr:from>
    <xdr:to>
      <xdr:col>7</xdr:col>
      <xdr:colOff>104775</xdr:colOff>
      <xdr:row>130</xdr:row>
      <xdr:rowOff>142875</xdr:rowOff>
    </xdr:to>
    <xdr:pic>
      <xdr:nvPicPr>
        <xdr:cNvPr id="1040" name="Picture 26" descr="http://xoomer.virgilio.it/vtomezzo/sunriset/formulas/l.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6689050"/>
          <a:ext cx="104775" cy="142875"/>
        </a:xfrm>
        <a:prstGeom prst="rect">
          <a:avLst/>
        </a:prstGeom>
        <a:noFill/>
      </xdr:spPr>
    </xdr:pic>
    <xdr:clientData/>
  </xdr:twoCellAnchor>
  <xdr:twoCellAnchor>
    <xdr:from>
      <xdr:col>7</xdr:col>
      <xdr:colOff>0</xdr:colOff>
      <xdr:row>131</xdr:row>
      <xdr:rowOff>0</xdr:rowOff>
    </xdr:from>
    <xdr:to>
      <xdr:col>7</xdr:col>
      <xdr:colOff>114300</xdr:colOff>
      <xdr:row>131</xdr:row>
      <xdr:rowOff>95250</xdr:rowOff>
    </xdr:to>
    <xdr:pic>
      <xdr:nvPicPr>
        <xdr:cNvPr id="1039" name="Picture 27" descr="http://xoomer.virgilio.it/vtomezzo/sunriset/formulas/a.gif"/>
        <xdr:cNvPicPr>
          <a:picLocks noChangeAspect="1" noChangeArrowheads="1"/>
        </xdr:cNvPicPr>
      </xdr:nvPicPr>
      <xdr:blipFill>
        <a:blip xmlns:r="http://schemas.openxmlformats.org/officeDocument/2006/relationships" r:embed="rId7" cstate="print"/>
        <a:srcRect/>
        <a:stretch>
          <a:fillRect/>
        </a:stretch>
      </xdr:blipFill>
      <xdr:spPr bwMode="auto">
        <a:xfrm>
          <a:off x="4267200" y="26879550"/>
          <a:ext cx="114300" cy="95250"/>
        </a:xfrm>
        <a:prstGeom prst="rect">
          <a:avLst/>
        </a:prstGeom>
        <a:noFill/>
      </xdr:spPr>
    </xdr:pic>
    <xdr:clientData/>
  </xdr:twoCellAnchor>
  <xdr:twoCellAnchor>
    <xdr:from>
      <xdr:col>7</xdr:col>
      <xdr:colOff>0</xdr:colOff>
      <xdr:row>133</xdr:row>
      <xdr:rowOff>0</xdr:rowOff>
    </xdr:from>
    <xdr:to>
      <xdr:col>7</xdr:col>
      <xdr:colOff>95250</xdr:colOff>
      <xdr:row>133</xdr:row>
      <xdr:rowOff>123825</xdr:rowOff>
    </xdr:to>
    <xdr:pic>
      <xdr:nvPicPr>
        <xdr:cNvPr id="1038" name="Picture 28" descr="http://xoomer.virgilio.it/vtomezzo/sunriset/formulas/e.gif"/>
        <xdr:cNvPicPr>
          <a:picLocks noChangeAspect="1" noChangeArrowheads="1"/>
        </xdr:cNvPicPr>
      </xdr:nvPicPr>
      <xdr:blipFill>
        <a:blip xmlns:r="http://schemas.openxmlformats.org/officeDocument/2006/relationships" r:embed="rId5" cstate="print"/>
        <a:srcRect/>
        <a:stretch>
          <a:fillRect/>
        </a:stretch>
      </xdr:blipFill>
      <xdr:spPr bwMode="auto">
        <a:xfrm>
          <a:off x="4267200" y="27260550"/>
          <a:ext cx="95250" cy="123825"/>
        </a:xfrm>
        <a:prstGeom prst="rect">
          <a:avLst/>
        </a:prstGeom>
        <a:noFill/>
      </xdr:spPr>
    </xdr:pic>
    <xdr:clientData/>
  </xdr:twoCellAnchor>
  <xdr:twoCellAnchor>
    <xdr:from>
      <xdr:col>7</xdr:col>
      <xdr:colOff>0</xdr:colOff>
      <xdr:row>134</xdr:row>
      <xdr:rowOff>0</xdr:rowOff>
    </xdr:from>
    <xdr:to>
      <xdr:col>7</xdr:col>
      <xdr:colOff>104775</xdr:colOff>
      <xdr:row>134</xdr:row>
      <xdr:rowOff>142875</xdr:rowOff>
    </xdr:to>
    <xdr:pic>
      <xdr:nvPicPr>
        <xdr:cNvPr id="1037" name="Picture 29" descr="http://xoomer.virgilio.it/vtomezzo/sunriset/formulas/l.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7451050"/>
          <a:ext cx="104775" cy="142875"/>
        </a:xfrm>
        <a:prstGeom prst="rect">
          <a:avLst/>
        </a:prstGeom>
        <a:noFill/>
      </xdr:spPr>
    </xdr:pic>
    <xdr:clientData/>
  </xdr:twoCellAnchor>
  <xdr:twoCellAnchor>
    <xdr:from>
      <xdr:col>7</xdr:col>
      <xdr:colOff>0</xdr:colOff>
      <xdr:row>136</xdr:row>
      <xdr:rowOff>0</xdr:rowOff>
    </xdr:from>
    <xdr:to>
      <xdr:col>7</xdr:col>
      <xdr:colOff>104775</xdr:colOff>
      <xdr:row>136</xdr:row>
      <xdr:rowOff>142875</xdr:rowOff>
    </xdr:to>
    <xdr:pic>
      <xdr:nvPicPr>
        <xdr:cNvPr id="1036" name="Picture 30" descr="http://xoomer.virgilio.it/vtomezzo/sunriset/formulas/l.gif"/>
        <xdr:cNvPicPr>
          <a:picLocks noChangeAspect="1" noChangeArrowheads="1"/>
        </xdr:cNvPicPr>
      </xdr:nvPicPr>
      <xdr:blipFill>
        <a:blip xmlns:r="http://schemas.openxmlformats.org/officeDocument/2006/relationships" r:embed="rId4" cstate="print"/>
        <a:srcRect/>
        <a:stretch>
          <a:fillRect/>
        </a:stretch>
      </xdr:blipFill>
      <xdr:spPr bwMode="auto">
        <a:xfrm>
          <a:off x="4267200" y="27832050"/>
          <a:ext cx="104775" cy="142875"/>
        </a:xfrm>
        <a:prstGeom prst="rect">
          <a:avLst/>
        </a:prstGeom>
        <a:noFill/>
      </xdr:spPr>
    </xdr:pic>
    <xdr:clientData/>
  </xdr:twoCellAnchor>
  <xdr:twoCellAnchor>
    <xdr:from>
      <xdr:col>7</xdr:col>
      <xdr:colOff>0</xdr:colOff>
      <xdr:row>138</xdr:row>
      <xdr:rowOff>0</xdr:rowOff>
    </xdr:from>
    <xdr:to>
      <xdr:col>7</xdr:col>
      <xdr:colOff>114300</xdr:colOff>
      <xdr:row>138</xdr:row>
      <xdr:rowOff>95250</xdr:rowOff>
    </xdr:to>
    <xdr:pic>
      <xdr:nvPicPr>
        <xdr:cNvPr id="1035" name="Picture 31" descr="http://xoomer.virgilio.it/vtomezzo/sunriset/formulas/a.gif"/>
        <xdr:cNvPicPr>
          <a:picLocks noChangeAspect="1" noChangeArrowheads="1"/>
        </xdr:cNvPicPr>
      </xdr:nvPicPr>
      <xdr:blipFill>
        <a:blip xmlns:r="http://schemas.openxmlformats.org/officeDocument/2006/relationships" r:embed="rId7" cstate="print"/>
        <a:srcRect/>
        <a:stretch>
          <a:fillRect/>
        </a:stretch>
      </xdr:blipFill>
      <xdr:spPr bwMode="auto">
        <a:xfrm>
          <a:off x="4267200" y="28213050"/>
          <a:ext cx="114300" cy="95250"/>
        </a:xfrm>
        <a:prstGeom prst="rect">
          <a:avLst/>
        </a:prstGeom>
        <a:noFill/>
      </xdr:spPr>
    </xdr:pic>
    <xdr:clientData/>
  </xdr:twoCellAnchor>
  <xdr:twoCellAnchor>
    <xdr:from>
      <xdr:col>7</xdr:col>
      <xdr:colOff>0</xdr:colOff>
      <xdr:row>145</xdr:row>
      <xdr:rowOff>0</xdr:rowOff>
    </xdr:from>
    <xdr:to>
      <xdr:col>7</xdr:col>
      <xdr:colOff>104775</xdr:colOff>
      <xdr:row>145</xdr:row>
      <xdr:rowOff>133350</xdr:rowOff>
    </xdr:to>
    <xdr:pic>
      <xdr:nvPicPr>
        <xdr:cNvPr id="1034" name="Picture 32" descr="http://xoomer.virgilio.it/vtomezzo/sunriset/formulas/la.gif"/>
        <xdr:cNvPicPr>
          <a:picLocks noChangeAspect="1" noChangeArrowheads="1"/>
        </xdr:cNvPicPr>
      </xdr:nvPicPr>
      <xdr:blipFill>
        <a:blip xmlns:r="http://schemas.openxmlformats.org/officeDocument/2006/relationships" r:embed="rId8" cstate="print"/>
        <a:srcRect/>
        <a:stretch>
          <a:fillRect/>
        </a:stretch>
      </xdr:blipFill>
      <xdr:spPr bwMode="auto">
        <a:xfrm>
          <a:off x="4267200" y="29546550"/>
          <a:ext cx="104775" cy="133350"/>
        </a:xfrm>
        <a:prstGeom prst="rect">
          <a:avLst/>
        </a:prstGeom>
        <a:noFill/>
      </xdr:spPr>
    </xdr:pic>
    <xdr:clientData/>
  </xdr:twoCellAnchor>
  <xdr:twoCellAnchor>
    <xdr:from>
      <xdr:col>7</xdr:col>
      <xdr:colOff>0</xdr:colOff>
      <xdr:row>146</xdr:row>
      <xdr:rowOff>0</xdr:rowOff>
    </xdr:from>
    <xdr:to>
      <xdr:col>7</xdr:col>
      <xdr:colOff>85725</xdr:colOff>
      <xdr:row>146</xdr:row>
      <xdr:rowOff>142875</xdr:rowOff>
    </xdr:to>
    <xdr:pic>
      <xdr:nvPicPr>
        <xdr:cNvPr id="1033" name="Picture 33"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4267200" y="29737050"/>
          <a:ext cx="85725" cy="142875"/>
        </a:xfrm>
        <a:prstGeom prst="rect">
          <a:avLst/>
        </a:prstGeom>
        <a:noFill/>
      </xdr:spPr>
    </xdr:pic>
    <xdr:clientData/>
  </xdr:twoCellAnchor>
  <xdr:twoCellAnchor>
    <xdr:from>
      <xdr:col>7</xdr:col>
      <xdr:colOff>0</xdr:colOff>
      <xdr:row>148</xdr:row>
      <xdr:rowOff>0</xdr:rowOff>
    </xdr:from>
    <xdr:to>
      <xdr:col>7</xdr:col>
      <xdr:colOff>104775</xdr:colOff>
      <xdr:row>148</xdr:row>
      <xdr:rowOff>133350</xdr:rowOff>
    </xdr:to>
    <xdr:pic>
      <xdr:nvPicPr>
        <xdr:cNvPr id="1032" name="Picture 34" descr="http://xoomer.virgilio.it/vtomezzo/sunriset/formulas/la.gif"/>
        <xdr:cNvPicPr>
          <a:picLocks noChangeAspect="1" noChangeArrowheads="1"/>
        </xdr:cNvPicPr>
      </xdr:nvPicPr>
      <xdr:blipFill>
        <a:blip xmlns:r="http://schemas.openxmlformats.org/officeDocument/2006/relationships" r:embed="rId8" cstate="print"/>
        <a:srcRect/>
        <a:stretch>
          <a:fillRect/>
        </a:stretch>
      </xdr:blipFill>
      <xdr:spPr bwMode="auto">
        <a:xfrm>
          <a:off x="4267200" y="30118050"/>
          <a:ext cx="104775" cy="133350"/>
        </a:xfrm>
        <a:prstGeom prst="rect">
          <a:avLst/>
        </a:prstGeom>
        <a:noFill/>
      </xdr:spPr>
    </xdr:pic>
    <xdr:clientData/>
  </xdr:twoCellAnchor>
  <xdr:twoCellAnchor>
    <xdr:from>
      <xdr:col>7</xdr:col>
      <xdr:colOff>0</xdr:colOff>
      <xdr:row>149</xdr:row>
      <xdr:rowOff>0</xdr:rowOff>
    </xdr:from>
    <xdr:to>
      <xdr:col>7</xdr:col>
      <xdr:colOff>85725</xdr:colOff>
      <xdr:row>149</xdr:row>
      <xdr:rowOff>142875</xdr:rowOff>
    </xdr:to>
    <xdr:pic>
      <xdr:nvPicPr>
        <xdr:cNvPr id="1031" name="Picture 35"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4267200" y="30308550"/>
          <a:ext cx="85725" cy="142875"/>
        </a:xfrm>
        <a:prstGeom prst="rect">
          <a:avLst/>
        </a:prstGeom>
        <a:noFill/>
      </xdr:spPr>
    </xdr:pic>
    <xdr:clientData/>
  </xdr:twoCellAnchor>
  <xdr:twoCellAnchor>
    <xdr:from>
      <xdr:col>7</xdr:col>
      <xdr:colOff>0</xdr:colOff>
      <xdr:row>153</xdr:row>
      <xdr:rowOff>0</xdr:rowOff>
    </xdr:from>
    <xdr:to>
      <xdr:col>7</xdr:col>
      <xdr:colOff>561975</xdr:colOff>
      <xdr:row>154</xdr:row>
      <xdr:rowOff>9525</xdr:rowOff>
    </xdr:to>
    <xdr:pic>
      <xdr:nvPicPr>
        <xdr:cNvPr id="1030" name="Picture 36" descr="http://xoomer.virgilio.it/vtomezzo/sunriset/formulas/sqrt.gif"/>
        <xdr:cNvPicPr>
          <a:picLocks noChangeAspect="1" noChangeArrowheads="1"/>
        </xdr:cNvPicPr>
      </xdr:nvPicPr>
      <xdr:blipFill>
        <a:blip xmlns:r="http://schemas.openxmlformats.org/officeDocument/2006/relationships" r:embed="rId9" cstate="print"/>
        <a:srcRect/>
        <a:stretch>
          <a:fillRect/>
        </a:stretch>
      </xdr:blipFill>
      <xdr:spPr bwMode="auto">
        <a:xfrm>
          <a:off x="4267200" y="31070550"/>
          <a:ext cx="561975" cy="200025"/>
        </a:xfrm>
        <a:prstGeom prst="rect">
          <a:avLst/>
        </a:prstGeom>
        <a:noFill/>
      </xdr:spPr>
    </xdr:pic>
    <xdr:clientData/>
  </xdr:twoCellAnchor>
  <xdr:twoCellAnchor>
    <xdr:from>
      <xdr:col>7</xdr:col>
      <xdr:colOff>0</xdr:colOff>
      <xdr:row>158</xdr:row>
      <xdr:rowOff>0</xdr:rowOff>
    </xdr:from>
    <xdr:to>
      <xdr:col>7</xdr:col>
      <xdr:colOff>104775</xdr:colOff>
      <xdr:row>158</xdr:row>
      <xdr:rowOff>133350</xdr:rowOff>
    </xdr:to>
    <xdr:pic>
      <xdr:nvPicPr>
        <xdr:cNvPr id="1029" name="Picture 37" descr="http://xoomer.virgilio.it/vtomezzo/sunriset/formulas/lesser.gif"/>
        <xdr:cNvPicPr>
          <a:picLocks noChangeAspect="1" noChangeArrowheads="1"/>
        </xdr:cNvPicPr>
      </xdr:nvPicPr>
      <xdr:blipFill>
        <a:blip xmlns:r="http://schemas.openxmlformats.org/officeDocument/2006/relationships" r:embed="rId10" cstate="print"/>
        <a:srcRect/>
        <a:stretch>
          <a:fillRect/>
        </a:stretch>
      </xdr:blipFill>
      <xdr:spPr bwMode="auto">
        <a:xfrm>
          <a:off x="4267200" y="32023050"/>
          <a:ext cx="104775" cy="133350"/>
        </a:xfrm>
        <a:prstGeom prst="rect">
          <a:avLst/>
        </a:prstGeom>
        <a:noFill/>
      </xdr:spPr>
    </xdr:pic>
    <xdr:clientData/>
  </xdr:twoCellAnchor>
  <xdr:twoCellAnchor>
    <xdr:from>
      <xdr:col>7</xdr:col>
      <xdr:colOff>0</xdr:colOff>
      <xdr:row>160</xdr:row>
      <xdr:rowOff>0</xdr:rowOff>
    </xdr:from>
    <xdr:to>
      <xdr:col>7</xdr:col>
      <xdr:colOff>104775</xdr:colOff>
      <xdr:row>160</xdr:row>
      <xdr:rowOff>133350</xdr:rowOff>
    </xdr:to>
    <xdr:pic>
      <xdr:nvPicPr>
        <xdr:cNvPr id="1028" name="Picture 38" descr="http://xoomer.virgilio.it/vtomezzo/sunriset/formulas/greater.gif"/>
        <xdr:cNvPicPr>
          <a:picLocks noChangeAspect="1" noChangeArrowheads="1"/>
        </xdr:cNvPicPr>
      </xdr:nvPicPr>
      <xdr:blipFill>
        <a:blip xmlns:r="http://schemas.openxmlformats.org/officeDocument/2006/relationships" r:embed="rId11" cstate="print"/>
        <a:srcRect/>
        <a:stretch>
          <a:fillRect/>
        </a:stretch>
      </xdr:blipFill>
      <xdr:spPr bwMode="auto">
        <a:xfrm>
          <a:off x="4267200" y="32404050"/>
          <a:ext cx="104775" cy="133350"/>
        </a:xfrm>
        <a:prstGeom prst="rect">
          <a:avLst/>
        </a:prstGeom>
        <a:noFill/>
      </xdr:spPr>
    </xdr:pic>
    <xdr:clientData/>
  </xdr:twoCellAnchor>
  <xdr:twoCellAnchor>
    <xdr:from>
      <xdr:col>9</xdr:col>
      <xdr:colOff>0</xdr:colOff>
      <xdr:row>170</xdr:row>
      <xdr:rowOff>0</xdr:rowOff>
    </xdr:from>
    <xdr:to>
      <xdr:col>9</xdr:col>
      <xdr:colOff>114300</xdr:colOff>
      <xdr:row>170</xdr:row>
      <xdr:rowOff>95250</xdr:rowOff>
    </xdr:to>
    <xdr:pic>
      <xdr:nvPicPr>
        <xdr:cNvPr id="1027" name="Picture 39" descr="http://xoomer.virgilio.it/vtomezzo/sunriset/formulas/a.gif"/>
        <xdr:cNvPicPr>
          <a:picLocks noChangeAspect="1" noChangeArrowheads="1"/>
        </xdr:cNvPicPr>
      </xdr:nvPicPr>
      <xdr:blipFill>
        <a:blip xmlns:r="http://schemas.openxmlformats.org/officeDocument/2006/relationships" r:embed="rId7" cstate="print"/>
        <a:srcRect/>
        <a:stretch>
          <a:fillRect/>
        </a:stretch>
      </xdr:blipFill>
      <xdr:spPr bwMode="auto">
        <a:xfrm>
          <a:off x="11115675" y="34337625"/>
          <a:ext cx="114300" cy="95250"/>
        </a:xfrm>
        <a:prstGeom prst="rect">
          <a:avLst/>
        </a:prstGeom>
        <a:noFill/>
      </xdr:spPr>
    </xdr:pic>
    <xdr:clientData/>
  </xdr:twoCellAnchor>
  <xdr:twoCellAnchor>
    <xdr:from>
      <xdr:col>7</xdr:col>
      <xdr:colOff>0</xdr:colOff>
      <xdr:row>195</xdr:row>
      <xdr:rowOff>0</xdr:rowOff>
    </xdr:from>
    <xdr:to>
      <xdr:col>7</xdr:col>
      <xdr:colOff>161925</xdr:colOff>
      <xdr:row>195</xdr:row>
      <xdr:rowOff>152400</xdr:rowOff>
    </xdr:to>
    <xdr:pic>
      <xdr:nvPicPr>
        <xdr:cNvPr id="1026" name="Picture 43" descr="http://xoomer.virgilio.it/vtomezzo/sunriset/Images/up_arrow.gif">
          <a:hlinkClick xmlns:r="http://schemas.openxmlformats.org/officeDocument/2006/relationships" r:id="rId12"/>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267200" y="39366825"/>
          <a:ext cx="161925" cy="152400"/>
        </a:xfrm>
        <a:prstGeom prst="rect">
          <a:avLst/>
        </a:prstGeom>
        <a:noFill/>
      </xdr:spPr>
    </xdr:pic>
    <xdr:clientData/>
  </xdr:twoCellAnchor>
  <xdr:twoCellAnchor>
    <xdr:from>
      <xdr:col>9</xdr:col>
      <xdr:colOff>0</xdr:colOff>
      <xdr:row>210</xdr:row>
      <xdr:rowOff>0</xdr:rowOff>
    </xdr:from>
    <xdr:to>
      <xdr:col>9</xdr:col>
      <xdr:colOff>85725</xdr:colOff>
      <xdr:row>210</xdr:row>
      <xdr:rowOff>142875</xdr:rowOff>
    </xdr:to>
    <xdr:pic>
      <xdr:nvPicPr>
        <xdr:cNvPr id="1025" name="Picture 45" descr="http://xoomer.virgilio.it/vtomezzo/sunriset/formulas/d.gif"/>
        <xdr:cNvPicPr>
          <a:picLocks noChangeAspect="1" noChangeArrowheads="1"/>
        </xdr:cNvPicPr>
      </xdr:nvPicPr>
      <xdr:blipFill>
        <a:blip xmlns:r="http://schemas.openxmlformats.org/officeDocument/2006/relationships" r:embed="rId6" cstate="print"/>
        <a:srcRect/>
        <a:stretch>
          <a:fillRect/>
        </a:stretch>
      </xdr:blipFill>
      <xdr:spPr bwMode="auto">
        <a:xfrm>
          <a:off x="11115675" y="42567225"/>
          <a:ext cx="85725" cy="14287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36</xdr:row>
      <xdr:rowOff>0</xdr:rowOff>
    </xdr:from>
    <xdr:to>
      <xdr:col>3</xdr:col>
      <xdr:colOff>99060</xdr:colOff>
      <xdr:row>36</xdr:row>
      <xdr:rowOff>99060</xdr:rowOff>
    </xdr:to>
    <xdr:pic>
      <xdr:nvPicPr>
        <xdr:cNvPr id="6155" name="Picture 11"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7688580"/>
          <a:ext cx="99060" cy="99060"/>
        </a:xfrm>
        <a:prstGeom prst="rect">
          <a:avLst/>
        </a:prstGeom>
        <a:noFill/>
      </xdr:spPr>
    </xdr:pic>
    <xdr:clientData/>
  </xdr:twoCellAnchor>
  <xdr:twoCellAnchor editAs="oneCell">
    <xdr:from>
      <xdr:col>3</xdr:col>
      <xdr:colOff>0</xdr:colOff>
      <xdr:row>55</xdr:row>
      <xdr:rowOff>0</xdr:rowOff>
    </xdr:from>
    <xdr:to>
      <xdr:col>3</xdr:col>
      <xdr:colOff>99060</xdr:colOff>
      <xdr:row>55</xdr:row>
      <xdr:rowOff>99060</xdr:rowOff>
    </xdr:to>
    <xdr:pic>
      <xdr:nvPicPr>
        <xdr:cNvPr id="6156" name="Picture 12"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11582400"/>
          <a:ext cx="99060" cy="99060"/>
        </a:xfrm>
        <a:prstGeom prst="rect">
          <a:avLst/>
        </a:prstGeom>
        <a:noFill/>
      </xdr:spPr>
    </xdr:pic>
    <xdr:clientData/>
  </xdr:twoCellAnchor>
  <xdr:twoCellAnchor editAs="oneCell">
    <xdr:from>
      <xdr:col>3</xdr:col>
      <xdr:colOff>0</xdr:colOff>
      <xdr:row>60</xdr:row>
      <xdr:rowOff>0</xdr:rowOff>
    </xdr:from>
    <xdr:to>
      <xdr:col>3</xdr:col>
      <xdr:colOff>99060</xdr:colOff>
      <xdr:row>60</xdr:row>
      <xdr:rowOff>99060</xdr:rowOff>
    </xdr:to>
    <xdr:pic>
      <xdr:nvPicPr>
        <xdr:cNvPr id="6157" name="Picture 13"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13053060"/>
          <a:ext cx="99060" cy="99060"/>
        </a:xfrm>
        <a:prstGeom prst="rect">
          <a:avLst/>
        </a:prstGeom>
        <a:noFill/>
      </xdr:spPr>
    </xdr:pic>
    <xdr:clientData/>
  </xdr:twoCellAnchor>
  <xdr:twoCellAnchor editAs="oneCell">
    <xdr:from>
      <xdr:col>3</xdr:col>
      <xdr:colOff>0</xdr:colOff>
      <xdr:row>71</xdr:row>
      <xdr:rowOff>0</xdr:rowOff>
    </xdr:from>
    <xdr:to>
      <xdr:col>3</xdr:col>
      <xdr:colOff>99060</xdr:colOff>
      <xdr:row>71</xdr:row>
      <xdr:rowOff>99060</xdr:rowOff>
    </xdr:to>
    <xdr:pic>
      <xdr:nvPicPr>
        <xdr:cNvPr id="6158" name="Picture 14"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16398240"/>
          <a:ext cx="99060" cy="99060"/>
        </a:xfrm>
        <a:prstGeom prst="rect">
          <a:avLst/>
        </a:prstGeom>
        <a:noFill/>
      </xdr:spPr>
    </xdr:pic>
    <xdr:clientData/>
  </xdr:twoCellAnchor>
  <xdr:twoCellAnchor editAs="oneCell">
    <xdr:from>
      <xdr:col>3</xdr:col>
      <xdr:colOff>0</xdr:colOff>
      <xdr:row>93</xdr:row>
      <xdr:rowOff>0</xdr:rowOff>
    </xdr:from>
    <xdr:to>
      <xdr:col>3</xdr:col>
      <xdr:colOff>99060</xdr:colOff>
      <xdr:row>93</xdr:row>
      <xdr:rowOff>99060</xdr:rowOff>
    </xdr:to>
    <xdr:pic>
      <xdr:nvPicPr>
        <xdr:cNvPr id="6159" name="Picture 15"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3347680"/>
          <a:ext cx="99060" cy="99060"/>
        </a:xfrm>
        <a:prstGeom prst="rect">
          <a:avLst/>
        </a:prstGeom>
        <a:noFill/>
      </xdr:spPr>
    </xdr:pic>
    <xdr:clientData/>
  </xdr:twoCellAnchor>
  <xdr:twoCellAnchor editAs="oneCell">
    <xdr:from>
      <xdr:col>3</xdr:col>
      <xdr:colOff>0</xdr:colOff>
      <xdr:row>106</xdr:row>
      <xdr:rowOff>0</xdr:rowOff>
    </xdr:from>
    <xdr:to>
      <xdr:col>3</xdr:col>
      <xdr:colOff>99060</xdr:colOff>
      <xdr:row>106</xdr:row>
      <xdr:rowOff>99060</xdr:rowOff>
    </xdr:to>
    <xdr:pic>
      <xdr:nvPicPr>
        <xdr:cNvPr id="6160" name="Picture 16"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6212800"/>
          <a:ext cx="99060" cy="99060"/>
        </a:xfrm>
        <a:prstGeom prst="rect">
          <a:avLst/>
        </a:prstGeom>
        <a:noFill/>
      </xdr:spPr>
    </xdr:pic>
    <xdr:clientData/>
  </xdr:twoCellAnchor>
  <xdr:twoCellAnchor editAs="oneCell">
    <xdr:from>
      <xdr:col>3</xdr:col>
      <xdr:colOff>0</xdr:colOff>
      <xdr:row>120</xdr:row>
      <xdr:rowOff>0</xdr:rowOff>
    </xdr:from>
    <xdr:to>
      <xdr:col>3</xdr:col>
      <xdr:colOff>99060</xdr:colOff>
      <xdr:row>120</xdr:row>
      <xdr:rowOff>99060</xdr:rowOff>
    </xdr:to>
    <xdr:pic>
      <xdr:nvPicPr>
        <xdr:cNvPr id="6161" name="Picture 17"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29298900"/>
          <a:ext cx="99060" cy="99060"/>
        </a:xfrm>
        <a:prstGeom prst="rect">
          <a:avLst/>
        </a:prstGeom>
        <a:noFill/>
      </xdr:spPr>
    </xdr:pic>
    <xdr:clientData/>
  </xdr:twoCellAnchor>
  <xdr:twoCellAnchor editAs="oneCell">
    <xdr:from>
      <xdr:col>3</xdr:col>
      <xdr:colOff>0</xdr:colOff>
      <xdr:row>134</xdr:row>
      <xdr:rowOff>0</xdr:rowOff>
    </xdr:from>
    <xdr:to>
      <xdr:col>3</xdr:col>
      <xdr:colOff>99060</xdr:colOff>
      <xdr:row>134</xdr:row>
      <xdr:rowOff>99060</xdr:rowOff>
    </xdr:to>
    <xdr:pic>
      <xdr:nvPicPr>
        <xdr:cNvPr id="6162" name="Picture 18"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32605980"/>
          <a:ext cx="99060" cy="99060"/>
        </a:xfrm>
        <a:prstGeom prst="rect">
          <a:avLst/>
        </a:prstGeom>
        <a:noFill/>
      </xdr:spPr>
    </xdr:pic>
    <xdr:clientData/>
  </xdr:twoCellAnchor>
  <xdr:twoCellAnchor editAs="oneCell">
    <xdr:from>
      <xdr:col>3</xdr:col>
      <xdr:colOff>0</xdr:colOff>
      <xdr:row>147</xdr:row>
      <xdr:rowOff>0</xdr:rowOff>
    </xdr:from>
    <xdr:to>
      <xdr:col>3</xdr:col>
      <xdr:colOff>99060</xdr:colOff>
      <xdr:row>147</xdr:row>
      <xdr:rowOff>99060</xdr:rowOff>
    </xdr:to>
    <xdr:pic>
      <xdr:nvPicPr>
        <xdr:cNvPr id="6163" name="Picture 19"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36796980"/>
          <a:ext cx="99060" cy="99060"/>
        </a:xfrm>
        <a:prstGeom prst="rect">
          <a:avLst/>
        </a:prstGeom>
        <a:noFill/>
      </xdr:spPr>
    </xdr:pic>
    <xdr:clientData/>
  </xdr:twoCellAnchor>
  <xdr:twoCellAnchor editAs="oneCell">
    <xdr:from>
      <xdr:col>3</xdr:col>
      <xdr:colOff>0</xdr:colOff>
      <xdr:row>207</xdr:row>
      <xdr:rowOff>0</xdr:rowOff>
    </xdr:from>
    <xdr:to>
      <xdr:col>3</xdr:col>
      <xdr:colOff>99060</xdr:colOff>
      <xdr:row>207</xdr:row>
      <xdr:rowOff>99060</xdr:rowOff>
    </xdr:to>
    <xdr:pic>
      <xdr:nvPicPr>
        <xdr:cNvPr id="6164" name="Picture 20" descr="computatio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49088040"/>
          <a:ext cx="99060" cy="9906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65</xdr:row>
      <xdr:rowOff>0</xdr:rowOff>
    </xdr:from>
    <xdr:to>
      <xdr:col>4</xdr:col>
      <xdr:colOff>228600</xdr:colOff>
      <xdr:row>65</xdr:row>
      <xdr:rowOff>38100</xdr:rowOff>
    </xdr:to>
    <xdr:pic>
      <xdr:nvPicPr>
        <xdr:cNvPr id="9223" name="Picture 7" descr="this area intentionally blank"/>
        <xdr:cNvPicPr>
          <a:picLocks noChangeAspect="1" noChangeArrowheads="1"/>
        </xdr:cNvPicPr>
      </xdr:nvPicPr>
      <xdr:blipFill>
        <a:blip xmlns:r="http://schemas.openxmlformats.org/officeDocument/2006/relationships" r:embed="rId1" cstate="print"/>
        <a:srcRect/>
        <a:stretch>
          <a:fillRect/>
        </a:stretch>
      </xdr:blipFill>
      <xdr:spPr bwMode="auto">
        <a:xfrm>
          <a:off x="4991100" y="18127980"/>
          <a:ext cx="228600" cy="38100"/>
        </a:xfrm>
        <a:prstGeom prst="rect">
          <a:avLst/>
        </a:prstGeom>
        <a:noFill/>
      </xdr:spPr>
    </xdr:pic>
    <xdr:clientData/>
  </xdr:twoCellAnchor>
  <xdr:twoCellAnchor editAs="oneCell">
    <xdr:from>
      <xdr:col>4</xdr:col>
      <xdr:colOff>0</xdr:colOff>
      <xdr:row>75</xdr:row>
      <xdr:rowOff>0</xdr:rowOff>
    </xdr:from>
    <xdr:to>
      <xdr:col>4</xdr:col>
      <xdr:colOff>228600</xdr:colOff>
      <xdr:row>75</xdr:row>
      <xdr:rowOff>38100</xdr:rowOff>
    </xdr:to>
    <xdr:pic>
      <xdr:nvPicPr>
        <xdr:cNvPr id="9224" name="Picture 8" descr="this area intentionally blank"/>
        <xdr:cNvPicPr>
          <a:picLocks noChangeAspect="1" noChangeArrowheads="1"/>
        </xdr:cNvPicPr>
      </xdr:nvPicPr>
      <xdr:blipFill>
        <a:blip xmlns:r="http://schemas.openxmlformats.org/officeDocument/2006/relationships" r:embed="rId1" cstate="print"/>
        <a:srcRect/>
        <a:stretch>
          <a:fillRect/>
        </a:stretch>
      </xdr:blipFill>
      <xdr:spPr bwMode="auto">
        <a:xfrm>
          <a:off x="4991100" y="25130760"/>
          <a:ext cx="228600" cy="381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42</xdr:row>
      <xdr:rowOff>0</xdr:rowOff>
    </xdr:from>
    <xdr:to>
      <xdr:col>15</xdr:col>
      <xdr:colOff>466090</xdr:colOff>
      <xdr:row>44</xdr:row>
      <xdr:rowOff>35560</xdr:rowOff>
    </xdr:to>
    <xdr:pic>
      <xdr:nvPicPr>
        <xdr:cNvPr id="2" name="Picture 1" descr="Twilight Formula">
          <a:hlinkClick xmlns:r="http://schemas.openxmlformats.org/officeDocument/2006/relationships" r:id="rId1" tooltip="&quot;Twilight Formula&quot;"/>
        </xdr:cNvPr>
        <xdr:cNvPicPr/>
      </xdr:nvPicPr>
      <xdr:blipFill>
        <a:blip xmlns:r="http://schemas.openxmlformats.org/officeDocument/2006/relationships" r:embed="rId2" cstate="print"/>
        <a:srcRect/>
        <a:stretch>
          <a:fillRect/>
        </a:stretch>
      </xdr:blipFill>
      <xdr:spPr bwMode="auto">
        <a:xfrm>
          <a:off x="6705600" y="7010400"/>
          <a:ext cx="3125470" cy="40132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1973580</xdr:colOff>
      <xdr:row>13</xdr:row>
      <xdr:rowOff>15240</xdr:rowOff>
    </xdr:to>
    <xdr:pic>
      <xdr:nvPicPr>
        <xdr:cNvPr id="1027" name="Picture 3" descr="\begin{matrix}a &amp; = &amp; \frac{14 - \text{month}}{12}\ \\ \\y &amp; = &amp; \text{year} + 4800 - a \\ \\m &amp; = &amp; \text{month} + 12a - 3 \\\end{matrix}"/>
        <xdr:cNvPicPr>
          <a:picLocks noChangeAspect="1" noChangeArrowheads="1"/>
        </xdr:cNvPicPr>
      </xdr:nvPicPr>
      <xdr:blipFill>
        <a:blip xmlns:r="http://schemas.openxmlformats.org/officeDocument/2006/relationships" r:embed="rId1" cstate="print"/>
        <a:srcRect/>
        <a:stretch>
          <a:fillRect/>
        </a:stretch>
      </xdr:blipFill>
      <xdr:spPr bwMode="auto">
        <a:xfrm>
          <a:off x="1219200" y="1463040"/>
          <a:ext cx="1973580" cy="1112520"/>
        </a:xfrm>
        <a:prstGeom prst="rect">
          <a:avLst/>
        </a:prstGeom>
        <a:noFill/>
      </xdr:spPr>
    </xdr:pic>
    <xdr:clientData/>
  </xdr:twoCellAnchor>
  <xdr:twoCellAnchor editAs="oneCell">
    <xdr:from>
      <xdr:col>0</xdr:col>
      <xdr:colOff>546340</xdr:colOff>
      <xdr:row>15</xdr:row>
      <xdr:rowOff>0</xdr:rowOff>
    </xdr:from>
    <xdr:to>
      <xdr:col>3</xdr:col>
      <xdr:colOff>289560</xdr:colOff>
      <xdr:row>18</xdr:row>
      <xdr:rowOff>106680</xdr:rowOff>
    </xdr:to>
    <xdr:pic>
      <xdr:nvPicPr>
        <xdr:cNvPr id="1028" name="Picture 4" descr="&#10;J\!D\!N = &#10;\text{day} + &#10;\frac{153m+2}{5}+&#10;365y+&#10;\frac{y}{4} -&#10;\frac{y}{100} +&#10;\frac{y}{400} -&#10;32045&#10;"/>
        <xdr:cNvPicPr>
          <a:picLocks noChangeAspect="1" noChangeArrowheads="1"/>
        </xdr:cNvPicPr>
      </xdr:nvPicPr>
      <xdr:blipFill>
        <a:blip xmlns:r="http://schemas.openxmlformats.org/officeDocument/2006/relationships" r:embed="rId2" cstate="print"/>
        <a:srcRect/>
        <a:stretch>
          <a:fillRect/>
        </a:stretch>
      </xdr:blipFill>
      <xdr:spPr bwMode="auto">
        <a:xfrm>
          <a:off x="546340" y="2926080"/>
          <a:ext cx="5153420" cy="662940"/>
        </a:xfrm>
        <a:prstGeom prst="rect">
          <a:avLst/>
        </a:prstGeom>
        <a:noFill/>
      </xdr:spPr>
    </xdr:pic>
    <xdr:clientData/>
  </xdr:twoCellAnchor>
  <xdr:twoCellAnchor editAs="oneCell">
    <xdr:from>
      <xdr:col>1</xdr:col>
      <xdr:colOff>0</xdr:colOff>
      <xdr:row>21</xdr:row>
      <xdr:rowOff>51399</xdr:rowOff>
    </xdr:from>
    <xdr:to>
      <xdr:col>2</xdr:col>
      <xdr:colOff>3276600</xdr:colOff>
      <xdr:row>24</xdr:row>
      <xdr:rowOff>60960</xdr:rowOff>
    </xdr:to>
    <xdr:pic>
      <xdr:nvPicPr>
        <xdr:cNvPr id="1025" name="Picture 1" descr="\begin{matrix}J\!D &amp; = &amp; J\!D\!N + \frac{\text{hour} - 12}{24} + \frac{\text{minute}}{1440} + \frac{\text{second}}{86400}\end{matrix}."/>
        <xdr:cNvPicPr>
          <a:picLocks noChangeAspect="1" noChangeArrowheads="1"/>
        </xdr:cNvPicPr>
      </xdr:nvPicPr>
      <xdr:blipFill>
        <a:blip xmlns:r="http://schemas.openxmlformats.org/officeDocument/2006/relationships" r:embed="rId3" cstate="print"/>
        <a:srcRect/>
        <a:stretch>
          <a:fillRect/>
        </a:stretch>
      </xdr:blipFill>
      <xdr:spPr bwMode="auto">
        <a:xfrm>
          <a:off x="609600" y="4082379"/>
          <a:ext cx="3886200" cy="565821"/>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D-2012/latif%202012/Falak/Last%20version/Earth3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5"/>
      <sheetName val="Sheet6"/>
      <sheetName val="Sheet1"/>
      <sheetName val="Fi-F"/>
      <sheetName val="Rp-Rm"/>
      <sheetName val="Distance"/>
      <sheetName val="Calander day"/>
      <sheetName val="L"/>
      <sheetName val="B"/>
      <sheetName val="R"/>
      <sheetName val="venus"/>
      <sheetName val="Sheet3"/>
      <sheetName val="Ven-L"/>
      <sheetName val="Ven-B"/>
      <sheetName val="Ven-R"/>
      <sheetName val="Ven-Cal"/>
      <sheetName val="Dy-Venu"/>
      <sheetName val="CLAC"/>
      <sheetName val="Sun-Coor"/>
      <sheetName val="meeus"/>
      <sheetName val="dy-t"/>
      <sheetName val="orbitals-ven"/>
      <sheetName val="D-num"/>
      <sheetName val="EQ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8">
          <cell r="E38">
            <v>23.474197722922113</v>
          </cell>
        </row>
        <row r="42">
          <cell r="E42">
            <v>5.1882610803429889</v>
          </cell>
        </row>
      </sheetData>
      <sheetData sheetId="18"/>
      <sheetData sheetId="19">
        <row r="2">
          <cell r="E2" t="str">
            <v>y</v>
          </cell>
          <cell r="F2" t="str">
            <v>m</v>
          </cell>
          <cell r="G2" t="str">
            <v>D</v>
          </cell>
          <cell r="I2" t="str">
            <v>H</v>
          </cell>
          <cell r="J2" t="str">
            <v>M</v>
          </cell>
          <cell r="K2" t="str">
            <v>S</v>
          </cell>
          <cell r="L2" t="str">
            <v>Long.</v>
          </cell>
          <cell r="M2" t="str">
            <v>Lat.</v>
          </cell>
        </row>
        <row r="3">
          <cell r="F3">
            <v>11</v>
          </cell>
        </row>
      </sheetData>
      <sheetData sheetId="20" refreshError="1"/>
      <sheetData sheetId="21" refreshError="1"/>
      <sheetData sheetId="22">
        <row r="15">
          <cell r="D15">
            <v>320</v>
          </cell>
        </row>
      </sheetData>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xoomer.virgilio.it/vtomezzo/index.html" TargetMode="External"/><Relationship Id="rId1" Type="http://schemas.openxmlformats.org/officeDocument/2006/relationships/hyperlink" Target="http://xoomer.virgilio.it/vtomezzo/sunriset/index.html" TargetMode="Externa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www.stargazing.net/kepler/days.tx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aa.usno.navy.mil/faq/docs/calendars.php" TargetMode="External"/><Relationship Id="rId7" Type="http://schemas.openxmlformats.org/officeDocument/2006/relationships/drawing" Target="../drawings/drawing9.xml"/><Relationship Id="rId2" Type="http://schemas.openxmlformats.org/officeDocument/2006/relationships/hyperlink" Target="http://aa.usno.navy.mil/faq/docs/UT.php" TargetMode="External"/><Relationship Id="rId1" Type="http://schemas.openxmlformats.org/officeDocument/2006/relationships/hyperlink" Target="http://en.wikipedia.org/wiki/Julian_day" TargetMode="External"/><Relationship Id="rId6" Type="http://schemas.openxmlformats.org/officeDocument/2006/relationships/printerSettings" Target="../printerSettings/printerSettings8.bin"/><Relationship Id="rId5" Type="http://schemas.openxmlformats.org/officeDocument/2006/relationships/hyperlink" Target="http://aa.usno.navy.mil/data/docs/JulianDate.php" TargetMode="External"/><Relationship Id="rId4" Type="http://schemas.openxmlformats.org/officeDocument/2006/relationships/hyperlink" Target="http://aa.usno.navy.mil/software/docs/floppy.php"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8" Type="http://schemas.openxmlformats.org/officeDocument/2006/relationships/hyperlink" Target="http://en.wikipedia.org/wiki/Mean_Anomaly" TargetMode="External"/><Relationship Id="rId13" Type="http://schemas.openxmlformats.org/officeDocument/2006/relationships/hyperlink" Target="http://en.wikipedia.org/w/index.php?title=Sunrise_equation&amp;action=edit&amp;section=9" TargetMode="External"/><Relationship Id="rId18" Type="http://schemas.openxmlformats.org/officeDocument/2006/relationships/hyperlink" Target="http://en.wikipedia.org/w/index.php?title=Sunrise_equation&amp;action=edit&amp;section=13" TargetMode="External"/><Relationship Id="rId3" Type="http://schemas.openxmlformats.org/officeDocument/2006/relationships/hyperlink" Target="http://en.wikipedia.org/w/index.php?title=Sunrise_equation&amp;action=edit&amp;section=3" TargetMode="External"/><Relationship Id="rId21" Type="http://schemas.openxmlformats.org/officeDocument/2006/relationships/drawing" Target="../drawings/drawing16.xml"/><Relationship Id="rId7" Type="http://schemas.openxmlformats.org/officeDocument/2006/relationships/hyperlink" Target="http://en.wikipedia.org/w/index.php?title=Sunrise_equation&amp;action=edit&amp;section=6" TargetMode="External"/><Relationship Id="rId12" Type="http://schemas.openxmlformats.org/officeDocument/2006/relationships/hyperlink" Target="http://en.wikipedia.org/wiki/Ecliptic_longitude" TargetMode="External"/><Relationship Id="rId17" Type="http://schemas.openxmlformats.org/officeDocument/2006/relationships/hyperlink" Target="http://en.wikipedia.org/w/index.php?title=Sunrise_equation&amp;action=edit&amp;section=12" TargetMode="External"/><Relationship Id="rId2" Type="http://schemas.openxmlformats.org/officeDocument/2006/relationships/hyperlink" Target="http://en.wikipedia.org/wiki/Altitude" TargetMode="External"/><Relationship Id="rId16" Type="http://schemas.openxmlformats.org/officeDocument/2006/relationships/hyperlink" Target="http://en.wikipedia.org/w/index.php?title=Sunrise_equation&amp;action=edit&amp;section=11" TargetMode="External"/><Relationship Id="rId20" Type="http://schemas.openxmlformats.org/officeDocument/2006/relationships/printerSettings" Target="../printerSettings/printerSettings12.bin"/><Relationship Id="rId1" Type="http://schemas.openxmlformats.org/officeDocument/2006/relationships/hyperlink" Target="http://en.wikipedia.org/wiki/Atmospheric_refraction" TargetMode="External"/><Relationship Id="rId6" Type="http://schemas.openxmlformats.org/officeDocument/2006/relationships/hyperlink" Target="http://en.wikipedia.org/w/index.php?title=Sunrise_equation&amp;action=edit&amp;section=5" TargetMode="External"/><Relationship Id="rId11" Type="http://schemas.openxmlformats.org/officeDocument/2006/relationships/hyperlink" Target="http://en.wikipedia.org/w/index.php?title=Sunrise_equation&amp;action=edit&amp;section=8" TargetMode="External"/><Relationship Id="rId5" Type="http://schemas.openxmlformats.org/officeDocument/2006/relationships/hyperlink" Target="http://en.wikipedia.org/wiki/Julian_day" TargetMode="External"/><Relationship Id="rId15" Type="http://schemas.openxmlformats.org/officeDocument/2006/relationships/hyperlink" Target="http://en.wikipedia.org/w/index.php?title=Sunrise_equation&amp;action=edit&amp;section=10" TargetMode="External"/><Relationship Id="rId10" Type="http://schemas.openxmlformats.org/officeDocument/2006/relationships/hyperlink" Target="http://en.wikipedia.org/wiki/Equation_of_the_center" TargetMode="External"/><Relationship Id="rId19" Type="http://schemas.openxmlformats.org/officeDocument/2006/relationships/hyperlink" Target="http://en.wikipedia.org/wiki/Julian_day" TargetMode="External"/><Relationship Id="rId4" Type="http://schemas.openxmlformats.org/officeDocument/2006/relationships/hyperlink" Target="http://en.wikipedia.org/w/index.php?title=Sunrise_equation&amp;action=edit&amp;section=4" TargetMode="External"/><Relationship Id="rId9" Type="http://schemas.openxmlformats.org/officeDocument/2006/relationships/hyperlink" Target="http://en.wikipedia.org/w/index.php?title=Sunrise_equation&amp;action=edit&amp;section=7" TargetMode="External"/><Relationship Id="rId14" Type="http://schemas.openxmlformats.org/officeDocument/2006/relationships/hyperlink" Target="http://en.wikipedia.org/wiki/Solar_noon"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n.wikipedia.org/wiki/Universal_Tim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stjarnhimlen.se/comp/ppcomp.html" TargetMode="External"/><Relationship Id="rId1" Type="http://schemas.openxmlformats.org/officeDocument/2006/relationships/hyperlink" Target="http://www.stjarnhimlen.se/comp/ppcomp.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stargazing.net/kepler/sunrise.html" TargetMode="External"/><Relationship Id="rId1" Type="http://schemas.openxmlformats.org/officeDocument/2006/relationships/hyperlink" Target="http://www.stargazing.net/kepler/sunrise.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Z57"/>
  <sheetViews>
    <sheetView topLeftCell="D1" workbookViewId="0">
      <selection activeCell="E50" sqref="E50:F50"/>
    </sheetView>
  </sheetViews>
  <sheetFormatPr defaultRowHeight="14.4"/>
  <cols>
    <col min="25" max="25" width="16" customWidth="1"/>
    <col min="26" max="26" width="41.33203125" customWidth="1"/>
  </cols>
  <sheetData>
    <row r="3" spans="4:25" ht="18">
      <c r="L3" s="10" t="s">
        <v>46</v>
      </c>
      <c r="Y3" s="6" t="s">
        <v>151</v>
      </c>
    </row>
    <row r="4" spans="4:25" ht="18">
      <c r="L4" s="10" t="s">
        <v>47</v>
      </c>
      <c r="Y4" s="6"/>
    </row>
    <row r="5" spans="4:25" ht="18">
      <c r="D5" s="10" t="s">
        <v>35</v>
      </c>
      <c r="L5" s="10" t="s">
        <v>48</v>
      </c>
      <c r="Y5" s="6" t="s">
        <v>12</v>
      </c>
    </row>
    <row r="6" spans="4:25" ht="18">
      <c r="L6" s="10" t="s">
        <v>49</v>
      </c>
      <c r="Y6" s="6" t="s">
        <v>13</v>
      </c>
    </row>
    <row r="7" spans="4:25" ht="18">
      <c r="D7" s="10" t="s">
        <v>36</v>
      </c>
      <c r="L7" s="10" t="s">
        <v>50</v>
      </c>
      <c r="Y7" s="6" t="s">
        <v>14</v>
      </c>
    </row>
    <row r="8" spans="4:25" ht="18">
      <c r="D8" s="10" t="s">
        <v>37</v>
      </c>
      <c r="L8" s="10" t="s">
        <v>51</v>
      </c>
      <c r="Y8" s="6"/>
    </row>
    <row r="9" spans="4:25" ht="18">
      <c r="L9" s="12" t="s">
        <v>52</v>
      </c>
      <c r="Y9" s="6" t="s">
        <v>15</v>
      </c>
    </row>
    <row r="10" spans="4:25" ht="18">
      <c r="D10" s="10" t="s">
        <v>38</v>
      </c>
      <c r="L10" s="10" t="s">
        <v>53</v>
      </c>
      <c r="Y10" s="6" t="s">
        <v>16</v>
      </c>
    </row>
    <row r="11" spans="4:25" ht="18">
      <c r="D11" s="10" t="s">
        <v>39</v>
      </c>
      <c r="L11" s="10" t="s">
        <v>54</v>
      </c>
      <c r="Y11" s="6" t="s">
        <v>17</v>
      </c>
    </row>
    <row r="12" spans="4:25" ht="18">
      <c r="L12" s="10" t="s">
        <v>55</v>
      </c>
      <c r="Y12" s="6"/>
    </row>
    <row r="13" spans="4:25" ht="18">
      <c r="E13" s="11" t="s">
        <v>40</v>
      </c>
      <c r="L13" s="10" t="s">
        <v>56</v>
      </c>
      <c r="Y13" s="6" t="s">
        <v>18</v>
      </c>
    </row>
    <row r="14" spans="4:25" ht="18">
      <c r="L14" s="10" t="s">
        <v>57</v>
      </c>
      <c r="Y14" s="6" t="s">
        <v>19</v>
      </c>
    </row>
    <row r="15" spans="4:25">
      <c r="L15" s="10" t="s">
        <v>58</v>
      </c>
    </row>
    <row r="16" spans="4:25">
      <c r="D16" s="10" t="s">
        <v>41</v>
      </c>
      <c r="L16" s="10" t="s">
        <v>59</v>
      </c>
    </row>
    <row r="17" spans="4:26">
      <c r="D17" s="10" t="s">
        <v>42</v>
      </c>
      <c r="L17" s="10" t="s">
        <v>60</v>
      </c>
      <c r="Y17" s="7" t="s">
        <v>85</v>
      </c>
    </row>
    <row r="18" spans="4:26">
      <c r="D18" s="10"/>
      <c r="Y18" s="13" t="s">
        <v>86</v>
      </c>
    </row>
    <row r="19" spans="4:26" ht="27.6">
      <c r="D19" s="10" t="s">
        <v>43</v>
      </c>
      <c r="Y19" s="14" t="s">
        <v>87</v>
      </c>
      <c r="Z19" s="14" t="s">
        <v>88</v>
      </c>
    </row>
    <row r="20" spans="4:26" ht="27.6">
      <c r="D20" s="10" t="s">
        <v>44</v>
      </c>
      <c r="Y20" s="14" t="s">
        <v>89</v>
      </c>
      <c r="Z20" s="14" t="s">
        <v>90</v>
      </c>
    </row>
    <row r="21" spans="4:26" ht="55.2">
      <c r="Y21" s="14" t="s">
        <v>91</v>
      </c>
      <c r="Z21" s="185" t="s">
        <v>93</v>
      </c>
    </row>
    <row r="22" spans="4:26" ht="41.4">
      <c r="D22" s="10" t="s">
        <v>45</v>
      </c>
      <c r="Y22" s="14" t="s">
        <v>92</v>
      </c>
      <c r="Z22" s="185"/>
    </row>
    <row r="23" spans="4:26">
      <c r="Y23" s="13" t="s">
        <v>94</v>
      </c>
    </row>
    <row r="24" spans="4:26">
      <c r="D24" s="10" t="s">
        <v>61</v>
      </c>
      <c r="Y24" s="13" t="s">
        <v>95</v>
      </c>
    </row>
    <row r="25" spans="4:26">
      <c r="Y25" s="7" t="s">
        <v>96</v>
      </c>
    </row>
    <row r="26" spans="4:26">
      <c r="Y26" s="13" t="s">
        <v>152</v>
      </c>
    </row>
    <row r="27" spans="4:26" ht="18">
      <c r="D27" s="12" t="s">
        <v>62</v>
      </c>
      <c r="Y27" s="7" t="s">
        <v>153</v>
      </c>
    </row>
    <row r="28" spans="4:26">
      <c r="D28" s="10" t="s">
        <v>63</v>
      </c>
      <c r="Y28" s="13" t="s">
        <v>154</v>
      </c>
    </row>
    <row r="29" spans="4:26">
      <c r="D29" s="10" t="s">
        <v>64</v>
      </c>
      <c r="Y29" s="7" t="s">
        <v>28</v>
      </c>
    </row>
    <row r="30" spans="4:26">
      <c r="D30" s="10" t="s">
        <v>65</v>
      </c>
      <c r="Y30" s="8" t="s">
        <v>29</v>
      </c>
    </row>
    <row r="31" spans="4:26" ht="16.8">
      <c r="D31" s="10" t="s">
        <v>66</v>
      </c>
      <c r="Y31" s="13" t="s">
        <v>155</v>
      </c>
    </row>
    <row r="32" spans="4:26">
      <c r="D32" s="10" t="s">
        <v>67</v>
      </c>
      <c r="Y32" s="13" t="s">
        <v>156</v>
      </c>
    </row>
    <row r="33" spans="3:15">
      <c r="D33" s="10" t="s">
        <v>68</v>
      </c>
    </row>
    <row r="35" spans="3:15">
      <c r="C35" s="10" t="s">
        <v>72</v>
      </c>
    </row>
    <row r="37" spans="3:15">
      <c r="D37" t="s">
        <v>7</v>
      </c>
      <c r="E37">
        <v>2012</v>
      </c>
    </row>
    <row r="38" spans="3:15">
      <c r="D38" t="s">
        <v>8</v>
      </c>
      <c r="E38">
        <v>4</v>
      </c>
    </row>
    <row r="39" spans="3:15">
      <c r="D39" t="s">
        <v>69</v>
      </c>
      <c r="E39">
        <v>25</v>
      </c>
      <c r="O39" s="9" t="s">
        <v>34</v>
      </c>
    </row>
    <row r="40" spans="3:15">
      <c r="D40" t="s">
        <v>20</v>
      </c>
      <c r="E40">
        <f>367*E37-7*(E37+(E38+9)/12)/4 +(275*E38/9)+E39-730530</f>
        <v>4498.326388888876</v>
      </c>
    </row>
    <row r="41" spans="3:15">
      <c r="D41" t="s">
        <v>24</v>
      </c>
      <c r="E41">
        <f>0.016709-(1.151*10^-9)*E40</f>
        <v>1.6703822426326391E-2</v>
      </c>
      <c r="N41">
        <f>(12+2)-(35.4/15)-5.37/60</f>
        <v>11.550500000000001</v>
      </c>
    </row>
    <row r="42" spans="3:15">
      <c r="D42" t="s">
        <v>70</v>
      </c>
      <c r="E42">
        <f>23.4393-(3.563*10^-7)*E40</f>
        <v>23.437697246307639</v>
      </c>
    </row>
    <row r="43" spans="3:15">
      <c r="D43" t="s">
        <v>74</v>
      </c>
      <c r="E43">
        <f>356.047+0.9856002585*E40</f>
        <v>4789.5986517062483</v>
      </c>
      <c r="F43">
        <f>E43/360</f>
        <v>13.304440699184024</v>
      </c>
      <c r="G43">
        <f>F43+2</f>
        <v>15.304440699184024</v>
      </c>
      <c r="H43">
        <f>G43*360</f>
        <v>5509.5986517062483</v>
      </c>
      <c r="I43">
        <f>H43*PI()/180</f>
        <v>96.160636935714322</v>
      </c>
    </row>
    <row r="44" spans="3:15">
      <c r="D44" t="s">
        <v>73</v>
      </c>
      <c r="E44">
        <f>E43+E41*SIN(PI()*E43/180)*(1+E41*COS(PI()*E43/180))</f>
        <v>4789.6142996299213</v>
      </c>
      <c r="F44">
        <f>E44/360</f>
        <v>13.304484165638671</v>
      </c>
      <c r="G44">
        <f>F44+2</f>
        <v>15.304484165638671</v>
      </c>
      <c r="H44">
        <f>G44*360</f>
        <v>5509.6142996299213</v>
      </c>
      <c r="I44">
        <f>H44*PI()/180</f>
        <v>96.16091004350352</v>
      </c>
    </row>
    <row r="45" spans="3:15">
      <c r="D45" t="s">
        <v>71</v>
      </c>
      <c r="E45">
        <f>COS(PI()*E44/180)-E41</f>
        <v>-0.35239049630340347</v>
      </c>
    </row>
    <row r="46" spans="3:15">
      <c r="D46" t="s">
        <v>75</v>
      </c>
      <c r="E46">
        <f>SQRT(1-E41^2)*SIN(PI()*E44/180)</f>
        <v>0.94184228008562487</v>
      </c>
    </row>
    <row r="47" spans="3:15">
      <c r="D47" t="s">
        <v>76</v>
      </c>
      <c r="E47">
        <f>ATAN2(E46,E45)</f>
        <v>-0.35802544960998894</v>
      </c>
      <c r="F47">
        <f>E47+360</f>
        <v>359.64197455038999</v>
      </c>
    </row>
    <row r="48" spans="3:15">
      <c r="D48" t="s">
        <v>78</v>
      </c>
      <c r="E48">
        <f>282.9404+(4.70935*10^-5)*E40</f>
        <v>283.15224193379515</v>
      </c>
      <c r="F48">
        <f>E48*PI()/180</f>
        <v>4.9419389061482812</v>
      </c>
    </row>
    <row r="49" spans="4:8">
      <c r="D49" t="s">
        <v>77</v>
      </c>
      <c r="E49">
        <f>E48+F47</f>
        <v>642.7942164841852</v>
      </c>
      <c r="F49">
        <f>E49/360</f>
        <v>1.7855394902338477</v>
      </c>
      <c r="G49">
        <f>F49-1</f>
        <v>0.78553949023384773</v>
      </c>
      <c r="H49">
        <f>G49*360</f>
        <v>282.7942164841852</v>
      </c>
    </row>
    <row r="50" spans="4:8">
      <c r="D50" t="s">
        <v>80</v>
      </c>
      <c r="E50">
        <f>SQRT(E45*E45+E46*E46)</f>
        <v>1.0056072505913269</v>
      </c>
    </row>
    <row r="51" spans="4:8">
      <c r="D51" t="s">
        <v>79</v>
      </c>
      <c r="E51">
        <f>E50*COS(E49*PI()/180)</f>
        <v>0.22269178955625471</v>
      </c>
    </row>
    <row r="52" spans="4:8">
      <c r="D52" t="s">
        <v>81</v>
      </c>
      <c r="E52">
        <f>E50*SIN(H49)</f>
        <v>5.1140874898232373E-2</v>
      </c>
    </row>
    <row r="53" spans="4:8">
      <c r="D53" t="s">
        <v>82</v>
      </c>
      <c r="E53">
        <f>E51</f>
        <v>0.22269178955625471</v>
      </c>
    </row>
    <row r="54" spans="4:8">
      <c r="D54" t="s">
        <v>83</v>
      </c>
      <c r="E54">
        <f>E52*COS(E42*PI()/180)</f>
        <v>4.6921401235778301E-2</v>
      </c>
    </row>
    <row r="55" spans="4:8">
      <c r="D55" t="s">
        <v>25</v>
      </c>
      <c r="E55">
        <f>ATAN2(E54,E53)</f>
        <v>1.3631327562179836</v>
      </c>
    </row>
    <row r="56" spans="4:8">
      <c r="D56" t="s">
        <v>27</v>
      </c>
      <c r="E56">
        <f>formulas!O25</f>
        <v>1426.4510783945127</v>
      </c>
    </row>
    <row r="57" spans="4:8">
      <c r="D57" t="s">
        <v>84</v>
      </c>
      <c r="E57">
        <f>12-(35.15/15)+2+E56/60</f>
        <v>35.430851306575207</v>
      </c>
    </row>
  </sheetData>
  <mergeCells count="1">
    <mergeCell ref="Z21:Z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H2:L217"/>
  <sheetViews>
    <sheetView topLeftCell="A146" workbookViewId="0">
      <selection activeCell="I166" sqref="I166"/>
    </sheetView>
  </sheetViews>
  <sheetFormatPr defaultRowHeight="14.4"/>
  <cols>
    <col min="8" max="8" width="93.6640625" customWidth="1"/>
    <col min="10" max="10" width="23.109375" customWidth="1"/>
  </cols>
  <sheetData>
    <row r="2" spans="8:8">
      <c r="H2" s="72" t="s">
        <v>657</v>
      </c>
    </row>
    <row r="3" spans="8:8" ht="15.6">
      <c r="H3" s="73" t="s">
        <v>658</v>
      </c>
    </row>
    <row r="4" spans="8:8">
      <c r="H4" s="28" t="s">
        <v>659</v>
      </c>
    </row>
    <row r="5" spans="8:8">
      <c r="H5" s="72" t="s">
        <v>660</v>
      </c>
    </row>
    <row r="6" spans="8:8">
      <c r="H6" s="74"/>
    </row>
    <row r="7" spans="8:8">
      <c r="H7" s="76" t="s">
        <v>661</v>
      </c>
    </row>
    <row r="8" spans="8:8">
      <c r="H8" s="77" t="s">
        <v>662</v>
      </c>
    </row>
    <row r="9" spans="8:8">
      <c r="H9" s="77" t="s">
        <v>663</v>
      </c>
    </row>
    <row r="10" spans="8:8">
      <c r="H10" s="72" t="s">
        <v>664</v>
      </c>
    </row>
    <row r="11" spans="8:8">
      <c r="H11" s="72" t="s">
        <v>665</v>
      </c>
    </row>
    <row r="12" spans="8:8">
      <c r="H12" s="72" t="s">
        <v>666</v>
      </c>
    </row>
    <row r="13" spans="8:8" ht="15" thickBot="1">
      <c r="H13" s="28" t="s">
        <v>667</v>
      </c>
    </row>
    <row r="14" spans="8:8" ht="15" thickBot="1">
      <c r="H14" s="78"/>
    </row>
    <row r="15" spans="8:8" ht="15" thickBot="1">
      <c r="H15" s="78"/>
    </row>
    <row r="16" spans="8:8" ht="15.6">
      <c r="H16" s="73" t="s">
        <v>668</v>
      </c>
    </row>
    <row r="17" spans="8:10">
      <c r="H17" s="54" t="s">
        <v>669</v>
      </c>
    </row>
    <row r="18" spans="8:10">
      <c r="H18" s="72" t="s">
        <v>670</v>
      </c>
    </row>
    <row r="19" spans="8:10">
      <c r="H19" s="79" t="s">
        <v>671</v>
      </c>
    </row>
    <row r="20" spans="8:10">
      <c r="H20" s="72" t="s">
        <v>672</v>
      </c>
    </row>
    <row r="21" spans="8:10" ht="15.6">
      <c r="H21" s="54" t="s">
        <v>673</v>
      </c>
    </row>
    <row r="22" spans="8:10">
      <c r="H22" s="72" t="s">
        <v>674</v>
      </c>
    </row>
    <row r="23" spans="8:10">
      <c r="H23" s="72" t="s">
        <v>675</v>
      </c>
    </row>
    <row r="24" spans="8:10">
      <c r="H24" s="79" t="s">
        <v>676</v>
      </c>
    </row>
    <row r="25" spans="8:10">
      <c r="H25" s="79" t="s">
        <v>677</v>
      </c>
    </row>
    <row r="26" spans="8:10">
      <c r="H26" s="72" t="s">
        <v>678</v>
      </c>
    </row>
    <row r="27" spans="8:10">
      <c r="H27" s="54" t="s">
        <v>489</v>
      </c>
    </row>
    <row r="28" spans="8:10">
      <c r="H28" s="72" t="s">
        <v>679</v>
      </c>
    </row>
    <row r="29" spans="8:10" ht="15.6">
      <c r="H29" s="62"/>
      <c r="I29" s="62"/>
      <c r="J29" s="63" t="s">
        <v>490</v>
      </c>
    </row>
    <row r="30" spans="8:10" ht="15" thickBot="1">
      <c r="H30" s="187"/>
      <c r="I30" s="189" t="s">
        <v>491</v>
      </c>
      <c r="J30" s="190"/>
    </row>
    <row r="31" spans="8:10">
      <c r="H31" s="187"/>
      <c r="I31" s="189"/>
      <c r="J31" s="191"/>
    </row>
    <row r="32" spans="8:10" ht="15.6">
      <c r="H32" s="62"/>
      <c r="I32" s="62"/>
      <c r="J32" s="63">
        <v>36525</v>
      </c>
    </row>
    <row r="33" spans="8:10" ht="18">
      <c r="H33" s="80"/>
    </row>
    <row r="34" spans="8:10" ht="18">
      <c r="H34" s="80"/>
    </row>
    <row r="35" spans="8:10" ht="16.2">
      <c r="H35" s="72" t="s">
        <v>680</v>
      </c>
    </row>
    <row r="36" spans="8:10">
      <c r="H36" s="33" t="s">
        <v>681</v>
      </c>
    </row>
    <row r="37" spans="8:10">
      <c r="H37" s="72" t="s">
        <v>682</v>
      </c>
    </row>
    <row r="38" spans="8:10" ht="15.6">
      <c r="H38" s="54" t="s">
        <v>683</v>
      </c>
    </row>
    <row r="39" spans="8:10" ht="16.8">
      <c r="H39" s="79" t="s">
        <v>684</v>
      </c>
    </row>
    <row r="40" spans="8:10">
      <c r="H40" s="72" t="s">
        <v>685</v>
      </c>
    </row>
    <row r="41" spans="8:10">
      <c r="H41" s="79"/>
    </row>
    <row r="42" spans="8:10" ht="15.6">
      <c r="H42" s="62"/>
      <c r="I42" s="62"/>
      <c r="J42" s="63" t="s">
        <v>591</v>
      </c>
    </row>
    <row r="43" spans="8:10" ht="28.5" customHeight="1" thickBot="1">
      <c r="H43" s="188"/>
      <c r="I43" s="192" t="s">
        <v>686</v>
      </c>
      <c r="J43" s="190"/>
    </row>
    <row r="44" spans="8:10">
      <c r="H44" s="188"/>
      <c r="I44" s="192"/>
      <c r="J44" s="191"/>
    </row>
    <row r="45" spans="8:10" ht="15.6">
      <c r="H45" s="62"/>
      <c r="I45" s="62"/>
      <c r="J45" s="63" t="s">
        <v>687</v>
      </c>
    </row>
    <row r="50" spans="8:10">
      <c r="H50" s="79"/>
    </row>
    <row r="51" spans="8:10">
      <c r="H51" s="72" t="s">
        <v>688</v>
      </c>
    </row>
    <row r="52" spans="8:10" ht="15.6">
      <c r="H52" s="62"/>
      <c r="I52" s="62"/>
      <c r="J52" s="63" t="s">
        <v>591</v>
      </c>
    </row>
    <row r="53" spans="8:10" ht="28.5" customHeight="1" thickBot="1">
      <c r="H53" s="188"/>
      <c r="I53" s="192" t="s">
        <v>689</v>
      </c>
      <c r="J53" s="190"/>
    </row>
    <row r="54" spans="8:10">
      <c r="H54" s="188"/>
      <c r="I54" s="192"/>
      <c r="J54" s="191"/>
    </row>
    <row r="55" spans="8:10" ht="15.6">
      <c r="H55" s="62"/>
      <c r="I55" s="62"/>
      <c r="J55" s="63" t="s">
        <v>687</v>
      </c>
    </row>
    <row r="60" spans="8:10">
      <c r="H60" s="79"/>
    </row>
    <row r="61" spans="8:10">
      <c r="H61" s="72" t="s">
        <v>690</v>
      </c>
    </row>
    <row r="63" spans="8:10">
      <c r="H63" s="72" t="s">
        <v>691</v>
      </c>
    </row>
    <row r="64" spans="8:10">
      <c r="H64" s="72" t="s">
        <v>692</v>
      </c>
    </row>
    <row r="65" spans="8:10">
      <c r="H65" s="72" t="s">
        <v>693</v>
      </c>
    </row>
    <row r="66" spans="8:10" ht="28.8">
      <c r="H66" s="62"/>
      <c r="I66" s="62"/>
      <c r="J66" s="63" t="s">
        <v>694</v>
      </c>
    </row>
    <row r="67" spans="8:10" ht="15" thickBot="1">
      <c r="H67" s="188"/>
      <c r="I67" s="189" t="s">
        <v>491</v>
      </c>
      <c r="J67" s="190"/>
    </row>
    <row r="68" spans="8:10">
      <c r="H68" s="188"/>
      <c r="I68" s="189"/>
      <c r="J68" s="191"/>
    </row>
    <row r="69" spans="8:10" ht="15.6">
      <c r="H69" s="62"/>
      <c r="I69" s="62"/>
      <c r="J69" s="63">
        <v>36525</v>
      </c>
    </row>
    <row r="70" spans="8:10" ht="18">
      <c r="H70" s="80"/>
    </row>
    <row r="71" spans="8:10" ht="18">
      <c r="H71" s="80"/>
    </row>
    <row r="72" spans="8:10" ht="18">
      <c r="H72" s="80"/>
    </row>
    <row r="73" spans="8:10" ht="15">
      <c r="H73" s="72" t="s">
        <v>695</v>
      </c>
    </row>
    <row r="74" spans="8:10">
      <c r="H74" s="72" t="s">
        <v>696</v>
      </c>
    </row>
    <row r="75" spans="8:10" ht="15.6">
      <c r="H75" s="54" t="s">
        <v>697</v>
      </c>
    </row>
    <row r="76" spans="8:10" ht="18">
      <c r="H76" s="72" t="s">
        <v>698</v>
      </c>
    </row>
    <row r="77" spans="8:10" ht="16.8">
      <c r="H77" s="79" t="s">
        <v>699</v>
      </c>
    </row>
    <row r="78" spans="8:10">
      <c r="H78" s="54" t="s">
        <v>700</v>
      </c>
    </row>
    <row r="79" spans="8:10">
      <c r="H79" s="72" t="s">
        <v>701</v>
      </c>
    </row>
    <row r="80" spans="8:10" ht="16.2">
      <c r="H80" s="79" t="s">
        <v>702</v>
      </c>
    </row>
    <row r="81" spans="8:10">
      <c r="H81" s="54" t="s">
        <v>703</v>
      </c>
    </row>
    <row r="82" spans="8:10" ht="16.2">
      <c r="H82" s="79" t="s">
        <v>704</v>
      </c>
    </row>
    <row r="83" spans="8:10">
      <c r="H83" s="33" t="s">
        <v>705</v>
      </c>
    </row>
    <row r="84" spans="8:10" ht="15">
      <c r="H84" s="79" t="s">
        <v>706</v>
      </c>
    </row>
    <row r="85" spans="8:10">
      <c r="H85" s="54" t="s">
        <v>707</v>
      </c>
    </row>
    <row r="86" spans="8:10">
      <c r="H86" s="79" t="s">
        <v>708</v>
      </c>
    </row>
    <row r="87" spans="8:10">
      <c r="H87" s="54" t="s">
        <v>709</v>
      </c>
    </row>
    <row r="88" spans="8:10">
      <c r="H88" s="72" t="s">
        <v>710</v>
      </c>
    </row>
    <row r="89" spans="8:10" ht="16.2">
      <c r="H89" s="79" t="s">
        <v>711</v>
      </c>
    </row>
    <row r="90" spans="8:10">
      <c r="H90" s="54" t="s">
        <v>712</v>
      </c>
    </row>
    <row r="91" spans="8:10">
      <c r="H91" s="72" t="s">
        <v>713</v>
      </c>
    </row>
    <row r="92" spans="8:10" ht="16.2">
      <c r="H92" s="62"/>
      <c r="I92" s="62"/>
      <c r="J92" s="85" t="s">
        <v>714</v>
      </c>
    </row>
    <row r="93" spans="8:10" ht="15" thickBot="1">
      <c r="H93" s="188"/>
      <c r="I93" s="189" t="s">
        <v>715</v>
      </c>
      <c r="J93" s="190"/>
    </row>
    <row r="94" spans="8:10">
      <c r="H94" s="188"/>
      <c r="I94" s="189"/>
      <c r="J94" s="191"/>
    </row>
    <row r="95" spans="8:10" ht="15.6">
      <c r="H95" s="62"/>
      <c r="I95" s="62"/>
      <c r="J95" s="63" t="s">
        <v>716</v>
      </c>
    </row>
    <row r="96" spans="8:10" ht="18">
      <c r="H96" s="80"/>
    </row>
    <row r="97" spans="8:10" ht="18">
      <c r="H97" s="80"/>
    </row>
    <row r="98" spans="8:10" ht="18">
      <c r="H98" s="80"/>
    </row>
    <row r="99" spans="8:10">
      <c r="H99" s="54" t="s">
        <v>717</v>
      </c>
    </row>
    <row r="100" spans="8:10">
      <c r="H100" s="72" t="s">
        <v>718</v>
      </c>
    </row>
    <row r="101" spans="8:10" ht="15.6">
      <c r="H101" s="62"/>
      <c r="I101" s="62"/>
      <c r="J101" s="63">
        <v>0.266563889</v>
      </c>
    </row>
    <row r="102" spans="8:10" ht="15" thickBot="1">
      <c r="H102" s="188"/>
      <c r="I102" s="82" t="s">
        <v>719</v>
      </c>
      <c r="J102" s="92"/>
    </row>
    <row r="103" spans="8:10">
      <c r="H103" s="188"/>
      <c r="I103" s="82"/>
      <c r="J103" s="93"/>
    </row>
    <row r="104" spans="8:10" ht="15.6">
      <c r="H104" s="62"/>
      <c r="I104" s="62"/>
      <c r="J104" s="63" t="s">
        <v>613</v>
      </c>
    </row>
    <row r="105" spans="8:10">
      <c r="H105" s="33"/>
    </row>
    <row r="106" spans="8:10">
      <c r="H106" s="33"/>
    </row>
    <row r="107" spans="8:10">
      <c r="H107" s="33"/>
    </row>
    <row r="108" spans="8:10">
      <c r="H108" s="33"/>
    </row>
    <row r="109" spans="8:10">
      <c r="H109" s="33"/>
    </row>
    <row r="110" spans="8:10">
      <c r="H110" s="33"/>
    </row>
    <row r="111" spans="8:10">
      <c r="H111" s="33"/>
    </row>
    <row r="112" spans="8:10">
      <c r="H112" s="33"/>
    </row>
    <row r="113" spans="8:8">
      <c r="H113" s="33" t="s">
        <v>720</v>
      </c>
    </row>
    <row r="114" spans="8:8" ht="16.2">
      <c r="H114" s="79" t="s">
        <v>721</v>
      </c>
    </row>
    <row r="115" spans="8:8">
      <c r="H115" s="33" t="s">
        <v>722</v>
      </c>
    </row>
    <row r="116" spans="8:8">
      <c r="H116" s="72" t="s">
        <v>723</v>
      </c>
    </row>
    <row r="117" spans="8:8">
      <c r="H117" s="79" t="s">
        <v>724</v>
      </c>
    </row>
    <row r="118" spans="8:8">
      <c r="H118" s="79" t="s">
        <v>725</v>
      </c>
    </row>
    <row r="119" spans="8:8">
      <c r="H119" s="33"/>
    </row>
    <row r="120" spans="8:8">
      <c r="H120" s="33" t="s">
        <v>726</v>
      </c>
    </row>
    <row r="121" spans="8:8">
      <c r="H121" s="72" t="s">
        <v>727</v>
      </c>
    </row>
    <row r="122" spans="8:8" ht="16.8" thickBot="1">
      <c r="H122" s="79" t="s">
        <v>728</v>
      </c>
    </row>
    <row r="123" spans="8:8" ht="15" thickBot="1">
      <c r="H123" s="86"/>
    </row>
    <row r="124" spans="8:8" ht="15" thickTop="1">
      <c r="H124" s="33" t="s">
        <v>729</v>
      </c>
    </row>
    <row r="125" spans="8:8">
      <c r="H125" s="72" t="s">
        <v>730</v>
      </c>
    </row>
    <row r="126" spans="8:8">
      <c r="H126" s="72" t="s">
        <v>731</v>
      </c>
    </row>
    <row r="127" spans="8:8">
      <c r="H127" s="33" t="s">
        <v>732</v>
      </c>
    </row>
    <row r="128" spans="8:8">
      <c r="H128" s="79" t="s">
        <v>733</v>
      </c>
    </row>
    <row r="129" spans="8:8">
      <c r="H129" s="79" t="s">
        <v>734</v>
      </c>
    </row>
    <row r="130" spans="8:8">
      <c r="H130" s="79" t="s">
        <v>735</v>
      </c>
    </row>
    <row r="131" spans="8:8">
      <c r="H131" s="33"/>
    </row>
    <row r="132" spans="8:8">
      <c r="H132" s="33" t="s">
        <v>736</v>
      </c>
    </row>
    <row r="133" spans="8:8">
      <c r="H133" s="79" t="s">
        <v>737</v>
      </c>
    </row>
    <row r="134" spans="8:8">
      <c r="H134" s="79" t="s">
        <v>735</v>
      </c>
    </row>
    <row r="135" spans="8:8">
      <c r="H135" s="79"/>
    </row>
    <row r="136" spans="8:8">
      <c r="H136" s="79" t="s">
        <v>738</v>
      </c>
    </row>
    <row r="137" spans="8:8">
      <c r="H137" s="79"/>
    </row>
    <row r="138" spans="8:8">
      <c r="H138" s="79" t="s">
        <v>739</v>
      </c>
    </row>
    <row r="139" spans="8:8">
      <c r="H139" s="79" t="s">
        <v>740</v>
      </c>
    </row>
    <row r="140" spans="8:8">
      <c r="H140" s="72" t="s">
        <v>741</v>
      </c>
    </row>
    <row r="141" spans="8:8">
      <c r="H141" s="72" t="s">
        <v>742</v>
      </c>
    </row>
    <row r="142" spans="8:8">
      <c r="H142" s="54" t="s">
        <v>743</v>
      </c>
    </row>
    <row r="143" spans="8:8">
      <c r="H143" s="72" t="s">
        <v>744</v>
      </c>
    </row>
    <row r="144" spans="8:8">
      <c r="H144" s="72" t="s">
        <v>745</v>
      </c>
    </row>
    <row r="145" spans="8:8">
      <c r="H145" s="79" t="s">
        <v>746</v>
      </c>
    </row>
    <row r="146" spans="8:8">
      <c r="H146" s="79" t="s">
        <v>735</v>
      </c>
    </row>
    <row r="147" spans="8:8">
      <c r="H147" s="79"/>
    </row>
    <row r="148" spans="8:8">
      <c r="H148" s="79" t="s">
        <v>738</v>
      </c>
    </row>
    <row r="149" spans="8:8">
      <c r="H149" s="79" t="s">
        <v>747</v>
      </c>
    </row>
    <row r="151" spans="8:8">
      <c r="H151" s="75" t="s">
        <v>748</v>
      </c>
    </row>
    <row r="152" spans="8:8">
      <c r="H152" s="72" t="s">
        <v>749</v>
      </c>
    </row>
    <row r="153" spans="8:8">
      <c r="H153" s="79" t="s">
        <v>750</v>
      </c>
    </row>
    <row r="155" spans="8:8">
      <c r="H155" s="72" t="s">
        <v>751</v>
      </c>
    </row>
    <row r="156" spans="8:8">
      <c r="H156" s="72" t="s">
        <v>752</v>
      </c>
    </row>
    <row r="157" spans="8:8">
      <c r="H157" s="77"/>
    </row>
    <row r="158" spans="8:8">
      <c r="H158" s="77" t="s">
        <v>753</v>
      </c>
    </row>
    <row r="159" spans="8:8">
      <c r="H159" s="87" t="s">
        <v>754</v>
      </c>
    </row>
    <row r="160" spans="8:8">
      <c r="H160" s="77" t="s">
        <v>753</v>
      </c>
    </row>
    <row r="161" spans="8:10">
      <c r="H161" s="87" t="s">
        <v>755</v>
      </c>
    </row>
    <row r="162" spans="8:10">
      <c r="H162" s="72" t="s">
        <v>756</v>
      </c>
    </row>
    <row r="163" spans="8:10">
      <c r="H163" s="72" t="s">
        <v>757</v>
      </c>
    </row>
    <row r="164" spans="8:10">
      <c r="H164" s="88" t="s">
        <v>758</v>
      </c>
    </row>
    <row r="165" spans="8:10">
      <c r="H165" s="72" t="s">
        <v>759</v>
      </c>
    </row>
    <row r="166" spans="8:10">
      <c r="H166" s="88" t="s">
        <v>760</v>
      </c>
    </row>
    <row r="167" spans="8:10">
      <c r="H167" s="54" t="s">
        <v>761</v>
      </c>
    </row>
    <row r="168" spans="8:10" ht="18">
      <c r="H168" s="80"/>
    </row>
    <row r="169" spans="8:10">
      <c r="H169" s="72" t="s">
        <v>762</v>
      </c>
      <c r="I169" s="115"/>
      <c r="J169" s="115"/>
    </row>
    <row r="170" spans="8:10" ht="15" customHeight="1">
      <c r="H170" s="187"/>
      <c r="I170" s="111"/>
      <c r="J170" s="113" t="s">
        <v>763</v>
      </c>
    </row>
    <row r="171" spans="8:10" ht="15" customHeight="1">
      <c r="H171" s="187"/>
      <c r="I171" s="111"/>
      <c r="J171" s="113"/>
    </row>
    <row r="172" spans="8:10" ht="15" thickBot="1">
      <c r="H172" s="188"/>
      <c r="I172" s="113" t="s">
        <v>764</v>
      </c>
      <c r="J172" s="92"/>
    </row>
    <row r="173" spans="8:10">
      <c r="H173" s="188"/>
      <c r="I173" s="113"/>
      <c r="J173" s="93"/>
    </row>
    <row r="174" spans="8:10" ht="15.6">
      <c r="H174" s="62"/>
      <c r="I174" s="111"/>
      <c r="J174" s="110">
        <v>15</v>
      </c>
    </row>
    <row r="175" spans="8:10" ht="18">
      <c r="H175" s="80"/>
    </row>
    <row r="176" spans="8:10" ht="18">
      <c r="H176" s="80"/>
    </row>
    <row r="177" spans="8:12" ht="18">
      <c r="H177" s="80"/>
    </row>
    <row r="178" spans="8:12">
      <c r="H178" s="54" t="s">
        <v>765</v>
      </c>
    </row>
    <row r="179" spans="8:12">
      <c r="H179" s="72" t="s">
        <v>762</v>
      </c>
    </row>
    <row r="180" spans="8:12" ht="15">
      <c r="H180" s="79" t="s">
        <v>766</v>
      </c>
    </row>
    <row r="181" spans="8:12">
      <c r="H181" s="72" t="s">
        <v>767</v>
      </c>
    </row>
    <row r="182" spans="8:12">
      <c r="H182" s="72"/>
    </row>
    <row r="183" spans="8:12" ht="18">
      <c r="H183" s="80"/>
    </row>
    <row r="184" spans="8:12" ht="15.6">
      <c r="H184" s="62"/>
      <c r="I184" s="62"/>
      <c r="J184" s="63" t="s">
        <v>623</v>
      </c>
      <c r="K184" s="81"/>
      <c r="L184" s="63" t="s">
        <v>591</v>
      </c>
    </row>
    <row r="185" spans="8:12" ht="15" thickBot="1">
      <c r="H185" s="188"/>
      <c r="I185" s="189" t="s">
        <v>768</v>
      </c>
      <c r="J185" s="190"/>
      <c r="K185" s="189" t="s">
        <v>769</v>
      </c>
      <c r="L185" s="190"/>
    </row>
    <row r="186" spans="8:12">
      <c r="H186" s="188"/>
      <c r="I186" s="189"/>
      <c r="J186" s="191"/>
      <c r="K186" s="189"/>
      <c r="L186" s="191"/>
    </row>
    <row r="187" spans="8:12" ht="15.6">
      <c r="H187" s="62"/>
      <c r="I187" s="62"/>
      <c r="J187" s="63">
        <v>24</v>
      </c>
      <c r="K187" s="62"/>
      <c r="L187" s="63" t="s">
        <v>687</v>
      </c>
    </row>
    <row r="188" spans="8:12" ht="18">
      <c r="H188" s="80"/>
    </row>
    <row r="189" spans="8:12" ht="18">
      <c r="H189" s="80"/>
    </row>
    <row r="190" spans="8:12" ht="18">
      <c r="H190" s="80"/>
    </row>
    <row r="191" spans="8:12">
      <c r="H191" s="72" t="s">
        <v>770</v>
      </c>
    </row>
    <row r="192" spans="8:12" ht="15">
      <c r="H192" s="79" t="s">
        <v>771</v>
      </c>
    </row>
    <row r="193" spans="8:10" ht="15">
      <c r="H193" s="72" t="s">
        <v>772</v>
      </c>
    </row>
    <row r="194" spans="8:10">
      <c r="H194" s="72" t="s">
        <v>773</v>
      </c>
    </row>
    <row r="195" spans="8:10">
      <c r="H195" s="89"/>
    </row>
    <row r="196" spans="8:10">
      <c r="H196" s="72" t="s">
        <v>774</v>
      </c>
    </row>
    <row r="197" spans="8:10">
      <c r="H197" s="33" t="s">
        <v>775</v>
      </c>
    </row>
    <row r="198" spans="8:10">
      <c r="H198" s="72" t="s">
        <v>776</v>
      </c>
    </row>
    <row r="199" spans="8:10">
      <c r="H199" s="54" t="s">
        <v>777</v>
      </c>
    </row>
    <row r="200" spans="8:10">
      <c r="H200" s="72" t="s">
        <v>778</v>
      </c>
    </row>
    <row r="201" spans="8:10">
      <c r="H201" s="74"/>
    </row>
    <row r="202" spans="8:10">
      <c r="H202" s="77" t="s">
        <v>779</v>
      </c>
    </row>
    <row r="203" spans="8:10">
      <c r="H203" s="77" t="s">
        <v>780</v>
      </c>
    </row>
    <row r="204" spans="8:10">
      <c r="H204" s="77" t="s">
        <v>781</v>
      </c>
    </row>
    <row r="205" spans="8:10">
      <c r="H205" s="77" t="s">
        <v>782</v>
      </c>
    </row>
    <row r="206" spans="8:10">
      <c r="H206" s="72" t="s">
        <v>783</v>
      </c>
    </row>
    <row r="207" spans="8:10" ht="15.6">
      <c r="H207" s="62"/>
      <c r="I207" s="62"/>
      <c r="J207" s="63" t="s">
        <v>784</v>
      </c>
    </row>
    <row r="208" spans="8:10" ht="15" thickBot="1">
      <c r="H208" s="188"/>
      <c r="I208" s="189" t="s">
        <v>785</v>
      </c>
      <c r="J208" s="190"/>
    </row>
    <row r="209" spans="8:10">
      <c r="H209" s="188"/>
      <c r="I209" s="189"/>
      <c r="J209" s="191"/>
    </row>
    <row r="210" spans="8:10" ht="27.6">
      <c r="H210" s="187"/>
      <c r="I210" s="187"/>
      <c r="J210" s="63" t="s">
        <v>786</v>
      </c>
    </row>
    <row r="211" spans="8:10">
      <c r="H211" s="187"/>
      <c r="I211" s="187"/>
      <c r="J211" s="63" t="s">
        <v>787</v>
      </c>
    </row>
    <row r="212" spans="8:10" ht="18">
      <c r="H212" s="80"/>
    </row>
    <row r="213" spans="8:10" ht="18">
      <c r="H213" s="80"/>
    </row>
    <row r="214" spans="8:10" ht="18">
      <c r="H214" s="80"/>
    </row>
    <row r="215" spans="8:10">
      <c r="H215" s="90" t="s">
        <v>788</v>
      </c>
    </row>
    <row r="216" spans="8:10">
      <c r="H216" s="72" t="s">
        <v>789</v>
      </c>
    </row>
    <row r="217" spans="8:10">
      <c r="H217" s="72" t="s">
        <v>790</v>
      </c>
    </row>
  </sheetData>
  <mergeCells count="28">
    <mergeCell ref="H30:H31"/>
    <mergeCell ref="I30:I31"/>
    <mergeCell ref="J30:J31"/>
    <mergeCell ref="H43:H44"/>
    <mergeCell ref="I43:I44"/>
    <mergeCell ref="J43:J44"/>
    <mergeCell ref="H53:H54"/>
    <mergeCell ref="I53:I54"/>
    <mergeCell ref="J53:J54"/>
    <mergeCell ref="H67:H68"/>
    <mergeCell ref="I67:I68"/>
    <mergeCell ref="J67:J68"/>
    <mergeCell ref="H170:H171"/>
    <mergeCell ref="H172:H173"/>
    <mergeCell ref="H93:H94"/>
    <mergeCell ref="I93:I94"/>
    <mergeCell ref="J93:J94"/>
    <mergeCell ref="H102:H103"/>
    <mergeCell ref="K185:K186"/>
    <mergeCell ref="L185:L186"/>
    <mergeCell ref="H208:H209"/>
    <mergeCell ref="I208:I209"/>
    <mergeCell ref="J208:J209"/>
    <mergeCell ref="H210:H211"/>
    <mergeCell ref="I210:I211"/>
    <mergeCell ref="H185:H186"/>
    <mergeCell ref="I185:I186"/>
    <mergeCell ref="J185:J186"/>
  </mergeCells>
  <hyperlinks>
    <hyperlink ref="H4" r:id="rId1" display="http://xoomer.virgilio.it/vtomezzo/sunriset/index.html"/>
    <hyperlink ref="H13" r:id="rId2" display="http://xoomer.virgilio.it/vtomezzo/index.html"/>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dimension ref="D3:D223"/>
  <sheetViews>
    <sheetView topLeftCell="C114" workbookViewId="0">
      <selection activeCell="D5" sqref="D5"/>
    </sheetView>
  </sheetViews>
  <sheetFormatPr defaultRowHeight="14.4"/>
  <sheetData>
    <row r="3" spans="4:4" ht="23.4">
      <c r="D3" s="108" t="s">
        <v>828</v>
      </c>
    </row>
    <row r="5" spans="4:4">
      <c r="D5" s="28" t="s">
        <v>521</v>
      </c>
    </row>
    <row r="7" spans="4:4">
      <c r="D7" t="s">
        <v>829</v>
      </c>
    </row>
    <row r="9" spans="4:4">
      <c r="D9" t="s">
        <v>830</v>
      </c>
    </row>
    <row r="11" spans="4:4" ht="18">
      <c r="D11" s="109" t="s">
        <v>831</v>
      </c>
    </row>
    <row r="13" spans="4:4">
      <c r="D13" s="28" t="s">
        <v>521</v>
      </c>
    </row>
    <row r="15" spans="4:4">
      <c r="D15" t="s">
        <v>832</v>
      </c>
    </row>
    <row r="17" spans="4:4" ht="15">
      <c r="D17" s="96" t="s">
        <v>833</v>
      </c>
    </row>
    <row r="18" spans="4:4" ht="15">
      <c r="D18" s="96" t="s">
        <v>834</v>
      </c>
    </row>
    <row r="20" spans="4:4" ht="15">
      <c r="D20" s="96" t="s">
        <v>835</v>
      </c>
    </row>
    <row r="21" spans="4:4" ht="15">
      <c r="D21" s="96" t="s">
        <v>836</v>
      </c>
    </row>
    <row r="22" spans="4:4" ht="15">
      <c r="D22" s="96" t="s">
        <v>837</v>
      </c>
    </row>
    <row r="23" spans="4:4" ht="15">
      <c r="D23" s="96" t="s">
        <v>838</v>
      </c>
    </row>
    <row r="25" spans="4:4" ht="15">
      <c r="D25" s="96" t="s">
        <v>839</v>
      </c>
    </row>
    <row r="26" spans="4:4" ht="15">
      <c r="D26" s="96" t="s">
        <v>840</v>
      </c>
    </row>
    <row r="27" spans="4:4" ht="15">
      <c r="D27" s="96" t="s">
        <v>841</v>
      </c>
    </row>
    <row r="28" spans="4:4" ht="15">
      <c r="D28" s="96" t="s">
        <v>842</v>
      </c>
    </row>
    <row r="29" spans="4:4" ht="15">
      <c r="D29" s="96" t="s">
        <v>843</v>
      </c>
    </row>
    <row r="30" spans="4:4" ht="15">
      <c r="D30" s="96" t="s">
        <v>844</v>
      </c>
    </row>
    <row r="31" spans="4:4" ht="15">
      <c r="D31" s="96" t="s">
        <v>845</v>
      </c>
    </row>
    <row r="32" spans="4:4" ht="15">
      <c r="D32" s="96" t="s">
        <v>846</v>
      </c>
    </row>
    <row r="33" spans="4:4" ht="15">
      <c r="D33" s="96" t="s">
        <v>847</v>
      </c>
    </row>
    <row r="34" spans="4:4" ht="15">
      <c r="D34" s="96" t="s">
        <v>848</v>
      </c>
    </row>
    <row r="35" spans="4:4" ht="15">
      <c r="D35" s="96" t="s">
        <v>849</v>
      </c>
    </row>
    <row r="36" spans="4:4" ht="15">
      <c r="D36" s="96" t="s">
        <v>850</v>
      </c>
    </row>
    <row r="37" spans="4:4" ht="15">
      <c r="D37" s="96" t="s">
        <v>851</v>
      </c>
    </row>
    <row r="38" spans="4:4" ht="15">
      <c r="D38" s="96" t="s">
        <v>852</v>
      </c>
    </row>
    <row r="39" spans="4:4" ht="15">
      <c r="D39" s="96" t="s">
        <v>853</v>
      </c>
    </row>
    <row r="40" spans="4:4" ht="15">
      <c r="D40" s="96" t="s">
        <v>854</v>
      </c>
    </row>
    <row r="41" spans="4:4" ht="15">
      <c r="D41" s="96" t="s">
        <v>855</v>
      </c>
    </row>
    <row r="42" spans="4:4" ht="15">
      <c r="D42" s="96" t="s">
        <v>856</v>
      </c>
    </row>
    <row r="43" spans="4:4" ht="15">
      <c r="D43" s="96" t="s">
        <v>857</v>
      </c>
    </row>
    <row r="45" spans="4:4" ht="15">
      <c r="D45" s="96" t="s">
        <v>858</v>
      </c>
    </row>
    <row r="46" spans="4:4" ht="15">
      <c r="D46" s="96" t="s">
        <v>644</v>
      </c>
    </row>
    <row r="47" spans="4:4" ht="15">
      <c r="D47" s="96" t="s">
        <v>645</v>
      </c>
    </row>
    <row r="48" spans="4:4" ht="15">
      <c r="D48" s="96" t="s">
        <v>369</v>
      </c>
    </row>
    <row r="49" spans="4:4" ht="15">
      <c r="D49" s="96" t="s">
        <v>646</v>
      </c>
    </row>
    <row r="50" spans="4:4" ht="15">
      <c r="D50" s="96" t="s">
        <v>647</v>
      </c>
    </row>
    <row r="51" spans="4:4" ht="15">
      <c r="D51" s="96" t="s">
        <v>369</v>
      </c>
    </row>
    <row r="52" spans="4:4" ht="15">
      <c r="D52" s="96" t="s">
        <v>648</v>
      </c>
    </row>
    <row r="54" spans="4:4" ht="15">
      <c r="D54" s="96" t="s">
        <v>649</v>
      </c>
    </row>
    <row r="55" spans="4:4" ht="15">
      <c r="D55" s="96" t="s">
        <v>650</v>
      </c>
    </row>
    <row r="56" spans="4:4" ht="15">
      <c r="D56" s="96" t="s">
        <v>369</v>
      </c>
    </row>
    <row r="57" spans="4:4" ht="15">
      <c r="D57" s="96" t="s">
        <v>651</v>
      </c>
    </row>
    <row r="59" spans="4:4" ht="15">
      <c r="D59" s="96" t="s">
        <v>652</v>
      </c>
    </row>
    <row r="61" spans="4:4" ht="15">
      <c r="D61" s="96" t="s">
        <v>653</v>
      </c>
    </row>
    <row r="63" spans="4:4" ht="15">
      <c r="D63" s="96" t="s">
        <v>654</v>
      </c>
    </row>
    <row r="65" spans="4:4" ht="15">
      <c r="D65" s="96" t="s">
        <v>655</v>
      </c>
    </row>
    <row r="67" spans="4:4" ht="18">
      <c r="D67" s="109" t="s">
        <v>859</v>
      </c>
    </row>
    <row r="69" spans="4:4">
      <c r="D69" s="28" t="s">
        <v>521</v>
      </c>
    </row>
    <row r="71" spans="4:4">
      <c r="D71" t="s">
        <v>860</v>
      </c>
    </row>
    <row r="73" spans="4:4">
      <c r="D73" t="s">
        <v>861</v>
      </c>
    </row>
    <row r="75" spans="4:4" ht="15">
      <c r="D75" s="96" t="s">
        <v>492</v>
      </c>
    </row>
    <row r="76" spans="4:4" ht="15">
      <c r="D76" s="96" t="s">
        <v>493</v>
      </c>
    </row>
    <row r="77" spans="4:4" ht="15">
      <c r="D77" s="96" t="s">
        <v>494</v>
      </c>
    </row>
    <row r="78" spans="4:4" ht="15">
      <c r="D78" s="96" t="s">
        <v>495</v>
      </c>
    </row>
    <row r="79" spans="4:4" ht="15">
      <c r="D79" s="96" t="s">
        <v>496</v>
      </c>
    </row>
    <row r="80" spans="4:4" ht="15">
      <c r="D80" s="96" t="s">
        <v>497</v>
      </c>
    </row>
    <row r="81" spans="4:4" ht="15">
      <c r="D81" s="96" t="s">
        <v>498</v>
      </c>
    </row>
    <row r="82" spans="4:4" ht="15">
      <c r="D82" s="96" t="s">
        <v>495</v>
      </c>
    </row>
    <row r="83" spans="4:4" ht="15">
      <c r="D83" s="96" t="s">
        <v>499</v>
      </c>
    </row>
    <row r="84" spans="4:4" ht="15">
      <c r="D84" s="96" t="s">
        <v>500</v>
      </c>
    </row>
    <row r="85" spans="4:4" ht="15">
      <c r="D85" s="96" t="s">
        <v>501</v>
      </c>
    </row>
    <row r="87" spans="4:4" ht="15">
      <c r="D87" s="96" t="s">
        <v>502</v>
      </c>
    </row>
    <row r="88" spans="4:4" ht="15">
      <c r="D88" s="96" t="s">
        <v>503</v>
      </c>
    </row>
    <row r="89" spans="4:4" ht="15">
      <c r="D89" s="96" t="s">
        <v>504</v>
      </c>
    </row>
    <row r="91" spans="4:4" ht="15">
      <c r="D91" s="96" t="s">
        <v>505</v>
      </c>
    </row>
    <row r="92" spans="4:4" ht="15">
      <c r="D92" s="96" t="s">
        <v>506</v>
      </c>
    </row>
    <row r="93" spans="4:4" ht="15">
      <c r="D93" s="96" t="s">
        <v>507</v>
      </c>
    </row>
    <row r="94" spans="4:4" ht="15">
      <c r="D94" s="96" t="s">
        <v>495</v>
      </c>
    </row>
    <row r="95" spans="4:4" ht="15">
      <c r="D95" s="96" t="s">
        <v>508</v>
      </c>
    </row>
    <row r="97" spans="4:4" ht="15">
      <c r="D97" s="96" t="s">
        <v>509</v>
      </c>
    </row>
    <row r="98" spans="4:4" ht="15">
      <c r="D98" s="96" t="s">
        <v>510</v>
      </c>
    </row>
    <row r="100" spans="4:4" ht="15">
      <c r="D100" s="96" t="s">
        <v>511</v>
      </c>
    </row>
    <row r="101" spans="4:4" ht="15">
      <c r="D101" s="96" t="s">
        <v>512</v>
      </c>
    </row>
    <row r="103" spans="4:4" ht="15">
      <c r="D103" s="96" t="s">
        <v>513</v>
      </c>
    </row>
    <row r="104" spans="4:4" ht="15">
      <c r="D104" s="96" t="s">
        <v>514</v>
      </c>
    </row>
    <row r="106" spans="4:4" ht="15">
      <c r="D106" s="96" t="s">
        <v>515</v>
      </c>
    </row>
    <row r="107" spans="4:4" ht="15">
      <c r="D107" s="96" t="s">
        <v>516</v>
      </c>
    </row>
    <row r="108" spans="4:4" ht="15">
      <c r="D108" s="96" t="s">
        <v>517</v>
      </c>
    </row>
    <row r="109" spans="4:4" ht="15">
      <c r="D109" s="96" t="s">
        <v>518</v>
      </c>
    </row>
    <row r="110" spans="4:4" ht="15">
      <c r="D110" s="96" t="s">
        <v>519</v>
      </c>
    </row>
    <row r="112" spans="4:4" ht="18">
      <c r="D112" s="109" t="s">
        <v>520</v>
      </c>
    </row>
    <row r="114" spans="4:4">
      <c r="D114" s="28" t="s">
        <v>521</v>
      </c>
    </row>
    <row r="116" spans="4:4">
      <c r="D116" t="s">
        <v>522</v>
      </c>
    </row>
    <row r="118" spans="4:4" ht="15">
      <c r="D118" s="96" t="s">
        <v>523</v>
      </c>
    </row>
    <row r="119" spans="4:4" ht="15">
      <c r="D119" s="96" t="s">
        <v>524</v>
      </c>
    </row>
    <row r="120" spans="4:4" ht="15">
      <c r="D120" s="96" t="s">
        <v>524</v>
      </c>
    </row>
    <row r="121" spans="4:4" ht="15">
      <c r="D121" s="96" t="s">
        <v>525</v>
      </c>
    </row>
    <row r="122" spans="4:4" ht="15">
      <c r="D122" s="96" t="s">
        <v>526</v>
      </c>
    </row>
    <row r="123" spans="4:4" ht="15">
      <c r="D123" s="96" t="s">
        <v>527</v>
      </c>
    </row>
    <row r="124" spans="4:4" ht="15">
      <c r="D124" s="96" t="s">
        <v>528</v>
      </c>
    </row>
    <row r="125" spans="4:4" ht="15">
      <c r="D125" s="96" t="s">
        <v>529</v>
      </c>
    </row>
    <row r="126" spans="4:4" ht="15">
      <c r="D126" s="96" t="s">
        <v>530</v>
      </c>
    </row>
    <row r="127" spans="4:4" ht="15">
      <c r="D127" s="96" t="s">
        <v>531</v>
      </c>
    </row>
    <row r="128" spans="4:4" ht="15">
      <c r="D128" s="96" t="s">
        <v>530</v>
      </c>
    </row>
    <row r="129" spans="4:4" ht="15">
      <c r="D129" s="96" t="s">
        <v>532</v>
      </c>
    </row>
    <row r="130" spans="4:4" ht="15">
      <c r="D130" s="96" t="s">
        <v>524</v>
      </c>
    </row>
    <row r="132" spans="4:4">
      <c r="D132" t="s">
        <v>533</v>
      </c>
    </row>
    <row r="134" spans="4:4">
      <c r="D134" t="s">
        <v>534</v>
      </c>
    </row>
    <row r="136" spans="4:4" ht="15">
      <c r="D136" s="96" t="s">
        <v>535</v>
      </c>
    </row>
    <row r="138" spans="4:4">
      <c r="D138" t="s">
        <v>536</v>
      </c>
    </row>
    <row r="140" spans="4:4">
      <c r="D140" t="s">
        <v>537</v>
      </c>
    </row>
    <row r="142" spans="4:4" ht="15">
      <c r="D142" s="96" t="s">
        <v>524</v>
      </c>
    </row>
    <row r="143" spans="4:4" ht="15">
      <c r="D143" s="96" t="s">
        <v>525</v>
      </c>
    </row>
    <row r="144" spans="4:4" ht="15">
      <c r="D144" s="96" t="s">
        <v>538</v>
      </c>
    </row>
    <row r="145" spans="4:4" ht="15">
      <c r="D145" s="96" t="s">
        <v>527</v>
      </c>
    </row>
    <row r="146" spans="4:4" ht="15">
      <c r="D146" s="96" t="s">
        <v>528</v>
      </c>
    </row>
    <row r="147" spans="4:4" ht="15">
      <c r="D147" s="96" t="s">
        <v>528</v>
      </c>
    </row>
    <row r="148" spans="4:4" ht="15">
      <c r="D148" s="96" t="s">
        <v>539</v>
      </c>
    </row>
    <row r="149" spans="4:4" ht="15">
      <c r="D149" s="96" t="s">
        <v>540</v>
      </c>
    </row>
    <row r="150" spans="4:4" ht="15">
      <c r="D150" s="96" t="s">
        <v>541</v>
      </c>
    </row>
    <row r="151" spans="4:4" ht="15">
      <c r="D151" s="96" t="s">
        <v>528</v>
      </c>
    </row>
    <row r="152" spans="4:4" ht="15">
      <c r="D152" s="96" t="s">
        <v>542</v>
      </c>
    </row>
    <row r="153" spans="4:4" ht="15">
      <c r="D153" s="96" t="s">
        <v>543</v>
      </c>
    </row>
    <row r="154" spans="4:4" ht="15">
      <c r="D154" s="96">
        <v>0.59556542000000001</v>
      </c>
    </row>
    <row r="155" spans="4:4" ht="15">
      <c r="D155" s="96" t="s">
        <v>544</v>
      </c>
    </row>
    <row r="156" spans="4:4" ht="15">
      <c r="D156" s="96" t="s">
        <v>545</v>
      </c>
    </row>
    <row r="158" spans="4:4">
      <c r="D158" t="s">
        <v>546</v>
      </c>
    </row>
    <row r="160" spans="4:4" ht="15">
      <c r="D160" s="96" t="s">
        <v>523</v>
      </c>
    </row>
    <row r="161" spans="4:4" ht="15">
      <c r="D161" s="96" t="s">
        <v>547</v>
      </c>
    </row>
    <row r="162" spans="4:4" ht="15">
      <c r="D162" s="96" t="s">
        <v>548</v>
      </c>
    </row>
    <row r="163" spans="4:4" ht="15">
      <c r="D163" s="96" t="s">
        <v>547</v>
      </c>
    </row>
    <row r="164" spans="4:4" ht="15">
      <c r="D164" s="96" t="s">
        <v>549</v>
      </c>
    </row>
    <row r="165" spans="4:4" ht="15">
      <c r="D165" s="96" t="s">
        <v>550</v>
      </c>
    </row>
    <row r="167" spans="4:4" ht="18">
      <c r="D167" s="109" t="s">
        <v>551</v>
      </c>
    </row>
    <row r="169" spans="4:4">
      <c r="D169" s="28" t="s">
        <v>521</v>
      </c>
    </row>
    <row r="171" spans="4:4">
      <c r="D171" t="s">
        <v>552</v>
      </c>
    </row>
    <row r="172" spans="4:4">
      <c r="D172" s="74"/>
    </row>
    <row r="173" spans="4:4">
      <c r="D173" s="74" t="s">
        <v>553</v>
      </c>
    </row>
    <row r="174" spans="4:4">
      <c r="D174" s="74" t="s">
        <v>554</v>
      </c>
    </row>
    <row r="175" spans="4:4">
      <c r="D175" s="74" t="s">
        <v>555</v>
      </c>
    </row>
    <row r="176" spans="4:4">
      <c r="D176" s="74" t="s">
        <v>556</v>
      </c>
    </row>
    <row r="178" spans="4:4">
      <c r="D178" t="s">
        <v>557</v>
      </c>
    </row>
    <row r="180" spans="4:4" ht="15">
      <c r="D180" s="96" t="s">
        <v>558</v>
      </c>
    </row>
    <row r="182" spans="4:4" ht="15">
      <c r="D182" s="96" t="s">
        <v>559</v>
      </c>
    </row>
    <row r="183" spans="4:4" ht="15">
      <c r="D183" s="96" t="s">
        <v>560</v>
      </c>
    </row>
    <row r="185" spans="4:4" ht="15">
      <c r="D185" s="96" t="s">
        <v>561</v>
      </c>
    </row>
    <row r="187" spans="4:4" ht="15">
      <c r="D187" s="96" t="s">
        <v>562</v>
      </c>
    </row>
    <row r="188" spans="4:4" ht="15">
      <c r="D188" s="96" t="s">
        <v>563</v>
      </c>
    </row>
    <row r="189" spans="4:4" ht="15">
      <c r="D189" s="96" t="s">
        <v>564</v>
      </c>
    </row>
    <row r="190" spans="4:4" ht="15">
      <c r="D190" s="96" t="s">
        <v>565</v>
      </c>
    </row>
    <row r="192" spans="4:4" ht="15">
      <c r="D192" s="96" t="s">
        <v>566</v>
      </c>
    </row>
    <row r="193" spans="4:4" ht="15">
      <c r="D193" s="96" t="s">
        <v>567</v>
      </c>
    </row>
    <row r="194" spans="4:4" ht="15">
      <c r="D194" s="96" t="s">
        <v>524</v>
      </c>
    </row>
    <row r="195" spans="4:4" ht="15">
      <c r="D195" s="96" t="s">
        <v>568</v>
      </c>
    </row>
    <row r="196" spans="4:4" ht="15">
      <c r="D196" s="96" t="s">
        <v>569</v>
      </c>
    </row>
    <row r="197" spans="4:4" ht="15">
      <c r="D197" s="96" t="s">
        <v>570</v>
      </c>
    </row>
    <row r="199" spans="4:4" ht="15">
      <c r="D199" s="96" t="s">
        <v>571</v>
      </c>
    </row>
    <row r="201" spans="4:4" ht="15">
      <c r="D201" s="96" t="s">
        <v>572</v>
      </c>
    </row>
    <row r="202" spans="4:4" ht="15">
      <c r="D202" s="96" t="s">
        <v>573</v>
      </c>
    </row>
    <row r="203" spans="4:4" ht="15">
      <c r="D203" s="96" t="s">
        <v>574</v>
      </c>
    </row>
    <row r="204" spans="4:4" ht="15">
      <c r="D204" s="96" t="s">
        <v>575</v>
      </c>
    </row>
    <row r="206" spans="4:4" ht="15">
      <c r="D206" s="96" t="s">
        <v>576</v>
      </c>
    </row>
    <row r="207" spans="4:4" ht="15">
      <c r="D207" s="96" t="s">
        <v>540</v>
      </c>
    </row>
    <row r="208" spans="4:4" ht="15">
      <c r="D208" s="96" t="s">
        <v>577</v>
      </c>
    </row>
    <row r="209" spans="4:4" ht="15">
      <c r="D209" s="96" t="s">
        <v>528</v>
      </c>
    </row>
    <row r="210" spans="4:4" ht="15">
      <c r="D210" s="96" t="s">
        <v>578</v>
      </c>
    </row>
    <row r="211" spans="4:4" ht="15">
      <c r="D211" s="96" t="s">
        <v>579</v>
      </c>
    </row>
    <row r="212" spans="4:4" ht="15">
      <c r="D212" s="96" t="s">
        <v>580</v>
      </c>
    </row>
    <row r="213" spans="4:4" ht="15">
      <c r="D213" s="96" t="s">
        <v>581</v>
      </c>
    </row>
    <row r="214" spans="4:4" ht="15">
      <c r="D214" s="96" t="s">
        <v>580</v>
      </c>
    </row>
    <row r="215" spans="4:4" ht="15">
      <c r="D215" s="96" t="s">
        <v>582</v>
      </c>
    </row>
    <row r="217" spans="4:4" ht="15">
      <c r="D217" s="96" t="s">
        <v>583</v>
      </c>
    </row>
    <row r="218" spans="4:4" ht="15">
      <c r="D218" s="96" t="s">
        <v>584</v>
      </c>
    </row>
    <row r="219" spans="4:4" ht="15">
      <c r="D219" s="96" t="s">
        <v>585</v>
      </c>
    </row>
    <row r="220" spans="4:4" ht="15">
      <c r="D220" s="96" t="s">
        <v>586</v>
      </c>
    </row>
    <row r="221" spans="4:4" ht="15">
      <c r="D221" s="96" t="s">
        <v>587</v>
      </c>
    </row>
    <row r="223" spans="4:4">
      <c r="D223" t="s">
        <v>862</v>
      </c>
    </row>
  </sheetData>
  <hyperlinks>
    <hyperlink ref="D5" location="twig00" display="twig00"/>
    <hyperlink ref="D13" location="twig00" display="twig00"/>
    <hyperlink ref="D69" location="twig00" display="twig00"/>
    <hyperlink ref="D114" location="twig00" display="twig00"/>
    <hyperlink ref="D169" location="twig00" display="twig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D4:D53"/>
  <sheetViews>
    <sheetView topLeftCell="A30" workbookViewId="0">
      <selection activeCell="D5" sqref="D5"/>
    </sheetView>
  </sheetViews>
  <sheetFormatPr defaultRowHeight="14.4"/>
  <sheetData>
    <row r="4" spans="4:4" ht="15">
      <c r="D4" s="24" t="s">
        <v>948</v>
      </c>
    </row>
    <row r="5" spans="4:4" ht="15">
      <c r="D5" s="24" t="s">
        <v>949</v>
      </c>
    </row>
    <row r="6" spans="4:4" ht="15">
      <c r="D6" s="24" t="s">
        <v>950</v>
      </c>
    </row>
    <row r="7" spans="4:4" ht="15">
      <c r="D7" s="24" t="s">
        <v>951</v>
      </c>
    </row>
    <row r="9" spans="4:4" ht="15">
      <c r="D9" s="24" t="s">
        <v>952</v>
      </c>
    </row>
    <row r="11" spans="4:4" ht="15">
      <c r="D11" s="24" t="s">
        <v>953</v>
      </c>
    </row>
    <row r="13" spans="4:4" ht="15">
      <c r="D13" s="24" t="s">
        <v>954</v>
      </c>
    </row>
    <row r="15" spans="4:4" ht="15">
      <c r="D15" s="24" t="s">
        <v>955</v>
      </c>
    </row>
    <row r="17" spans="4:4" ht="15">
      <c r="D17" s="24" t="s">
        <v>956</v>
      </c>
    </row>
    <row r="19" spans="4:4" ht="15">
      <c r="D19" s="24" t="s">
        <v>957</v>
      </c>
    </row>
    <row r="21" spans="4:4" ht="15">
      <c r="D21" s="24" t="s">
        <v>958</v>
      </c>
    </row>
    <row r="23" spans="4:4" ht="15">
      <c r="D23" s="24" t="s">
        <v>959</v>
      </c>
    </row>
    <row r="25" spans="4:4" ht="15">
      <c r="D25" s="24" t="s">
        <v>960</v>
      </c>
    </row>
    <row r="27" spans="4:4" ht="15">
      <c r="D27" s="24" t="s">
        <v>961</v>
      </c>
    </row>
    <row r="29" spans="4:4" ht="15">
      <c r="D29" s="24" t="s">
        <v>962</v>
      </c>
    </row>
    <row r="30" spans="4:4" ht="15">
      <c r="D30" s="24" t="s">
        <v>963</v>
      </c>
    </row>
    <row r="31" spans="4:4" ht="15">
      <c r="D31" s="24" t="s">
        <v>964</v>
      </c>
    </row>
    <row r="32" spans="4:4" ht="15">
      <c r="D32" s="24" t="s">
        <v>965</v>
      </c>
    </row>
    <row r="34" spans="4:4" ht="15">
      <c r="D34" s="24" t="s">
        <v>966</v>
      </c>
    </row>
    <row r="35" spans="4:4" ht="15">
      <c r="D35" s="24" t="s">
        <v>967</v>
      </c>
    </row>
    <row r="37" spans="4:4" ht="15">
      <c r="D37" s="24" t="s">
        <v>968</v>
      </c>
    </row>
    <row r="38" spans="4:4" ht="15">
      <c r="D38" s="24" t="s">
        <v>969</v>
      </c>
    </row>
    <row r="39" spans="4:4" ht="15">
      <c r="D39" s="24" t="s">
        <v>970</v>
      </c>
    </row>
    <row r="40" spans="4:4" ht="15">
      <c r="D40" s="24" t="s">
        <v>971</v>
      </c>
    </row>
    <row r="41" spans="4:4" ht="15">
      <c r="D41" s="24" t="s">
        <v>972</v>
      </c>
    </row>
    <row r="42" spans="4:4" ht="15">
      <c r="D42" s="24" t="s">
        <v>973</v>
      </c>
    </row>
    <row r="44" spans="4:4" ht="15">
      <c r="D44" s="24" t="s">
        <v>974</v>
      </c>
    </row>
    <row r="45" spans="4:4" ht="15">
      <c r="D45" s="24" t="s">
        <v>975</v>
      </c>
    </row>
    <row r="46" spans="4:4" ht="15">
      <c r="D46" s="24" t="s">
        <v>976</v>
      </c>
    </row>
    <row r="47" spans="4:4" ht="15">
      <c r="D47" s="24" t="s">
        <v>977</v>
      </c>
    </row>
    <row r="48" spans="4:4" ht="15">
      <c r="D48" s="24" t="s">
        <v>978</v>
      </c>
    </row>
    <row r="49" spans="4:4" ht="15">
      <c r="D49" s="24" t="s">
        <v>979</v>
      </c>
    </row>
    <row r="51" spans="4:4" ht="15">
      <c r="D51" s="24" t="s">
        <v>980</v>
      </c>
    </row>
    <row r="53" spans="4:4" ht="15">
      <c r="D53" s="24" t="s">
        <v>981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D3:D221"/>
  <sheetViews>
    <sheetView workbookViewId="0">
      <selection activeCell="D20" sqref="D20"/>
    </sheetView>
  </sheetViews>
  <sheetFormatPr defaultRowHeight="14.4"/>
  <cols>
    <col min="4" max="4" width="117.88671875" customWidth="1"/>
  </cols>
  <sheetData>
    <row r="3" spans="4:4" ht="15.6">
      <c r="D3" s="124" t="s">
        <v>872</v>
      </c>
    </row>
    <row r="5" spans="4:4" ht="52.2">
      <c r="D5" s="125" t="s">
        <v>873</v>
      </c>
    </row>
    <row r="7" spans="4:4" ht="17.399999999999999">
      <c r="D7" s="126" t="s">
        <v>874</v>
      </c>
    </row>
    <row r="9" spans="4:4" ht="17.399999999999999">
      <c r="D9" s="126" t="s">
        <v>875</v>
      </c>
    </row>
    <row r="11" spans="4:4" ht="17.399999999999999">
      <c r="D11" s="126" t="s">
        <v>876</v>
      </c>
    </row>
    <row r="13" spans="4:4" ht="17.399999999999999">
      <c r="D13" s="126" t="s">
        <v>877</v>
      </c>
    </row>
    <row r="15" spans="4:4" ht="17.399999999999999">
      <c r="D15" s="126" t="s">
        <v>878</v>
      </c>
    </row>
    <row r="17" spans="4:4" ht="17.399999999999999">
      <c r="D17" s="126" t="s">
        <v>879</v>
      </c>
    </row>
    <row r="19" spans="4:4" ht="17.399999999999999">
      <c r="D19" s="126" t="s">
        <v>880</v>
      </c>
    </row>
    <row r="21" spans="4:4" ht="17.399999999999999">
      <c r="D21" s="126" t="s">
        <v>881</v>
      </c>
    </row>
    <row r="23" spans="4:4" ht="17.399999999999999">
      <c r="D23" s="126" t="s">
        <v>882</v>
      </c>
    </row>
    <row r="25" spans="4:4" ht="17.399999999999999">
      <c r="D25" s="126" t="s">
        <v>883</v>
      </c>
    </row>
    <row r="27" spans="4:4" ht="17.399999999999999">
      <c r="D27" s="126" t="s">
        <v>884</v>
      </c>
    </row>
    <row r="29" spans="4:4" ht="17.399999999999999">
      <c r="D29" s="126" t="s">
        <v>885</v>
      </c>
    </row>
    <row r="31" spans="4:4" ht="17.399999999999999">
      <c r="D31" s="126" t="s">
        <v>886</v>
      </c>
    </row>
    <row r="33" spans="4:4" ht="17.399999999999999">
      <c r="D33" s="126" t="s">
        <v>887</v>
      </c>
    </row>
    <row r="35" spans="4:4" ht="17.399999999999999">
      <c r="D35" s="126" t="s">
        <v>888</v>
      </c>
    </row>
    <row r="36" spans="4:4" ht="17.399999999999999">
      <c r="D36" s="127"/>
    </row>
    <row r="37" spans="4:4" ht="17.399999999999999">
      <c r="D37" s="123"/>
    </row>
    <row r="39" spans="4:4" ht="17.399999999999999">
      <c r="D39" s="128" t="s">
        <v>889</v>
      </c>
    </row>
    <row r="41" spans="4:4" ht="17.399999999999999">
      <c r="D41" s="125" t="s">
        <v>890</v>
      </c>
    </row>
    <row r="43" spans="4:4" ht="17.399999999999999">
      <c r="D43" s="126" t="s">
        <v>891</v>
      </c>
    </row>
    <row r="45" spans="4:4" ht="17.399999999999999">
      <c r="D45" s="126" t="s">
        <v>892</v>
      </c>
    </row>
    <row r="47" spans="4:4" ht="17.399999999999999">
      <c r="D47" s="126" t="s">
        <v>893</v>
      </c>
    </row>
    <row r="49" spans="4:4" ht="17.399999999999999">
      <c r="D49" s="126" t="s">
        <v>894</v>
      </c>
    </row>
    <row r="51" spans="4:4" ht="17.399999999999999">
      <c r="D51" s="126" t="s">
        <v>895</v>
      </c>
    </row>
    <row r="53" spans="4:4" ht="17.399999999999999">
      <c r="D53" s="125" t="s">
        <v>896</v>
      </c>
    </row>
    <row r="54" spans="4:4" ht="17.399999999999999">
      <c r="D54" s="127"/>
    </row>
    <row r="55" spans="4:4" ht="17.399999999999999">
      <c r="D55" s="127"/>
    </row>
    <row r="56" spans="4:4" ht="17.399999999999999">
      <c r="D56" s="123"/>
    </row>
    <row r="58" spans="4:4" ht="17.399999999999999">
      <c r="D58" s="128" t="s">
        <v>897</v>
      </c>
    </row>
    <row r="60" spans="4:4" ht="52.2">
      <c r="D60" s="125" t="s">
        <v>898</v>
      </c>
    </row>
    <row r="61" spans="4:4" ht="17.399999999999999">
      <c r="D61" s="125"/>
    </row>
    <row r="65" spans="4:4" ht="17.399999999999999">
      <c r="D65" s="128" t="s">
        <v>875</v>
      </c>
    </row>
    <row r="67" spans="4:4" ht="87">
      <c r="D67" s="125" t="s">
        <v>899</v>
      </c>
    </row>
    <row r="68" spans="4:4" ht="34.799999999999997">
      <c r="D68" s="125" t="s">
        <v>900</v>
      </c>
    </row>
    <row r="69" spans="4:4" ht="17.399999999999999">
      <c r="D69" s="125" t="s">
        <v>901</v>
      </c>
    </row>
    <row r="71" spans="4:4" ht="17.399999999999999">
      <c r="D71" s="129" t="s">
        <v>902</v>
      </c>
    </row>
    <row r="72" spans="4:4" ht="17.399999999999999">
      <c r="D72" s="123"/>
    </row>
    <row r="75" spans="4:4" ht="17.399999999999999">
      <c r="D75" s="128" t="s">
        <v>903</v>
      </c>
    </row>
    <row r="77" spans="4:4" ht="104.4">
      <c r="D77" s="125" t="s">
        <v>904</v>
      </c>
    </row>
    <row r="78" spans="4:4" ht="87">
      <c r="D78" s="125" t="s">
        <v>905</v>
      </c>
    </row>
    <row r="79" spans="4:4" ht="17.399999999999999">
      <c r="D79" s="125" t="s">
        <v>906</v>
      </c>
    </row>
    <row r="81" spans="4:4" ht="34.799999999999997">
      <c r="D81" s="129" t="s">
        <v>907</v>
      </c>
    </row>
    <row r="84" spans="4:4" ht="17.399999999999999">
      <c r="D84" s="125" t="s">
        <v>908</v>
      </c>
    </row>
    <row r="86" spans="4:4" ht="17.399999999999999">
      <c r="D86" s="129" t="s">
        <v>909</v>
      </c>
    </row>
    <row r="89" spans="4:4" ht="17.399999999999999">
      <c r="D89" s="125" t="s">
        <v>910</v>
      </c>
    </row>
    <row r="90" spans="4:4" ht="52.2">
      <c r="D90" s="125" t="s">
        <v>911</v>
      </c>
    </row>
    <row r="91" spans="4:4" ht="17.399999999999999">
      <c r="D91" s="127"/>
    </row>
    <row r="92" spans="4:4" ht="17.399999999999999">
      <c r="D92" s="127"/>
    </row>
    <row r="93" spans="4:4" ht="17.399999999999999">
      <c r="D93" s="127"/>
    </row>
    <row r="94" spans="4:4" ht="17.399999999999999">
      <c r="D94" s="123"/>
    </row>
    <row r="97" spans="4:4" ht="17.399999999999999">
      <c r="D97" s="128" t="s">
        <v>619</v>
      </c>
    </row>
    <row r="99" spans="4:4" ht="34.799999999999997">
      <c r="D99" s="125" t="s">
        <v>912</v>
      </c>
    </row>
    <row r="101" spans="4:4" ht="17.399999999999999">
      <c r="D101" s="129" t="s">
        <v>913</v>
      </c>
    </row>
    <row r="104" spans="4:4" ht="17.399999999999999">
      <c r="D104" s="125" t="s">
        <v>914</v>
      </c>
    </row>
    <row r="105" spans="4:4" ht="17.399999999999999">
      <c r="D105" s="127"/>
    </row>
    <row r="106" spans="4:4" ht="17.399999999999999">
      <c r="D106" s="127"/>
    </row>
    <row r="107" spans="4:4" ht="17.399999999999999">
      <c r="D107" s="123"/>
    </row>
    <row r="110" spans="4:4" ht="17.399999999999999">
      <c r="D110" s="128" t="s">
        <v>915</v>
      </c>
    </row>
    <row r="112" spans="4:4" ht="34.799999999999997">
      <c r="D112" s="125" t="s">
        <v>916</v>
      </c>
    </row>
    <row r="113" spans="4:4" ht="17.399999999999999">
      <c r="D113" s="125" t="s">
        <v>917</v>
      </c>
    </row>
    <row r="115" spans="4:4" ht="17.399999999999999">
      <c r="D115" s="129" t="s">
        <v>918</v>
      </c>
    </row>
    <row r="118" spans="4:4" ht="17.399999999999999">
      <c r="D118" s="125" t="s">
        <v>919</v>
      </c>
    </row>
    <row r="119" spans="4:4" ht="17.399999999999999">
      <c r="D119" s="127"/>
    </row>
    <row r="120" spans="4:4" ht="17.399999999999999">
      <c r="D120" s="127"/>
    </row>
    <row r="121" spans="4:4" ht="17.399999999999999">
      <c r="D121" s="123"/>
    </row>
    <row r="124" spans="4:4" ht="17.399999999999999">
      <c r="D124" s="128" t="s">
        <v>920</v>
      </c>
    </row>
    <row r="126" spans="4:4" ht="34.799999999999997">
      <c r="D126" s="125" t="s">
        <v>921</v>
      </c>
    </row>
    <row r="127" spans="4:4" ht="17.399999999999999">
      <c r="D127" s="125" t="s">
        <v>922</v>
      </c>
    </row>
    <row r="129" spans="4:4" ht="17.399999999999999">
      <c r="D129" s="129" t="s">
        <v>871</v>
      </c>
    </row>
    <row r="132" spans="4:4" ht="34.799999999999997">
      <c r="D132" s="125" t="s">
        <v>923</v>
      </c>
    </row>
    <row r="133" spans="4:4" ht="17.399999999999999">
      <c r="D133" s="127"/>
    </row>
    <row r="134" spans="4:4" ht="17.399999999999999">
      <c r="D134" s="127"/>
    </row>
    <row r="135" spans="4:4" ht="17.399999999999999">
      <c r="D135" s="123"/>
    </row>
    <row r="138" spans="4:4" ht="17.399999999999999">
      <c r="D138" s="128" t="s">
        <v>924</v>
      </c>
    </row>
    <row r="140" spans="4:4" ht="34.799999999999997">
      <c r="D140" s="125" t="s">
        <v>925</v>
      </c>
    </row>
    <row r="141" spans="4:4" ht="17.399999999999999">
      <c r="D141" s="125" t="s">
        <v>926</v>
      </c>
    </row>
    <row r="143" spans="4:4" ht="17.399999999999999">
      <c r="D143" s="129" t="s">
        <v>927</v>
      </c>
    </row>
    <row r="146" spans="4:4" ht="121.8">
      <c r="D146" s="125" t="s">
        <v>928</v>
      </c>
    </row>
    <row r="147" spans="4:4" ht="17.399999999999999">
      <c r="D147" s="127"/>
    </row>
    <row r="148" spans="4:4" ht="17.399999999999999">
      <c r="D148" s="123"/>
    </row>
    <row r="151" spans="4:4" ht="17.399999999999999">
      <c r="D151" s="128" t="s">
        <v>929</v>
      </c>
    </row>
    <row r="153" spans="4:4" ht="17.399999999999999">
      <c r="D153" s="130" t="s">
        <v>930</v>
      </c>
    </row>
    <row r="154" spans="4:4" ht="34.799999999999997">
      <c r="D154" s="125" t="s">
        <v>931</v>
      </c>
    </row>
    <row r="156" spans="4:4" ht="17.399999999999999">
      <c r="D156" s="129" t="s">
        <v>932</v>
      </c>
    </row>
    <row r="159" spans="4:4" ht="17.399999999999999">
      <c r="D159" s="125" t="s">
        <v>908</v>
      </c>
    </row>
    <row r="163" spans="4:4" ht="17.399999999999999">
      <c r="D163" s="129" t="s">
        <v>933</v>
      </c>
    </row>
    <row r="166" spans="4:4" ht="17.399999999999999">
      <c r="D166" s="125" t="s">
        <v>934</v>
      </c>
    </row>
    <row r="170" spans="4:4" ht="17.399999999999999">
      <c r="D170" s="130" t="s">
        <v>935</v>
      </c>
    </row>
    <row r="171" spans="4:4" ht="34.799999999999997">
      <c r="D171" s="125" t="s">
        <v>936</v>
      </c>
    </row>
    <row r="175" spans="4:4" ht="17.399999999999999">
      <c r="D175" s="129" t="s">
        <v>937</v>
      </c>
    </row>
    <row r="178" spans="4:4" ht="17.399999999999999">
      <c r="D178" s="125" t="s">
        <v>908</v>
      </c>
    </row>
    <row r="182" spans="4:4" ht="17.399999999999999">
      <c r="D182" s="129" t="s">
        <v>933</v>
      </c>
    </row>
    <row r="185" spans="4:4" ht="17.399999999999999">
      <c r="D185" s="125" t="s">
        <v>934</v>
      </c>
    </row>
    <row r="189" spans="4:4" ht="17.399999999999999">
      <c r="D189" s="130" t="s">
        <v>878</v>
      </c>
    </row>
    <row r="190" spans="4:4" ht="17.399999999999999">
      <c r="D190" s="125" t="s">
        <v>938</v>
      </c>
    </row>
    <row r="194" spans="4:4" ht="17.399999999999999">
      <c r="D194" s="129" t="s">
        <v>939</v>
      </c>
    </row>
    <row r="197" spans="4:4" ht="17.399999999999999">
      <c r="D197" s="125" t="s">
        <v>908</v>
      </c>
    </row>
    <row r="201" spans="4:4" ht="17.399999999999999">
      <c r="D201" s="129" t="s">
        <v>933</v>
      </c>
    </row>
    <row r="204" spans="4:4" ht="17.399999999999999">
      <c r="D204" s="125" t="s">
        <v>934</v>
      </c>
    </row>
    <row r="205" spans="4:4" ht="17.399999999999999">
      <c r="D205" s="127"/>
    </row>
    <row r="206" spans="4:4" ht="17.399999999999999">
      <c r="D206" s="127"/>
    </row>
    <row r="207" spans="4:4" ht="17.399999999999999">
      <c r="D207" s="127"/>
    </row>
    <row r="208" spans="4:4" ht="17.399999999999999">
      <c r="D208" s="123"/>
    </row>
    <row r="211" spans="4:4" ht="17.399999999999999">
      <c r="D211" s="128" t="s">
        <v>888</v>
      </c>
    </row>
    <row r="213" spans="4:4" ht="34.799999999999997">
      <c r="D213" s="125" t="s">
        <v>940</v>
      </c>
    </row>
    <row r="214" spans="4:4" ht="69.599999999999994">
      <c r="D214" s="125" t="s">
        <v>941</v>
      </c>
    </row>
    <row r="215" spans="4:4" ht="17.399999999999999">
      <c r="D215" s="125" t="s">
        <v>942</v>
      </c>
    </row>
    <row r="217" spans="4:4" ht="17.399999999999999">
      <c r="D217" s="129" t="s">
        <v>943</v>
      </c>
    </row>
    <row r="218" spans="4:4" ht="17.399999999999999">
      <c r="D218" s="129" t="s">
        <v>944</v>
      </c>
    </row>
    <row r="219" spans="4:4" ht="17.399999999999999">
      <c r="D219" s="129" t="s">
        <v>945</v>
      </c>
    </row>
    <row r="220" spans="4:4" ht="17.399999999999999">
      <c r="D220" s="129" t="s">
        <v>946</v>
      </c>
    </row>
    <row r="221" spans="4:4" ht="17.399999999999999">
      <c r="D221" s="129" t="s">
        <v>947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D3:L84"/>
  <sheetViews>
    <sheetView topLeftCell="A2" workbookViewId="0">
      <selection activeCell="E89" sqref="E89"/>
    </sheetView>
  </sheetViews>
  <sheetFormatPr defaultRowHeight="14.4"/>
  <cols>
    <col min="4" max="4" width="46.109375" customWidth="1"/>
    <col min="5" max="5" width="25.109375" customWidth="1"/>
    <col min="6" max="6" width="20" customWidth="1"/>
    <col min="7" max="7" width="16" customWidth="1"/>
  </cols>
  <sheetData>
    <row r="3" spans="4:10" ht="40.200000000000003">
      <c r="D3" s="1" t="s">
        <v>982</v>
      </c>
    </row>
    <row r="5" spans="4:10" ht="27">
      <c r="D5" s="1" t="s">
        <v>983</v>
      </c>
    </row>
    <row r="7" spans="4:10">
      <c r="D7" s="131" t="s">
        <v>984</v>
      </c>
      <c r="E7" s="193" t="s">
        <v>988</v>
      </c>
      <c r="F7" s="131" t="s">
        <v>985</v>
      </c>
      <c r="G7" s="193" t="s">
        <v>990</v>
      </c>
      <c r="H7" s="131" t="s">
        <v>984</v>
      </c>
    </row>
    <row r="8" spans="4:10">
      <c r="D8" s="131" t="s">
        <v>985</v>
      </c>
      <c r="E8" s="193"/>
      <c r="F8" s="131" t="s">
        <v>986</v>
      </c>
      <c r="G8" s="193"/>
      <c r="H8" s="131" t="s">
        <v>991</v>
      </c>
    </row>
    <row r="9" spans="4:10" ht="27">
      <c r="D9" s="131" t="s">
        <v>986</v>
      </c>
      <c r="E9" s="193"/>
      <c r="F9" s="131" t="s">
        <v>989</v>
      </c>
      <c r="G9" s="193"/>
      <c r="H9" s="131" t="s">
        <v>987</v>
      </c>
    </row>
    <row r="10" spans="4:10">
      <c r="D10" s="131" t="s">
        <v>987</v>
      </c>
      <c r="E10" s="193"/>
      <c r="F10" s="131" t="s">
        <v>987</v>
      </c>
      <c r="G10" s="193"/>
      <c r="H10" s="131"/>
    </row>
    <row r="12" spans="4:10" ht="79.8">
      <c r="D12" s="1" t="s">
        <v>992</v>
      </c>
    </row>
    <row r="14" spans="4:10" ht="27">
      <c r="D14" s="1" t="s">
        <v>993</v>
      </c>
    </row>
    <row r="16" spans="4:10">
      <c r="D16" s="131" t="s">
        <v>984</v>
      </c>
      <c r="E16" s="193" t="s">
        <v>994</v>
      </c>
      <c r="F16" s="131" t="s">
        <v>984</v>
      </c>
      <c r="G16" s="193" t="s">
        <v>995</v>
      </c>
      <c r="H16" s="131" t="s">
        <v>984</v>
      </c>
      <c r="I16" s="193" t="s">
        <v>996</v>
      </c>
      <c r="J16" s="131" t="s">
        <v>985</v>
      </c>
    </row>
    <row r="17" spans="4:10" ht="27">
      <c r="D17" s="131" t="s">
        <v>985</v>
      </c>
      <c r="E17" s="193"/>
      <c r="F17" s="131" t="s">
        <v>991</v>
      </c>
      <c r="G17" s="193"/>
      <c r="H17" s="131" t="s">
        <v>991</v>
      </c>
      <c r="I17" s="193"/>
      <c r="J17" s="131" t="s">
        <v>986</v>
      </c>
    </row>
    <row r="18" spans="4:10" ht="27">
      <c r="D18" s="131" t="s">
        <v>986</v>
      </c>
      <c r="E18" s="193"/>
      <c r="F18" s="131" t="s">
        <v>987</v>
      </c>
      <c r="G18" s="193"/>
      <c r="H18" s="131" t="s">
        <v>987</v>
      </c>
      <c r="I18" s="193"/>
      <c r="J18" s="131" t="s">
        <v>987</v>
      </c>
    </row>
    <row r="19" spans="4:10">
      <c r="D19" s="131" t="s">
        <v>987</v>
      </c>
      <c r="E19" s="193"/>
      <c r="F19" s="131"/>
      <c r="G19" s="193"/>
      <c r="H19" s="131"/>
      <c r="I19" s="193"/>
      <c r="J19" s="131"/>
    </row>
    <row r="21" spans="4:10" ht="42.6">
      <c r="D21" s="1" t="s">
        <v>997</v>
      </c>
    </row>
    <row r="23" spans="4:10" ht="16.95" customHeight="1">
      <c r="D23" s="193" t="s">
        <v>998</v>
      </c>
      <c r="E23" s="131" t="s">
        <v>985</v>
      </c>
      <c r="F23" s="193" t="s">
        <v>999</v>
      </c>
      <c r="G23" s="131" t="s">
        <v>1000</v>
      </c>
    </row>
    <row r="24" spans="4:10">
      <c r="D24" s="193"/>
      <c r="E24" s="131" t="s">
        <v>986</v>
      </c>
      <c r="F24" s="193"/>
      <c r="G24" s="131" t="s">
        <v>987</v>
      </c>
    </row>
    <row r="25" spans="4:10">
      <c r="D25" s="193"/>
      <c r="E25" s="131" t="s">
        <v>987</v>
      </c>
      <c r="F25" s="193"/>
      <c r="G25" s="131"/>
    </row>
    <row r="27" spans="4:10" ht="27">
      <c r="D27" s="1" t="s">
        <v>1001</v>
      </c>
    </row>
    <row r="29" spans="4:10" ht="37.200000000000003" customHeight="1">
      <c r="D29" s="131" t="s">
        <v>985</v>
      </c>
      <c r="E29" s="193" t="s">
        <v>1002</v>
      </c>
      <c r="F29" s="131" t="s">
        <v>985</v>
      </c>
      <c r="G29" s="193" t="s">
        <v>1003</v>
      </c>
      <c r="H29" s="131" t="s">
        <v>985</v>
      </c>
      <c r="I29" s="193" t="s">
        <v>1004</v>
      </c>
      <c r="J29" s="131" t="s">
        <v>1005</v>
      </c>
    </row>
    <row r="30" spans="4:10" ht="27">
      <c r="D30" s="131" t="s">
        <v>986</v>
      </c>
      <c r="E30" s="193"/>
      <c r="F30" s="131" t="s">
        <v>986</v>
      </c>
      <c r="G30" s="193"/>
      <c r="H30" s="131" t="s">
        <v>986</v>
      </c>
      <c r="I30" s="193"/>
      <c r="J30" s="131" t="s">
        <v>1006</v>
      </c>
    </row>
    <row r="31" spans="4:10" ht="27">
      <c r="D31" s="131" t="s">
        <v>987</v>
      </c>
      <c r="E31" s="193"/>
      <c r="F31" s="131" t="s">
        <v>987</v>
      </c>
      <c r="G31" s="193"/>
      <c r="H31" s="131" t="s">
        <v>987</v>
      </c>
      <c r="I31" s="193"/>
      <c r="J31" s="131" t="s">
        <v>987</v>
      </c>
    </row>
    <row r="33" spans="4:12" ht="27">
      <c r="D33" s="1" t="s">
        <v>1007</v>
      </c>
    </row>
    <row r="35" spans="4:12">
      <c r="D35" s="131" t="s">
        <v>1005</v>
      </c>
      <c r="E35" s="193" t="s">
        <v>988</v>
      </c>
      <c r="F35" s="131" t="s">
        <v>984</v>
      </c>
      <c r="G35" s="193" t="s">
        <v>990</v>
      </c>
      <c r="H35" s="131" t="s">
        <v>1008</v>
      </c>
    </row>
    <row r="36" spans="4:12">
      <c r="D36" s="131" t="s">
        <v>1006</v>
      </c>
      <c r="E36" s="193"/>
      <c r="F36" s="131" t="s">
        <v>985</v>
      </c>
      <c r="G36" s="193"/>
      <c r="H36" s="131" t="s">
        <v>1009</v>
      </c>
    </row>
    <row r="37" spans="4:12">
      <c r="D37" s="131" t="s">
        <v>987</v>
      </c>
      <c r="E37" s="193"/>
      <c r="F37" s="131" t="s">
        <v>986</v>
      </c>
      <c r="G37" s="193"/>
      <c r="H37" s="131"/>
    </row>
    <row r="38" spans="4:12">
      <c r="D38" s="131"/>
      <c r="E38" s="193"/>
      <c r="F38" s="131" t="s">
        <v>987</v>
      </c>
      <c r="G38" s="193"/>
      <c r="H38" s="131"/>
    </row>
    <row r="40" spans="4:12" ht="79.8">
      <c r="D40" s="1" t="s">
        <v>1010</v>
      </c>
    </row>
    <row r="42" spans="4:12">
      <c r="D42" s="193" t="s">
        <v>1011</v>
      </c>
      <c r="E42" s="131" t="s">
        <v>1012</v>
      </c>
      <c r="F42" s="193" t="s">
        <v>990</v>
      </c>
      <c r="G42" s="131" t="s">
        <v>1015</v>
      </c>
    </row>
    <row r="43" spans="4:12">
      <c r="D43" s="193"/>
      <c r="E43" s="131" t="s">
        <v>1013</v>
      </c>
      <c r="F43" s="193"/>
      <c r="G43" s="131" t="s">
        <v>1016</v>
      </c>
    </row>
    <row r="44" spans="4:12">
      <c r="D44" s="193"/>
      <c r="E44" s="131" t="s">
        <v>1014</v>
      </c>
      <c r="F44" s="193"/>
      <c r="G44" s="131"/>
    </row>
    <row r="45" spans="4:12">
      <c r="D45" s="132"/>
    </row>
    <row r="46" spans="4:12" ht="27" customHeight="1">
      <c r="D46" s="131" t="s">
        <v>1015</v>
      </c>
      <c r="E46" s="193" t="s">
        <v>1017</v>
      </c>
      <c r="F46" s="131" t="s">
        <v>1012</v>
      </c>
      <c r="G46" s="193" t="s">
        <v>1019</v>
      </c>
      <c r="H46" s="131" t="s">
        <v>1000</v>
      </c>
      <c r="I46" s="193" t="s">
        <v>1020</v>
      </c>
      <c r="J46" s="131" t="s">
        <v>1008</v>
      </c>
      <c r="K46" s="193" t="s">
        <v>990</v>
      </c>
      <c r="L46" s="131" t="s">
        <v>1021</v>
      </c>
    </row>
    <row r="47" spans="4:12" ht="27">
      <c r="D47" s="131" t="s">
        <v>1016</v>
      </c>
      <c r="E47" s="193"/>
      <c r="F47" s="131" t="s">
        <v>1018</v>
      </c>
      <c r="G47" s="193"/>
      <c r="H47" s="131" t="s">
        <v>987</v>
      </c>
      <c r="I47" s="193"/>
      <c r="J47" s="131" t="s">
        <v>1009</v>
      </c>
      <c r="K47" s="193"/>
      <c r="L47" s="131" t="s">
        <v>1022</v>
      </c>
    </row>
    <row r="48" spans="4:12">
      <c r="D48" s="131"/>
      <c r="E48" s="193"/>
      <c r="F48" s="131" t="s">
        <v>1014</v>
      </c>
      <c r="G48" s="193"/>
      <c r="H48" s="131"/>
      <c r="I48" s="193"/>
      <c r="J48" s="131"/>
      <c r="K48" s="193"/>
      <c r="L48" s="131"/>
    </row>
    <row r="49" spans="4:12">
      <c r="D49" s="132"/>
    </row>
    <row r="50" spans="4:12">
      <c r="D50" s="193" t="s">
        <v>1023</v>
      </c>
      <c r="E50" s="131" t="s">
        <v>1012</v>
      </c>
      <c r="F50" s="193" t="s">
        <v>990</v>
      </c>
      <c r="G50" s="131" t="s">
        <v>1015</v>
      </c>
    </row>
    <row r="51" spans="4:12">
      <c r="D51" s="193"/>
      <c r="E51" s="131" t="s">
        <v>1013</v>
      </c>
      <c r="F51" s="193"/>
      <c r="G51" s="131" t="s">
        <v>1024</v>
      </c>
    </row>
    <row r="52" spans="4:12">
      <c r="D52" s="193"/>
      <c r="E52" s="131" t="s">
        <v>1014</v>
      </c>
      <c r="F52" s="193"/>
      <c r="G52" s="131"/>
    </row>
    <row r="53" spans="4:12">
      <c r="D53" s="132"/>
    </row>
    <row r="54" spans="4:12" ht="27" customHeight="1">
      <c r="D54" s="131" t="s">
        <v>1015</v>
      </c>
      <c r="E54" s="193" t="s">
        <v>1025</v>
      </c>
      <c r="F54" s="131" t="s">
        <v>1012</v>
      </c>
      <c r="G54" s="193" t="s">
        <v>1019</v>
      </c>
      <c r="H54" s="131" t="s">
        <v>1000</v>
      </c>
      <c r="I54" s="193" t="s">
        <v>1020</v>
      </c>
      <c r="J54" s="131" t="s">
        <v>1008</v>
      </c>
      <c r="K54" s="193" t="s">
        <v>990</v>
      </c>
      <c r="L54" s="131" t="s">
        <v>1021</v>
      </c>
    </row>
    <row r="55" spans="4:12" ht="27">
      <c r="D55" s="131" t="s">
        <v>1024</v>
      </c>
      <c r="E55" s="193"/>
      <c r="F55" s="131" t="s">
        <v>1018</v>
      </c>
      <c r="G55" s="193"/>
      <c r="H55" s="131" t="s">
        <v>987</v>
      </c>
      <c r="I55" s="193"/>
      <c r="J55" s="131" t="s">
        <v>1009</v>
      </c>
      <c r="K55" s="193"/>
      <c r="L55" s="131" t="s">
        <v>1026</v>
      </c>
    </row>
    <row r="56" spans="4:12">
      <c r="D56" s="131"/>
      <c r="E56" s="193"/>
      <c r="F56" s="131" t="s">
        <v>1014</v>
      </c>
      <c r="G56" s="193"/>
      <c r="H56" s="131"/>
      <c r="I56" s="193"/>
      <c r="J56" s="131"/>
      <c r="K56" s="193"/>
      <c r="L56" s="131"/>
    </row>
    <row r="58" spans="4:12" ht="119.4">
      <c r="D58" s="1" t="s">
        <v>1027</v>
      </c>
    </row>
    <row r="60" spans="4:12">
      <c r="D60" s="194" t="s">
        <v>1028</v>
      </c>
      <c r="E60" s="131" t="s">
        <v>1012</v>
      </c>
      <c r="F60" s="193" t="s">
        <v>1029</v>
      </c>
      <c r="G60" s="131" t="s">
        <v>1000</v>
      </c>
      <c r="H60" s="193" t="s">
        <v>1030</v>
      </c>
    </row>
    <row r="61" spans="4:12">
      <c r="D61" s="194"/>
      <c r="E61" s="131" t="s">
        <v>1018</v>
      </c>
      <c r="F61" s="193"/>
      <c r="G61" s="131" t="s">
        <v>987</v>
      </c>
      <c r="H61" s="193"/>
    </row>
    <row r="62" spans="4:12">
      <c r="D62" s="194"/>
      <c r="E62" s="131" t="s">
        <v>1014</v>
      </c>
      <c r="F62" s="193"/>
      <c r="G62" s="131"/>
      <c r="H62" s="193"/>
    </row>
    <row r="64" spans="4:12" ht="27">
      <c r="D64" s="1" t="s">
        <v>1031</v>
      </c>
    </row>
    <row r="66" spans="4:6">
      <c r="D66" s="133" t="s">
        <v>1032</v>
      </c>
      <c r="E66" s="132"/>
      <c r="F66" s="134">
        <v>0.10453</v>
      </c>
    </row>
    <row r="67" spans="4:6">
      <c r="D67" s="133" t="s">
        <v>1033</v>
      </c>
      <c r="E67" s="132"/>
      <c r="F67" s="134">
        <v>0.20791000000000001</v>
      </c>
    </row>
    <row r="68" spans="4:6">
      <c r="D68" s="133" t="s">
        <v>1034</v>
      </c>
      <c r="E68" s="132"/>
      <c r="F68" s="134">
        <v>0.30902000000000002</v>
      </c>
    </row>
    <row r="70" spans="4:6" ht="159">
      <c r="D70" s="1" t="s">
        <v>1035</v>
      </c>
    </row>
    <row r="72" spans="4:6" ht="291">
      <c r="D72" s="1" t="s">
        <v>1036</v>
      </c>
    </row>
    <row r="74" spans="4:6" ht="27">
      <c r="D74" s="1" t="s">
        <v>1037</v>
      </c>
    </row>
    <row r="76" spans="4:6">
      <c r="D76" s="133" t="s">
        <v>1038</v>
      </c>
      <c r="E76" s="132"/>
      <c r="F76" s="134" t="s">
        <v>1039</v>
      </c>
    </row>
    <row r="77" spans="4:6">
      <c r="D77" s="133" t="s">
        <v>1040</v>
      </c>
      <c r="E77" s="132"/>
      <c r="F77" s="134" t="s">
        <v>1041</v>
      </c>
    </row>
    <row r="78" spans="4:6">
      <c r="D78" s="133" t="s">
        <v>1042</v>
      </c>
      <c r="E78" s="132"/>
      <c r="F78" s="134" t="s">
        <v>1041</v>
      </c>
    </row>
    <row r="79" spans="4:6">
      <c r="D79" s="133" t="s">
        <v>1043</v>
      </c>
      <c r="E79" s="132"/>
      <c r="F79" s="134" t="s">
        <v>1044</v>
      </c>
    </row>
    <row r="80" spans="4:6">
      <c r="D80" s="133" t="s">
        <v>1045</v>
      </c>
      <c r="E80" s="132"/>
      <c r="F80" s="134" t="s">
        <v>1044</v>
      </c>
    </row>
    <row r="81" spans="4:6">
      <c r="D81" s="133" t="s">
        <v>1046</v>
      </c>
      <c r="E81" s="132"/>
      <c r="F81" s="134" t="s">
        <v>1044</v>
      </c>
    </row>
    <row r="82" spans="4:6">
      <c r="D82" s="133" t="s">
        <v>1047</v>
      </c>
      <c r="E82" s="132"/>
      <c r="F82" s="134" t="s">
        <v>1044</v>
      </c>
    </row>
    <row r="83" spans="4:6">
      <c r="D83" s="133" t="s">
        <v>1048</v>
      </c>
      <c r="E83" s="132"/>
      <c r="F83" s="134" t="s">
        <v>1049</v>
      </c>
    </row>
    <row r="84" spans="4:6">
      <c r="D84" s="133" t="s">
        <v>1050</v>
      </c>
      <c r="E84" s="132"/>
      <c r="F84" s="134" t="s">
        <v>1051</v>
      </c>
    </row>
  </sheetData>
  <mergeCells count="27">
    <mergeCell ref="I46:I48"/>
    <mergeCell ref="K46:K48"/>
    <mergeCell ref="D50:D52"/>
    <mergeCell ref="F50:F52"/>
    <mergeCell ref="E54:E56"/>
    <mergeCell ref="G54:G56"/>
    <mergeCell ref="I54:I56"/>
    <mergeCell ref="K54:K56"/>
    <mergeCell ref="I16:I19"/>
    <mergeCell ref="D23:D25"/>
    <mergeCell ref="F23:F25"/>
    <mergeCell ref="E29:E31"/>
    <mergeCell ref="G29:G31"/>
    <mergeCell ref="I29:I31"/>
    <mergeCell ref="D60:D62"/>
    <mergeCell ref="F60:F62"/>
    <mergeCell ref="H60:H62"/>
    <mergeCell ref="D42:D44"/>
    <mergeCell ref="F42:F44"/>
    <mergeCell ref="E46:E48"/>
    <mergeCell ref="G46:G48"/>
    <mergeCell ref="E35:E38"/>
    <mergeCell ref="G35:G38"/>
    <mergeCell ref="E7:E10"/>
    <mergeCell ref="G7:G10"/>
    <mergeCell ref="E16:E19"/>
    <mergeCell ref="G16:G1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D2:AB93"/>
  <sheetViews>
    <sheetView topLeftCell="D45" zoomScale="76" zoomScaleNormal="76" workbookViewId="0">
      <selection activeCell="N60" sqref="N60"/>
    </sheetView>
  </sheetViews>
  <sheetFormatPr defaultRowHeight="14.4"/>
  <cols>
    <col min="12" max="12" width="12.109375" customWidth="1"/>
    <col min="27" max="27" width="26.33203125" customWidth="1"/>
    <col min="28" max="28" width="45" customWidth="1"/>
  </cols>
  <sheetData>
    <row r="2" spans="4:28">
      <c r="AA2" s="7" t="s">
        <v>85</v>
      </c>
    </row>
    <row r="3" spans="4:28">
      <c r="AA3" s="13" t="s">
        <v>86</v>
      </c>
    </row>
    <row r="4" spans="4:28">
      <c r="AA4" s="14" t="s">
        <v>87</v>
      </c>
      <c r="AB4" s="14" t="s">
        <v>88</v>
      </c>
    </row>
    <row r="5" spans="4:28">
      <c r="AA5" s="14" t="s">
        <v>89</v>
      </c>
      <c r="AB5" s="14" t="s">
        <v>90</v>
      </c>
    </row>
    <row r="6" spans="4:28" ht="27.6">
      <c r="D6" s="6" t="s">
        <v>11</v>
      </c>
      <c r="M6" t="s">
        <v>20</v>
      </c>
      <c r="N6">
        <f>'Geor-Jul'!F34-2451545</f>
        <v>114367.04969907412</v>
      </c>
      <c r="AA6" s="14" t="s">
        <v>91</v>
      </c>
      <c r="AB6" s="185" t="s">
        <v>93</v>
      </c>
    </row>
    <row r="7" spans="4:28" ht="27.6">
      <c r="D7" s="6"/>
      <c r="AA7" s="14" t="s">
        <v>92</v>
      </c>
      <c r="AB7" s="185"/>
    </row>
    <row r="8" spans="4:28" ht="18">
      <c r="D8" s="6" t="s">
        <v>12</v>
      </c>
      <c r="M8" t="s">
        <v>21</v>
      </c>
      <c r="N8">
        <f>MOD(357.529+0.98560028*N6,360)</f>
        <v>37.725206181363319</v>
      </c>
      <c r="O8">
        <f>N8/360</f>
        <v>0.10479223939267589</v>
      </c>
      <c r="P8">
        <f>O8+1</f>
        <v>1.1047922393926759</v>
      </c>
      <c r="Q8">
        <f>P8*360</f>
        <v>397.72520618136332</v>
      </c>
      <c r="R8">
        <f>(Q8/180)*PI()</f>
        <v>6.9416143660380936</v>
      </c>
      <c r="S8" t="s">
        <v>388</v>
      </c>
      <c r="AA8" s="13" t="s">
        <v>94</v>
      </c>
    </row>
    <row r="9" spans="4:28" ht="18">
      <c r="D9" s="6" t="s">
        <v>13</v>
      </c>
      <c r="M9" t="s">
        <v>22</v>
      </c>
      <c r="N9">
        <f>MOD(280.459+0.98564736*N6,360)</f>
        <v>326.03960688119696</v>
      </c>
      <c r="O9">
        <f>N9/360</f>
        <v>0.90566557466999154</v>
      </c>
      <c r="P9">
        <f>O9+1</f>
        <v>1.9056655746699915</v>
      </c>
      <c r="Q9">
        <f>P9*360</f>
        <v>686.03960688119696</v>
      </c>
      <c r="R9">
        <f>(Q9/180)*PI()</f>
        <v>11.973649939164433</v>
      </c>
      <c r="S9" t="s">
        <v>387</v>
      </c>
      <c r="AA9" s="13" t="s">
        <v>95</v>
      </c>
    </row>
    <row r="10" spans="4:28" ht="18">
      <c r="D10" s="6" t="s">
        <v>14</v>
      </c>
      <c r="M10" t="s">
        <v>386</v>
      </c>
      <c r="N10">
        <f>MOD(Q9+1.915*SIN(PI()*N8/180)+0.02*SIN(2*PI()*N8/180),360)</f>
        <v>327.23070624163131</v>
      </c>
      <c r="O10">
        <f>N10/360</f>
        <v>0.90897418400453145</v>
      </c>
      <c r="P10">
        <f>O10</f>
        <v>0.90897418400453145</v>
      </c>
      <c r="Q10">
        <f>P10*360</f>
        <v>327.23070624163131</v>
      </c>
      <c r="R10">
        <f>(Q10/180)*PI()</f>
        <v>5.7112532375428255</v>
      </c>
      <c r="S10" t="s">
        <v>389</v>
      </c>
      <c r="AA10" s="15" t="s">
        <v>96</v>
      </c>
    </row>
    <row r="11" spans="4:28" ht="18">
      <c r="D11" s="6"/>
      <c r="M11" t="s">
        <v>390</v>
      </c>
      <c r="N11">
        <f>N10-Q9</f>
        <v>-358.80890063956565</v>
      </c>
      <c r="AA11" s="15"/>
    </row>
    <row r="12" spans="4:28" ht="18">
      <c r="D12" s="6"/>
      <c r="M12" t="s">
        <v>73</v>
      </c>
      <c r="N12">
        <f>-N11+2.466*SIN(2*PI()*N10/180)-0.053*SIN(4*PI()*N10/180)</f>
        <v>356.60420066832035</v>
      </c>
      <c r="O12">
        <f>MOD(N12,360)</f>
        <v>356.60420066832035</v>
      </c>
      <c r="P12" t="s">
        <v>392</v>
      </c>
    </row>
    <row r="13" spans="4:28" ht="18">
      <c r="D13" s="6"/>
      <c r="M13" t="s">
        <v>391</v>
      </c>
      <c r="P13" t="s">
        <v>393</v>
      </c>
    </row>
    <row r="14" spans="4:28" ht="18">
      <c r="D14" s="6"/>
    </row>
    <row r="15" spans="4:28" ht="18">
      <c r="D15" s="6" t="s">
        <v>15</v>
      </c>
      <c r="M15" t="s">
        <v>23</v>
      </c>
      <c r="N15">
        <f>1.00014-0.01671*COS(PI()*N8/180)-0.00014*COS(2*PI()*N8/180)</f>
        <v>0.98688798103477837</v>
      </c>
    </row>
    <row r="16" spans="4:28" ht="18">
      <c r="D16" s="6" t="s">
        <v>16</v>
      </c>
      <c r="M16" t="s">
        <v>24</v>
      </c>
      <c r="N16">
        <f>23.439-0.00000036*N6</f>
        <v>23.397827862108333</v>
      </c>
      <c r="O16">
        <f>(N16/180)*PI()</f>
        <v>0.40836913400865615</v>
      </c>
    </row>
    <row r="17" spans="4:27" ht="18">
      <c r="D17" s="6" t="s">
        <v>17</v>
      </c>
      <c r="M17" t="s">
        <v>25</v>
      </c>
      <c r="N17">
        <f>(ATAN2(COS(PI()*N16/180)*SIN(PI()*N10/180),COS(PI()*N10/180)))</f>
        <v>2.1043986789620481</v>
      </c>
      <c r="AA17" s="10" t="s">
        <v>333</v>
      </c>
    </row>
    <row r="18" spans="4:27" ht="18">
      <c r="D18" s="6"/>
      <c r="M18" t="s">
        <v>7</v>
      </c>
      <c r="N18">
        <f>COS(PI()*N16/180)*SIN(PI()*N10/180)</f>
        <v>-0.49674986261960802</v>
      </c>
      <c r="AA18" s="10"/>
    </row>
    <row r="19" spans="4:27" ht="18">
      <c r="D19" s="6"/>
      <c r="M19" t="s">
        <v>382</v>
      </c>
      <c r="N19">
        <f>COS(PI()*N10/180)</f>
        <v>0.84085679775186928</v>
      </c>
      <c r="AA19" s="10"/>
    </row>
    <row r="20" spans="4:27" ht="18">
      <c r="D20" s="6"/>
      <c r="M20" t="s">
        <v>381</v>
      </c>
      <c r="N20">
        <f>ATAN((N18/N19))</f>
        <v>-0.53360235216715179</v>
      </c>
      <c r="O20" t="s">
        <v>383</v>
      </c>
      <c r="AA20" s="10"/>
    </row>
    <row r="21" spans="4:27" ht="18">
      <c r="D21" s="6"/>
      <c r="M21" t="s">
        <v>385</v>
      </c>
      <c r="N21">
        <f>N20*180/PI()</f>
        <v>-30.573162717431234</v>
      </c>
      <c r="O21" t="s">
        <v>384</v>
      </c>
      <c r="AA21" s="10"/>
    </row>
    <row r="22" spans="4:27" ht="18">
      <c r="D22" s="6"/>
      <c r="M22" t="s">
        <v>385</v>
      </c>
      <c r="N22">
        <f>IF(N19&lt;0,N21+180,IF(N18&lt;0,N21+360, N21))</f>
        <v>329.42683728256878</v>
      </c>
      <c r="AA22" s="10"/>
    </row>
    <row r="23" spans="4:27" ht="18">
      <c r="D23" s="6" t="s">
        <v>18</v>
      </c>
      <c r="M23" t="s">
        <v>26</v>
      </c>
      <c r="N23">
        <f>ASIN(SIN(PI()*N16/180)*SIN(PI()*N10/180))</f>
        <v>-0.21663090813799743</v>
      </c>
      <c r="AA23" s="28" t="s">
        <v>334</v>
      </c>
    </row>
    <row r="24" spans="4:27" ht="18">
      <c r="D24" s="6"/>
      <c r="M24" t="s">
        <v>26</v>
      </c>
      <c r="N24">
        <f>N23*180/PI()</f>
        <v>-12.412036748393492</v>
      </c>
      <c r="R24">
        <f>N22/15</f>
        <v>21.961789152171253</v>
      </c>
      <c r="AA24" s="28"/>
    </row>
    <row r="25" spans="4:27" ht="18">
      <c r="D25" s="6" t="s">
        <v>19</v>
      </c>
      <c r="M25" t="s">
        <v>27</v>
      </c>
      <c r="N25">
        <f>(Q9/15)-(N22/15)</f>
        <v>23.774184639908544</v>
      </c>
      <c r="O25">
        <f>N25*60</f>
        <v>1426.4510783945127</v>
      </c>
      <c r="R25">
        <f>0.5*60</f>
        <v>30</v>
      </c>
      <c r="AA25" s="10"/>
    </row>
    <row r="26" spans="4:27">
      <c r="AA26" s="10" t="s">
        <v>335</v>
      </c>
    </row>
    <row r="27" spans="4:27">
      <c r="M27" t="s">
        <v>31</v>
      </c>
      <c r="N27">
        <f>SIN(PI()*N10/180)</f>
        <v>-0.54125765183918828</v>
      </c>
      <c r="AA27" s="10"/>
    </row>
    <row r="28" spans="4:27">
      <c r="M28" t="s">
        <v>30</v>
      </c>
      <c r="N28">
        <f>COS(PI()*N10/180)</f>
        <v>0.84085679775186928</v>
      </c>
      <c r="AA28" s="10" t="s">
        <v>336</v>
      </c>
    </row>
    <row r="29" spans="4:27">
      <c r="M29" t="s">
        <v>32</v>
      </c>
      <c r="N29">
        <f>COS(PI()*N16/180)</f>
        <v>0.91776968128146874</v>
      </c>
      <c r="AA29" s="10"/>
    </row>
    <row r="30" spans="4:27">
      <c r="D30" s="7" t="s">
        <v>28</v>
      </c>
      <c r="M30" t="s">
        <v>33</v>
      </c>
      <c r="N30">
        <f>(SIN(PI()*N10/180)*COS(PI()*N16/180))/COS(PI()*N10/180)</f>
        <v>-0.59076630402195462</v>
      </c>
      <c r="AA30" s="10" t="s">
        <v>337</v>
      </c>
    </row>
    <row r="31" spans="4:27">
      <c r="D31" s="8" t="s">
        <v>29</v>
      </c>
      <c r="M31" t="s">
        <v>25</v>
      </c>
      <c r="N31">
        <f>ATAN(N30)</f>
        <v>-0.53360235216715179</v>
      </c>
      <c r="AA31" s="10" t="s">
        <v>338</v>
      </c>
    </row>
    <row r="32" spans="4:27">
      <c r="N32">
        <f>N31*180/PI()</f>
        <v>-30.573162717431234</v>
      </c>
      <c r="AA32" s="10" t="s">
        <v>339</v>
      </c>
    </row>
    <row r="33" spans="5:27">
      <c r="N33">
        <f>IF(N30&lt;0,N32+180,IF(N29&lt;0,N32+360, N32))</f>
        <v>149.42683728256875</v>
      </c>
      <c r="AA33" s="10" t="s">
        <v>340</v>
      </c>
    </row>
    <row r="34" spans="5:27">
      <c r="AA34" s="10"/>
    </row>
    <row r="35" spans="5:27">
      <c r="AA35" s="10" t="s">
        <v>341</v>
      </c>
    </row>
    <row r="36" spans="5:27">
      <c r="M36" t="s">
        <v>25</v>
      </c>
      <c r="N36">
        <f>ATAN2(N29*N27,N28)</f>
        <v>2.1043986789620481</v>
      </c>
      <c r="AA36" s="10"/>
    </row>
    <row r="37" spans="5:27">
      <c r="E37" s="9" t="s">
        <v>34</v>
      </c>
      <c r="N37">
        <f>N36/15</f>
        <v>0.14029324526413653</v>
      </c>
      <c r="AA37" s="10" t="s">
        <v>342</v>
      </c>
    </row>
    <row r="38" spans="5:27">
      <c r="AA38" s="10" t="s">
        <v>343</v>
      </c>
    </row>
    <row r="39" spans="5:27">
      <c r="AA39" s="10" t="s">
        <v>344</v>
      </c>
    </row>
    <row r="40" spans="5:27">
      <c r="AA40" s="10"/>
    </row>
    <row r="41" spans="5:27">
      <c r="AA41" s="10" t="s">
        <v>345</v>
      </c>
    </row>
    <row r="42" spans="5:27">
      <c r="AA42" s="10"/>
    </row>
    <row r="43" spans="5:27">
      <c r="AA43" s="10" t="s">
        <v>346</v>
      </c>
    </row>
    <row r="44" spans="5:27">
      <c r="AA44" s="10" t="s">
        <v>347</v>
      </c>
    </row>
    <row r="45" spans="5:27">
      <c r="AA45" s="10"/>
    </row>
    <row r="46" spans="5:27">
      <c r="L46" t="s">
        <v>97</v>
      </c>
      <c r="M46">
        <v>0.83330000000000004</v>
      </c>
      <c r="AA46" s="10" t="s">
        <v>348</v>
      </c>
    </row>
    <row r="47" spans="5:27">
      <c r="L47" t="s">
        <v>98</v>
      </c>
      <c r="M47">
        <f>SIN(M46*PI()/180)</f>
        <v>1.4543315936696234E-2</v>
      </c>
      <c r="AA47" s="10" t="s">
        <v>349</v>
      </c>
    </row>
    <row r="48" spans="5:27">
      <c r="M48" t="e">
        <f>((-M47-N27*N37)/(N28*N38))</f>
        <v>#DIV/0!</v>
      </c>
      <c r="AA48" s="10" t="s">
        <v>350</v>
      </c>
    </row>
    <row r="49" spans="12:27">
      <c r="L49" t="s">
        <v>99</v>
      </c>
      <c r="M49">
        <f>N27*N37</f>
        <v>-7.5934792500565854E-2</v>
      </c>
      <c r="AA49" s="10"/>
    </row>
    <row r="50" spans="12:27">
      <c r="L50" t="s">
        <v>100</v>
      </c>
      <c r="M50">
        <f>N28*N38</f>
        <v>0</v>
      </c>
      <c r="AA50" s="10" t="s">
        <v>351</v>
      </c>
    </row>
    <row r="51" spans="12:27">
      <c r="M51" t="e">
        <f>(-M47-M49)/M50</f>
        <v>#DIV/0!</v>
      </c>
      <c r="AA51" s="10" t="s">
        <v>352</v>
      </c>
    </row>
    <row r="52" spans="12:27">
      <c r="L52" t="s">
        <v>101</v>
      </c>
      <c r="M52" t="e">
        <f>ACOS(M51)</f>
        <v>#DIV/0!</v>
      </c>
      <c r="AA52" s="10" t="s">
        <v>353</v>
      </c>
    </row>
    <row r="53" spans="12:27">
      <c r="M53" t="e">
        <f>M52/15</f>
        <v>#DIV/0!</v>
      </c>
      <c r="AA53" s="10"/>
    </row>
    <row r="54" spans="12:27">
      <c r="AA54" s="10" t="s">
        <v>354</v>
      </c>
    </row>
    <row r="55" spans="12:27">
      <c r="AA55" s="10"/>
    </row>
    <row r="56" spans="12:27">
      <c r="AA56" s="10" t="s">
        <v>355</v>
      </c>
    </row>
    <row r="57" spans="12:27">
      <c r="AA57" s="10" t="s">
        <v>356</v>
      </c>
    </row>
    <row r="58" spans="12:27">
      <c r="AA58" s="10"/>
    </row>
    <row r="59" spans="12:27">
      <c r="AA59" s="10" t="s">
        <v>357</v>
      </c>
    </row>
    <row r="60" spans="12:27">
      <c r="AA60" s="10" t="s">
        <v>358</v>
      </c>
    </row>
    <row r="61" spans="12:27">
      <c r="AA61" s="10"/>
    </row>
    <row r="62" spans="12:27">
      <c r="AA62" s="10" t="s">
        <v>359</v>
      </c>
    </row>
    <row r="63" spans="12:27">
      <c r="AA63" s="10" t="s">
        <v>360</v>
      </c>
    </row>
    <row r="64" spans="12:27">
      <c r="AA64" s="10"/>
    </row>
    <row r="65" spans="27:27">
      <c r="AA65" s="10" t="s">
        <v>361</v>
      </c>
    </row>
    <row r="66" spans="27:27">
      <c r="AA66" s="10"/>
    </row>
    <row r="67" spans="27:27">
      <c r="AA67" s="10" t="s">
        <v>362</v>
      </c>
    </row>
    <row r="68" spans="27:27">
      <c r="AA68" s="10" t="s">
        <v>363</v>
      </c>
    </row>
    <row r="69" spans="27:27">
      <c r="AA69" s="10" t="s">
        <v>364</v>
      </c>
    </row>
    <row r="70" spans="27:27">
      <c r="AA70" s="10"/>
    </row>
    <row r="71" spans="27:27">
      <c r="AA71" s="10" t="s">
        <v>365</v>
      </c>
    </row>
    <row r="72" spans="27:27">
      <c r="AA72" s="10" t="s">
        <v>366</v>
      </c>
    </row>
    <row r="73" spans="27:27">
      <c r="AA73" s="10"/>
    </row>
    <row r="74" spans="27:27">
      <c r="AA74" s="10" t="s">
        <v>367</v>
      </c>
    </row>
    <row r="75" spans="27:27">
      <c r="AA75" s="10" t="s">
        <v>368</v>
      </c>
    </row>
    <row r="76" spans="27:27">
      <c r="AA76" s="10" t="s">
        <v>369</v>
      </c>
    </row>
    <row r="77" spans="27:27">
      <c r="AA77" s="10" t="s">
        <v>370</v>
      </c>
    </row>
    <row r="78" spans="27:27">
      <c r="AA78" s="10" t="s">
        <v>371</v>
      </c>
    </row>
    <row r="79" spans="27:27">
      <c r="AA79" s="10"/>
    </row>
    <row r="80" spans="27:27">
      <c r="AA80" s="10" t="s">
        <v>372</v>
      </c>
    </row>
    <row r="81" spans="27:27">
      <c r="AA81" s="10"/>
    </row>
    <row r="82" spans="27:27">
      <c r="AA82" s="10" t="s">
        <v>373</v>
      </c>
    </row>
    <row r="83" spans="27:27">
      <c r="AA83" s="10" t="s">
        <v>374</v>
      </c>
    </row>
    <row r="84" spans="27:27">
      <c r="AA84" s="10" t="s">
        <v>375</v>
      </c>
    </row>
    <row r="85" spans="27:27">
      <c r="AA85" s="10"/>
    </row>
    <row r="86" spans="27:27">
      <c r="AA86" s="10"/>
    </row>
    <row r="87" spans="27:27">
      <c r="AA87" s="10" t="s">
        <v>376</v>
      </c>
    </row>
    <row r="88" spans="27:27">
      <c r="AA88" s="10" t="s">
        <v>377</v>
      </c>
    </row>
    <row r="89" spans="27:27">
      <c r="AA89" s="10"/>
    </row>
    <row r="90" spans="27:27">
      <c r="AA90" s="10" t="s">
        <v>378</v>
      </c>
    </row>
    <row r="91" spans="27:27">
      <c r="AA91" s="10"/>
    </row>
    <row r="92" spans="27:27">
      <c r="AA92" s="10" t="s">
        <v>379</v>
      </c>
    </row>
    <row r="93" spans="27:27">
      <c r="AA93" s="10" t="s">
        <v>380</v>
      </c>
    </row>
  </sheetData>
  <mergeCells count="1">
    <mergeCell ref="AB6:AB7"/>
  </mergeCells>
  <hyperlinks>
    <hyperlink ref="AA23" r:id="rId1" display="http://www.stargazing.net/kepler/days.txt"/>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dimension ref="C5:I91"/>
  <sheetViews>
    <sheetView topLeftCell="A3" workbookViewId="0">
      <selection activeCell="G15" sqref="G15"/>
    </sheetView>
  </sheetViews>
  <sheetFormatPr defaultRowHeight="14.4"/>
  <cols>
    <col min="3" max="3" width="61.109375" customWidth="1"/>
    <col min="4" max="4" width="10.6640625" bestFit="1" customWidth="1"/>
    <col min="6" max="6" width="22.44140625" customWidth="1"/>
    <col min="8" max="8" width="11.6640625" bestFit="1" customWidth="1"/>
    <col min="9" max="9" width="12.6640625" bestFit="1" customWidth="1"/>
  </cols>
  <sheetData>
    <row r="5" spans="3:8">
      <c r="C5" s="1" t="s">
        <v>0</v>
      </c>
    </row>
    <row r="6" spans="3:8" ht="28.8">
      <c r="C6" s="3" t="s">
        <v>1</v>
      </c>
    </row>
    <row r="7" spans="3:8">
      <c r="C7" s="2" t="s">
        <v>2</v>
      </c>
    </row>
    <row r="8" spans="3:8">
      <c r="C8" s="2"/>
      <c r="D8" s="4">
        <v>40986</v>
      </c>
      <c r="E8" t="s">
        <v>4</v>
      </c>
      <c r="F8">
        <v>2</v>
      </c>
    </row>
    <row r="9" spans="3:8">
      <c r="C9" s="2" t="s">
        <v>3</v>
      </c>
      <c r="E9" t="s">
        <v>5</v>
      </c>
      <c r="F9">
        <v>2313</v>
      </c>
    </row>
    <row r="10" spans="3:8">
      <c r="C10" s="2"/>
    </row>
    <row r="11" spans="3:8">
      <c r="H11" s="5"/>
    </row>
    <row r="12" spans="3:8">
      <c r="E12" s="36" t="s">
        <v>6</v>
      </c>
      <c r="F12" s="36">
        <f>(14-F8)/12</f>
        <v>1</v>
      </c>
    </row>
    <row r="13" spans="3:8">
      <c r="E13" s="36" t="s">
        <v>7</v>
      </c>
      <c r="F13" s="36">
        <f>F9+4800-F12</f>
        <v>7112</v>
      </c>
    </row>
    <row r="14" spans="3:8">
      <c r="E14" s="36" t="s">
        <v>8</v>
      </c>
      <c r="F14" s="36">
        <f>F8+(12*F12)-3</f>
        <v>11</v>
      </c>
    </row>
    <row r="15" spans="3:8">
      <c r="E15" t="s">
        <v>10</v>
      </c>
      <c r="F15">
        <v>17</v>
      </c>
    </row>
    <row r="16" spans="3:8">
      <c r="E16" t="s">
        <v>133</v>
      </c>
      <c r="F16">
        <v>13</v>
      </c>
    </row>
    <row r="17" spans="3:9">
      <c r="E17" t="s">
        <v>131</v>
      </c>
      <c r="F17">
        <v>11</v>
      </c>
    </row>
    <row r="18" spans="3:9" ht="15">
      <c r="E18" t="s">
        <v>132</v>
      </c>
      <c r="F18">
        <v>34</v>
      </c>
      <c r="I18" s="24"/>
    </row>
    <row r="19" spans="3:9">
      <c r="G19" s="5"/>
    </row>
    <row r="21" spans="3:9">
      <c r="F21" s="5"/>
    </row>
    <row r="22" spans="3:9" ht="15">
      <c r="I22" s="24">
        <v>2640044.892616</v>
      </c>
    </row>
    <row r="24" spans="3:9">
      <c r="E24" t="s">
        <v>102</v>
      </c>
      <c r="F24">
        <f>INT(153*F14+2)/5</f>
        <v>337</v>
      </c>
      <c r="G24">
        <v>337</v>
      </c>
    </row>
    <row r="25" spans="3:9">
      <c r="E25" t="s">
        <v>103</v>
      </c>
      <c r="F25">
        <f>(365*F13)</f>
        <v>2595880</v>
      </c>
      <c r="G25">
        <v>2487657</v>
      </c>
    </row>
    <row r="26" spans="3:9">
      <c r="E26" t="s">
        <v>104</v>
      </c>
      <c r="F26">
        <f>INT(F13/4)</f>
        <v>1778</v>
      </c>
      <c r="G26">
        <v>1703</v>
      </c>
    </row>
    <row r="27" spans="3:9">
      <c r="E27" t="s">
        <v>105</v>
      </c>
      <c r="F27">
        <f>INT(F13/100)</f>
        <v>71</v>
      </c>
      <c r="G27">
        <v>68</v>
      </c>
    </row>
    <row r="28" spans="3:9">
      <c r="E28" t="s">
        <v>106</v>
      </c>
      <c r="F28">
        <f>INT(F13/400)</f>
        <v>17</v>
      </c>
      <c r="G28">
        <v>17</v>
      </c>
    </row>
    <row r="29" spans="3:9">
      <c r="E29" t="s">
        <v>134</v>
      </c>
      <c r="F29">
        <v>32045</v>
      </c>
    </row>
    <row r="30" spans="3:9">
      <c r="C30">
        <v>2559560</v>
      </c>
      <c r="E30" t="s">
        <v>135</v>
      </c>
      <c r="F30">
        <f>(F16-12)/24</f>
        <v>4.1666666666666664E-2</v>
      </c>
    </row>
    <row r="31" spans="3:9">
      <c r="E31" t="s">
        <v>136</v>
      </c>
      <c r="F31">
        <f>F17/1440</f>
        <v>7.6388888888888886E-3</v>
      </c>
    </row>
    <row r="32" spans="3:9">
      <c r="E32" t="s">
        <v>137</v>
      </c>
      <c r="F32">
        <f>F18/86400</f>
        <v>3.9351851851851852E-4</v>
      </c>
    </row>
    <row r="34" spans="3:6" ht="18">
      <c r="E34" s="26" t="s">
        <v>9</v>
      </c>
      <c r="F34" s="142">
        <f>F15-1+F24+F25+F26-F27+F28-F29+F30+F31+F32</f>
        <v>2565912.0496990741</v>
      </c>
    </row>
    <row r="35" spans="3:6">
      <c r="F35" s="141">
        <v>2456052.0585400001</v>
      </c>
    </row>
    <row r="37" spans="3:6">
      <c r="C37" t="s">
        <v>108</v>
      </c>
      <c r="D37" s="16" t="s">
        <v>107</v>
      </c>
    </row>
    <row r="46" spans="3:6">
      <c r="C46" s="19" t="s">
        <v>114</v>
      </c>
    </row>
    <row r="48" spans="3:6" ht="57.6">
      <c r="C48" s="21" t="s">
        <v>115</v>
      </c>
    </row>
    <row r="50" spans="3:4">
      <c r="C50" s="19" t="s">
        <v>116</v>
      </c>
    </row>
    <row r="52" spans="3:4" ht="28.8">
      <c r="C52" s="21" t="s">
        <v>117</v>
      </c>
    </row>
    <row r="53" spans="3:4">
      <c r="C53" s="16"/>
    </row>
    <row r="54" spans="3:4" ht="61.2">
      <c r="C54" s="195" t="s">
        <v>118</v>
      </c>
      <c r="D54" s="22" t="s">
        <v>119</v>
      </c>
    </row>
    <row r="55" spans="3:4" ht="40.799999999999997">
      <c r="C55" s="195"/>
      <c r="D55" s="22" t="s">
        <v>120</v>
      </c>
    </row>
    <row r="57" spans="3:4" ht="52.2">
      <c r="C57" s="20" t="s">
        <v>121</v>
      </c>
    </row>
    <row r="59" spans="3:4">
      <c r="C59" s="20" t="s">
        <v>122</v>
      </c>
    </row>
    <row r="60" spans="3:4">
      <c r="C60" s="20" t="s">
        <v>123</v>
      </c>
    </row>
    <row r="62" spans="3:4">
      <c r="C62" s="20" t="s">
        <v>124</v>
      </c>
    </row>
    <row r="63" spans="3:4">
      <c r="C63" s="20" t="s">
        <v>125</v>
      </c>
    </row>
    <row r="65" spans="3:3" ht="28.8">
      <c r="C65" s="21" t="s">
        <v>126</v>
      </c>
    </row>
    <row r="67" spans="3:3">
      <c r="C67" s="23" t="s">
        <v>127</v>
      </c>
    </row>
    <row r="68" spans="3:3">
      <c r="C68" s="20" t="s">
        <v>128</v>
      </c>
    </row>
    <row r="69" spans="3:3">
      <c r="C69" s="20" t="s">
        <v>129</v>
      </c>
    </row>
    <row r="70" spans="3:3">
      <c r="C70" s="20">
        <f xml:space="preserve"> 2406842.8125</f>
        <v>2406842.8125</v>
      </c>
    </row>
    <row r="72" spans="3:3">
      <c r="C72" s="21" t="s">
        <v>130</v>
      </c>
    </row>
    <row r="79" spans="3:3" ht="15">
      <c r="C79" s="24" t="s">
        <v>138</v>
      </c>
    </row>
    <row r="80" spans="3:3" ht="15">
      <c r="C80" s="24" t="s">
        <v>139</v>
      </c>
    </row>
    <row r="81" spans="3:3" ht="15">
      <c r="C81" s="24" t="s">
        <v>140</v>
      </c>
    </row>
    <row r="82" spans="3:3" ht="15">
      <c r="C82" s="24" t="s">
        <v>141</v>
      </c>
    </row>
    <row r="83" spans="3:3" ht="15">
      <c r="C83" s="24" t="s">
        <v>142</v>
      </c>
    </row>
    <row r="84" spans="3:3" ht="15">
      <c r="C84" s="24" t="s">
        <v>143</v>
      </c>
    </row>
    <row r="85" spans="3:3" ht="15">
      <c r="C85" s="24" t="s">
        <v>144</v>
      </c>
    </row>
    <row r="86" spans="3:3" ht="15">
      <c r="C86" s="24" t="s">
        <v>145</v>
      </c>
    </row>
    <row r="87" spans="3:3" ht="15">
      <c r="C87" s="24" t="s">
        <v>146</v>
      </c>
    </row>
    <row r="88" spans="3:3" ht="15">
      <c r="C88" s="24" t="s">
        <v>147</v>
      </c>
    </row>
    <row r="89" spans="3:3" ht="15">
      <c r="C89" s="24" t="s">
        <v>148</v>
      </c>
    </row>
    <row r="90" spans="3:3" ht="15">
      <c r="C90" s="24" t="s">
        <v>149</v>
      </c>
    </row>
    <row r="91" spans="3:3" ht="15">
      <c r="C91" s="24" t="s">
        <v>150</v>
      </c>
    </row>
  </sheetData>
  <mergeCells count="1">
    <mergeCell ref="C54:C55"/>
  </mergeCells>
  <hyperlinks>
    <hyperlink ref="C6" r:id="rId1" location="cite_note-13" display="http://en.wikipedia.org/wiki/Julian_day - cite_note-13"/>
    <hyperlink ref="C48" r:id="rId2" display="http://aa.usno.navy.mil/faq/docs/UT.php"/>
    <hyperlink ref="C52" r:id="rId3" display="http://aa.usno.navy.mil/faq/docs/calendars.php"/>
    <hyperlink ref="C65" r:id="rId4" display="http://aa.usno.navy.mil/software/docs/floppy.php"/>
    <hyperlink ref="C72" r:id="rId5" display="http://aa.usno.navy.mil/data/docs/JulianDate.php"/>
  </hyperlinks>
  <pageMargins left="0.7" right="0.7" top="0.75" bottom="0.75" header="0.3" footer="0.3"/>
  <pageSetup paperSize="9" orientation="portrait" r:id="rId6"/>
  <drawing r:id="rId7"/>
</worksheet>
</file>

<file path=xl/worksheets/sheet17.xml><?xml version="1.0" encoding="utf-8"?>
<worksheet xmlns="http://schemas.openxmlformats.org/spreadsheetml/2006/main" xmlns:r="http://schemas.openxmlformats.org/officeDocument/2006/relationships">
  <dimension ref="A2:L99"/>
  <sheetViews>
    <sheetView topLeftCell="A76" workbookViewId="0">
      <selection activeCell="G97" sqref="G97"/>
    </sheetView>
  </sheetViews>
  <sheetFormatPr defaultColWidth="8.88671875" defaultRowHeight="14.4"/>
  <cols>
    <col min="1" max="3" width="8.88671875" style="118"/>
    <col min="4" max="4" width="21.109375" style="118" customWidth="1"/>
    <col min="5" max="5" width="8.88671875" style="118"/>
    <col min="6" max="6" width="13.44140625" style="118" customWidth="1"/>
    <col min="7" max="7" width="21.109375" style="121" customWidth="1"/>
    <col min="8" max="8" width="8.88671875" style="118"/>
    <col min="9" max="9" width="41.33203125" style="118" customWidth="1"/>
    <col min="10" max="10" width="26.33203125" style="118" customWidth="1"/>
    <col min="11" max="16384" width="8.88671875" style="118"/>
  </cols>
  <sheetData>
    <row r="2" spans="4:12">
      <c r="H2" s="118" t="s">
        <v>791</v>
      </c>
      <c r="I2" s="118" t="s">
        <v>792</v>
      </c>
      <c r="J2" s="118" t="s">
        <v>793</v>
      </c>
      <c r="K2" s="118" t="s">
        <v>823</v>
      </c>
      <c r="L2" s="118" t="s">
        <v>824</v>
      </c>
    </row>
    <row r="3" spans="4:12">
      <c r="H3" s="118">
        <f>'Geor-Jul'!F9</f>
        <v>2313</v>
      </c>
      <c r="I3" s="118">
        <f>'Geor-Jul'!F8</f>
        <v>2</v>
      </c>
      <c r="J3" s="118">
        <f>'Geor-Jul'!F15</f>
        <v>17</v>
      </c>
      <c r="K3" s="118">
        <f>'sun rise'!F8</f>
        <v>35.04</v>
      </c>
      <c r="L3" s="118">
        <f>'sun rise'!G8</f>
        <v>32.200000000000003</v>
      </c>
    </row>
    <row r="4" spans="4:12">
      <c r="H4" s="118">
        <f>IF(I3&lt;3,H3-1,H3)</f>
        <v>2312</v>
      </c>
      <c r="I4" s="118">
        <f>IF(I3&lt;3,I3+12,I3)</f>
        <v>14</v>
      </c>
      <c r="J4" s="118">
        <f>IF(I3&lt;3,J3,J3)</f>
        <v>17</v>
      </c>
    </row>
    <row r="9" spans="4:12" ht="15.6">
      <c r="E9" s="116"/>
      <c r="F9" s="116"/>
      <c r="G9" s="117" t="s">
        <v>490</v>
      </c>
    </row>
    <row r="10" spans="4:12" ht="15" thickBot="1">
      <c r="E10" s="187"/>
      <c r="F10" s="189" t="s">
        <v>491</v>
      </c>
      <c r="G10" s="197"/>
    </row>
    <row r="11" spans="4:12" ht="15" thickTop="1">
      <c r="D11" s="54" t="s">
        <v>489</v>
      </c>
      <c r="E11" s="187"/>
      <c r="F11" s="189"/>
      <c r="G11" s="198"/>
    </row>
    <row r="12" spans="4:12" ht="15.6">
      <c r="E12" s="116"/>
      <c r="F12" s="116"/>
      <c r="G12" s="117">
        <v>36525</v>
      </c>
    </row>
    <row r="14" spans="4:12">
      <c r="G14" s="121">
        <f>'Geor-Jul'!F34</f>
        <v>2565912.0496990741</v>
      </c>
      <c r="H14" s="118" t="s">
        <v>868</v>
      </c>
    </row>
    <row r="15" spans="4:12">
      <c r="F15" s="118" t="s">
        <v>599</v>
      </c>
      <c r="G15" s="121">
        <f>('Geor-Jul'!F34-2451545)/36525</f>
        <v>3.1311991704058624</v>
      </c>
      <c r="I15" s="118">
        <v>-1.186858316E-2</v>
      </c>
    </row>
    <row r="16" spans="4:12">
      <c r="F16" s="118" t="s">
        <v>591</v>
      </c>
      <c r="G16" s="121">
        <f>280.46+36000.77*G15</f>
        <v>113006.04115797226</v>
      </c>
      <c r="H16" s="118">
        <f>IF(G16&lt;0,G16+360,G16)</f>
        <v>113006.04115797226</v>
      </c>
      <c r="I16" s="118" t="s">
        <v>656</v>
      </c>
    </row>
    <row r="17" spans="4:10">
      <c r="G17" s="121">
        <f>357.528+35999.05*G15</f>
        <v>113077.72349539917</v>
      </c>
      <c r="H17" s="118">
        <f>IF(G17&lt;0,G17+360,G17)</f>
        <v>113077.72349539917</v>
      </c>
    </row>
    <row r="20" spans="4:10">
      <c r="D20" s="79" t="s">
        <v>676</v>
      </c>
      <c r="F20" s="118" t="s">
        <v>796</v>
      </c>
      <c r="G20" s="121">
        <f>INT(H3/100)</f>
        <v>23</v>
      </c>
    </row>
    <row r="21" spans="4:10">
      <c r="F21" s="118" t="s">
        <v>795</v>
      </c>
      <c r="G21" s="121">
        <f>INT(365.25*H4)+INT(30.6001*(I4+1))+J4+1720996.5-G20+INT(G20/4)</f>
        <v>2565912.5</v>
      </c>
      <c r="H21" s="118" t="s">
        <v>869</v>
      </c>
      <c r="I21" s="79" t="s">
        <v>677</v>
      </c>
    </row>
    <row r="22" spans="4:10">
      <c r="F22" s="118" t="s">
        <v>794</v>
      </c>
      <c r="G22" s="121">
        <f>(G21-2451545)/36525</f>
        <v>3.1312114989733058</v>
      </c>
    </row>
    <row r="23" spans="4:10" ht="16.2">
      <c r="F23" s="118" t="s">
        <v>797</v>
      </c>
      <c r="G23" s="121">
        <f>G22^2</f>
        <v>9.8044854513026571</v>
      </c>
    </row>
    <row r="24" spans="4:10" ht="16.2">
      <c r="F24" s="118" t="s">
        <v>798</v>
      </c>
      <c r="G24" s="121">
        <f>G22^3</f>
        <v>30.699917586635362</v>
      </c>
    </row>
    <row r="25" spans="4:10" ht="16.8">
      <c r="F25" s="118" t="s">
        <v>799</v>
      </c>
      <c r="G25" s="121">
        <f>6.6973745583+2400.0513369072*G22+ 0.000025862*G23-0.00000000172*G24</f>
        <v>7521.76597231918</v>
      </c>
      <c r="I25" s="79" t="s">
        <v>684</v>
      </c>
    </row>
    <row r="27" spans="4:10" ht="15.6">
      <c r="I27" s="116"/>
      <c r="J27" s="117"/>
    </row>
    <row r="28" spans="4:10">
      <c r="I28" s="192" t="s">
        <v>800</v>
      </c>
    </row>
    <row r="29" spans="4:10">
      <c r="E29" s="118" t="s">
        <v>802</v>
      </c>
      <c r="F29" s="118" t="s">
        <v>801</v>
      </c>
      <c r="G29" s="121">
        <f>'sun rise'!F32</f>
        <v>2565912.3289611624</v>
      </c>
      <c r="I29" s="192"/>
    </row>
    <row r="30" spans="4:10" ht="15.6">
      <c r="E30" s="118" t="s">
        <v>803</v>
      </c>
      <c r="F30" s="118" t="s">
        <v>801</v>
      </c>
      <c r="G30" s="121">
        <f>'sun rise'!F28</f>
        <v>2565912.7903298219</v>
      </c>
      <c r="I30" s="116"/>
      <c r="J30" s="117"/>
    </row>
    <row r="31" spans="4:10">
      <c r="F31" s="118" t="s">
        <v>794</v>
      </c>
      <c r="G31" s="121">
        <f>(G29-2451545)/36525</f>
        <v>3.1312068161851432</v>
      </c>
    </row>
    <row r="32" spans="4:10" ht="16.2">
      <c r="F32" s="118" t="s">
        <v>797</v>
      </c>
      <c r="G32" s="121">
        <f>G31^2</f>
        <v>9.8044561257243004</v>
      </c>
    </row>
    <row r="33" spans="1:10" ht="16.2">
      <c r="F33" s="118" t="s">
        <v>798</v>
      </c>
      <c r="G33" s="121">
        <f>G31^3</f>
        <v>30.69977984985611</v>
      </c>
    </row>
    <row r="34" spans="1:10">
      <c r="F34" s="118" t="s">
        <v>799</v>
      </c>
      <c r="G34" s="121">
        <f>MOD(6.6973745583+2400.0513369072*G31+ 0.000025862*G32-0.00000000172*G33,24)</f>
        <v>9.7547333864313259</v>
      </c>
      <c r="H34" s="118">
        <f>G34+35/15</f>
        <v>12.08806671976466</v>
      </c>
      <c r="I34" s="118">
        <f>0.7*60</f>
        <v>42</v>
      </c>
    </row>
    <row r="35" spans="1:10" ht="16.8">
      <c r="A35" s="54" t="s">
        <v>697</v>
      </c>
      <c r="F35" s="118" t="s">
        <v>804</v>
      </c>
      <c r="G35" s="121">
        <f>MOD(280.46646+36000.76983*G31+0.0003032*G32,360)</f>
        <v>326.32531231954636</v>
      </c>
      <c r="I35" s="79" t="s">
        <v>699</v>
      </c>
    </row>
    <row r="36" spans="1:10">
      <c r="A36" s="54" t="s">
        <v>700</v>
      </c>
      <c r="F36" s="118" t="s">
        <v>74</v>
      </c>
      <c r="G36" s="121">
        <f>MOD(357.52911+35999.05029*G31-0.0001537*G32,360)</f>
        <v>37.999247294850647</v>
      </c>
      <c r="I36" s="118" t="s">
        <v>805</v>
      </c>
    </row>
    <row r="37" spans="1:10" ht="16.2">
      <c r="A37" s="54" t="s">
        <v>703</v>
      </c>
      <c r="F37" s="118" t="s">
        <v>466</v>
      </c>
      <c r="G37" s="121">
        <f>(1.914602-0.004817*G31-0.000014*G32)*SIN(G36*PI()/180)+(0.019993-0.000101*G31)*SIN(2*G36*PI()/180)+0.000289*SIN(3*G36*PI()/180)</f>
        <v>1.1887126443135256</v>
      </c>
      <c r="I37" s="79" t="s">
        <v>704</v>
      </c>
    </row>
    <row r="38" spans="1:10" ht="15">
      <c r="A38" s="33" t="s">
        <v>705</v>
      </c>
      <c r="F38" s="118" t="s">
        <v>806</v>
      </c>
      <c r="G38" s="121">
        <f>G35+G37</f>
        <v>327.51402496385987</v>
      </c>
      <c r="I38" s="79" t="s">
        <v>706</v>
      </c>
    </row>
    <row r="39" spans="1:10">
      <c r="A39" s="54" t="s">
        <v>707</v>
      </c>
      <c r="F39" s="118" t="s">
        <v>807</v>
      </c>
      <c r="G39" s="121">
        <f>G36+G37</f>
        <v>39.187959939164173</v>
      </c>
      <c r="I39" s="79" t="s">
        <v>708</v>
      </c>
    </row>
    <row r="40" spans="1:10" ht="16.2">
      <c r="A40" s="54" t="s">
        <v>709</v>
      </c>
      <c r="F40" s="118" t="s">
        <v>24</v>
      </c>
      <c r="G40" s="121">
        <f>0.016708634 - 0.000042037*G31 - 0.0000001267*G32</f>
        <v>1.6575765234476895E-2</v>
      </c>
      <c r="I40" s="79" t="s">
        <v>711</v>
      </c>
    </row>
    <row r="41" spans="1:10" ht="16.2">
      <c r="A41" s="54" t="s">
        <v>712</v>
      </c>
      <c r="I41" s="116"/>
      <c r="J41" s="85" t="s">
        <v>714</v>
      </c>
    </row>
    <row r="42" spans="1:10" ht="15" thickBot="1">
      <c r="F42" s="118" t="s">
        <v>23</v>
      </c>
      <c r="G42" s="121">
        <f>(1.000001018*(1-G40^2))/(1+G40*COS(G39*PI()/180))</f>
        <v>0.987045199395026</v>
      </c>
      <c r="I42" s="189" t="s">
        <v>715</v>
      </c>
      <c r="J42" s="92"/>
    </row>
    <row r="43" spans="1:10">
      <c r="I43" s="189"/>
      <c r="J43" s="93"/>
    </row>
    <row r="44" spans="1:10" ht="15.6">
      <c r="I44" s="116"/>
      <c r="J44" s="117" t="s">
        <v>716</v>
      </c>
    </row>
    <row r="46" spans="1:10" ht="15.6">
      <c r="I46" s="116"/>
      <c r="J46" s="117">
        <v>0.266563889</v>
      </c>
    </row>
    <row r="47" spans="1:10" ht="15" thickBot="1">
      <c r="A47" s="54" t="s">
        <v>717</v>
      </c>
      <c r="F47" s="118" t="s">
        <v>808</v>
      </c>
      <c r="G47" s="121">
        <f>0.266563889/G42</f>
        <v>0.27006249477063543</v>
      </c>
      <c r="I47" s="120" t="s">
        <v>719</v>
      </c>
      <c r="J47" s="92"/>
    </row>
    <row r="48" spans="1:10">
      <c r="I48" s="120"/>
      <c r="J48" s="93"/>
    </row>
    <row r="49" spans="1:10" ht="15.6">
      <c r="I49" s="116"/>
      <c r="J49" s="117" t="s">
        <v>613</v>
      </c>
    </row>
    <row r="51" spans="1:10" ht="16.2">
      <c r="A51" s="33" t="s">
        <v>809</v>
      </c>
      <c r="G51" s="121">
        <f>MOD(125.04452 - 1934.136261*G31 + 0.0020708*G32+(G33/450000),360)</f>
        <v>188.88424741543076</v>
      </c>
      <c r="I51" s="79" t="s">
        <v>721</v>
      </c>
    </row>
    <row r="53" spans="1:10">
      <c r="A53" s="33" t="s">
        <v>810</v>
      </c>
      <c r="G53" s="121">
        <f>G38-0.00569-0.00478*SIN(G51*PI()/180)</f>
        <v>327.50907318111467</v>
      </c>
      <c r="I53" s="79" t="s">
        <v>724</v>
      </c>
    </row>
    <row r="54" spans="1:10">
      <c r="I54" s="79" t="s">
        <v>725</v>
      </c>
    </row>
    <row r="56" spans="1:10" ht="16.2">
      <c r="A56" s="33" t="s">
        <v>726</v>
      </c>
      <c r="G56" s="121">
        <f>23.4392911 - 0.01300416667*G31 - 0.00000016389*G32+ 0.00000050361*G33+ 0.00255625*COS(G51*PI()/180)</f>
        <v>23.39606063750583</v>
      </c>
      <c r="I56" s="79" t="s">
        <v>728</v>
      </c>
    </row>
    <row r="58" spans="1:10">
      <c r="A58" s="33" t="s">
        <v>732</v>
      </c>
      <c r="F58" s="118" t="s">
        <v>811</v>
      </c>
      <c r="G58" s="121">
        <f>SIN(G56*PI()/180)*SIN(G53*PI()/180)</f>
        <v>-0.21330046587716994</v>
      </c>
    </row>
    <row r="59" spans="1:10">
      <c r="G59" s="121">
        <f>ASIN(G58)*180/PI()</f>
        <v>-12.315838450419037</v>
      </c>
    </row>
    <row r="62" spans="1:10">
      <c r="A62" s="33" t="s">
        <v>736</v>
      </c>
      <c r="F62" s="118" t="s">
        <v>813</v>
      </c>
      <c r="G62" s="121">
        <f>COS(G56*PI()/180)*SIN(G53*PI()/180)</f>
        <v>-0.49300128895309842</v>
      </c>
    </row>
    <row r="63" spans="1:10">
      <c r="F63" s="118" t="s">
        <v>812</v>
      </c>
      <c r="G63" s="121">
        <f>COS(G53*PI()/180)</f>
        <v>0.8434765203295026</v>
      </c>
    </row>
    <row r="64" spans="1:10">
      <c r="F64" s="118" t="s">
        <v>814</v>
      </c>
      <c r="G64" s="121">
        <f>G62/G63</f>
        <v>-0.5844872703279379</v>
      </c>
    </row>
    <row r="65" spans="2:10">
      <c r="B65" s="196">
        <v>953.399</v>
      </c>
      <c r="G65" s="121">
        <f>ATAN(G64)*180/PI()</f>
        <v>-30.305742252116456</v>
      </c>
      <c r="J65" s="118">
        <f>2*PI()*6372</f>
        <v>40036.456777348321</v>
      </c>
    </row>
    <row r="66" spans="2:10">
      <c r="B66" s="196"/>
      <c r="G66" s="121">
        <f>IF(G65&lt;0,G65+180,G65)</f>
        <v>149.69425774788354</v>
      </c>
      <c r="I66" s="118">
        <f>6372/2</f>
        <v>3186</v>
      </c>
      <c r="J66" s="118">
        <f>J65/360</f>
        <v>111.21237993707867</v>
      </c>
    </row>
    <row r="67" spans="2:10">
      <c r="G67" s="121">
        <f>IF(G62&lt;0,G65+360,G65)</f>
        <v>329.69425774788357</v>
      </c>
      <c r="I67" s="118">
        <f>I66/J66</f>
        <v>28.647889756541165</v>
      </c>
      <c r="J67" s="118">
        <f>B65/60</f>
        <v>15.889983333333333</v>
      </c>
    </row>
    <row r="68" spans="2:10">
      <c r="J68" s="118">
        <f>(J67/60)*J66</f>
        <v>29.452714394341903</v>
      </c>
    </row>
    <row r="69" spans="2:10">
      <c r="I69" s="118">
        <f>I66/J65</f>
        <v>7.9577471545947673E-2</v>
      </c>
    </row>
    <row r="70" spans="2:10">
      <c r="I70" s="118">
        <f>I69*360</f>
        <v>28.647889756541161</v>
      </c>
    </row>
    <row r="72" spans="2:10">
      <c r="B72" s="54" t="s">
        <v>743</v>
      </c>
    </row>
    <row r="73" spans="2:10">
      <c r="F73" s="118" t="s">
        <v>820</v>
      </c>
      <c r="G73" s="121">
        <f>-SIN(((34/60)+G47)*PI()/180)-SIN(K3*PI()/180)*SIN(G59*PI()/180)</f>
        <v>0.10786291294620394</v>
      </c>
      <c r="I73" s="79" t="s">
        <v>746</v>
      </c>
      <c r="J73" s="118" t="s">
        <v>811</v>
      </c>
    </row>
    <row r="74" spans="2:10">
      <c r="F74" s="118" t="s">
        <v>821</v>
      </c>
      <c r="G74" s="121">
        <f>COS(K3*PI()/180)*COS(G59*PI()/180)</f>
        <v>0.79990919871406951</v>
      </c>
      <c r="I74" s="79" t="s">
        <v>815</v>
      </c>
    </row>
    <row r="75" spans="2:10">
      <c r="E75" s="118" t="s">
        <v>817</v>
      </c>
      <c r="F75" s="118" t="s">
        <v>816</v>
      </c>
      <c r="G75" s="121">
        <f>ACOS(G73/G74)*180/PI()</f>
        <v>82.250403847260628</v>
      </c>
      <c r="H75" s="118">
        <f>G75/15</f>
        <v>5.4833602564840422</v>
      </c>
    </row>
    <row r="76" spans="2:10">
      <c r="E76" s="118" t="s">
        <v>818</v>
      </c>
      <c r="F76" s="118" t="s">
        <v>819</v>
      </c>
      <c r="G76" s="121">
        <f>ACOS(-G73/G74)*180/PI()</f>
        <v>97.749596152739386</v>
      </c>
    </row>
    <row r="79" spans="2:10" ht="15.6">
      <c r="I79" s="116"/>
      <c r="J79" s="120" t="s">
        <v>763</v>
      </c>
    </row>
    <row r="80" spans="2:10" ht="15.6">
      <c r="B80" s="54" t="s">
        <v>761</v>
      </c>
      <c r="I80" s="116"/>
      <c r="J80" s="120"/>
    </row>
    <row r="81" spans="2:12" ht="15" thickBot="1">
      <c r="F81" s="118" t="s">
        <v>822</v>
      </c>
      <c r="G81" s="121">
        <f>MOD(((-G75-K3+G66)/15),24)</f>
        <v>2.1602569267081946</v>
      </c>
      <c r="I81" s="120" t="s">
        <v>764</v>
      </c>
      <c r="J81" s="92"/>
    </row>
    <row r="82" spans="2:12">
      <c r="I82" s="120"/>
      <c r="J82" s="93"/>
    </row>
    <row r="83" spans="2:12" ht="15.6">
      <c r="I83" s="116"/>
      <c r="J83" s="117">
        <v>15</v>
      </c>
    </row>
    <row r="84" spans="2:12">
      <c r="B84" s="54" t="s">
        <v>765</v>
      </c>
    </row>
    <row r="86" spans="2:12" ht="15">
      <c r="F86" s="118" t="s">
        <v>825</v>
      </c>
      <c r="G86" s="121">
        <f>0.997269566329875*(G81-G34)</f>
        <v>-7.5737402454905309</v>
      </c>
      <c r="I86" s="79" t="s">
        <v>766</v>
      </c>
    </row>
    <row r="92" spans="2:12" ht="15.6">
      <c r="I92" s="116"/>
      <c r="J92" s="117" t="s">
        <v>623</v>
      </c>
      <c r="K92" s="119"/>
      <c r="L92" s="117" t="s">
        <v>591</v>
      </c>
    </row>
    <row r="93" spans="2:12" ht="15.75" customHeight="1" thickBot="1">
      <c r="F93" s="118" t="s">
        <v>795</v>
      </c>
      <c r="G93" s="121">
        <f>G21+(G86/24)+(-K3/360)</f>
        <v>2565912.0870941565</v>
      </c>
      <c r="I93" s="120" t="s">
        <v>768</v>
      </c>
      <c r="J93" s="92"/>
      <c r="K93" s="120" t="s">
        <v>769</v>
      </c>
      <c r="L93" s="92"/>
    </row>
    <row r="94" spans="2:12">
      <c r="G94" s="121" t="s">
        <v>826</v>
      </c>
      <c r="I94" s="120"/>
      <c r="J94" s="93"/>
      <c r="K94" s="120"/>
      <c r="L94" s="93"/>
    </row>
    <row r="95" spans="2:12" ht="15.6">
      <c r="I95" s="116"/>
      <c r="J95" s="117">
        <v>24</v>
      </c>
      <c r="K95" s="116"/>
      <c r="L95" s="117" t="s">
        <v>687</v>
      </c>
    </row>
    <row r="99" spans="3:7" ht="15">
      <c r="C99" s="79" t="s">
        <v>771</v>
      </c>
      <c r="G99" s="121">
        <f>G93-G29</f>
        <v>-0.24186700582504272</v>
      </c>
    </row>
  </sheetData>
  <mergeCells count="6">
    <mergeCell ref="B65:B66"/>
    <mergeCell ref="E10:E11"/>
    <mergeCell ref="F10:F11"/>
    <mergeCell ref="G10:G11"/>
    <mergeCell ref="I28:I29"/>
    <mergeCell ref="I42:I4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2:L119"/>
  <sheetViews>
    <sheetView topLeftCell="A97" workbookViewId="0">
      <selection activeCell="J4" sqref="J4"/>
    </sheetView>
  </sheetViews>
  <sheetFormatPr defaultColWidth="9.109375" defaultRowHeight="14.4"/>
  <cols>
    <col min="1" max="3" width="9.109375" style="101"/>
    <col min="4" max="4" width="21.109375" style="101" customWidth="1"/>
    <col min="5" max="5" width="9.109375" style="101"/>
    <col min="6" max="6" width="13.6640625" style="101" customWidth="1"/>
    <col min="7" max="7" width="21.109375" style="98" customWidth="1"/>
    <col min="8" max="8" width="9.109375" style="101"/>
    <col min="9" max="9" width="41.33203125" style="101" customWidth="1"/>
    <col min="10" max="10" width="26.33203125" style="101" customWidth="1"/>
    <col min="11" max="16384" width="9.109375" style="101"/>
  </cols>
  <sheetData>
    <row r="2" spans="4:12">
      <c r="H2" s="101" t="s">
        <v>791</v>
      </c>
      <c r="I2" s="101" t="s">
        <v>792</v>
      </c>
      <c r="J2" s="101" t="s">
        <v>793</v>
      </c>
      <c r="K2" s="101" t="s">
        <v>823</v>
      </c>
      <c r="L2" s="101" t="s">
        <v>824</v>
      </c>
    </row>
    <row r="3" spans="4:12">
      <c r="H3" s="101">
        <f>Meeus!E3</f>
        <v>2012</v>
      </c>
      <c r="I3" s="101">
        <f>Meeus!F3</f>
        <v>7</v>
      </c>
      <c r="J3" s="101">
        <f>Meeus!G3</f>
        <v>19</v>
      </c>
      <c r="K3" s="101">
        <f>'sun rise'!F8</f>
        <v>35.04</v>
      </c>
      <c r="L3" s="101">
        <f>'sun rise'!G8</f>
        <v>32.200000000000003</v>
      </c>
    </row>
    <row r="4" spans="4:12">
      <c r="H4" s="101">
        <f>IF(I3&lt;3,H3-1,H3)</f>
        <v>2012</v>
      </c>
      <c r="I4" s="101">
        <f>IF(I3&lt;3,I3+12,I3)</f>
        <v>7</v>
      </c>
      <c r="J4" s="101">
        <f>IF(I3&lt;3,J3,J3)</f>
        <v>19</v>
      </c>
    </row>
    <row r="9" spans="4:12" ht="15.6">
      <c r="E9" s="97"/>
      <c r="F9" s="97"/>
      <c r="G9" s="95" t="s">
        <v>490</v>
      </c>
    </row>
    <row r="10" spans="4:12" ht="15" thickBot="1">
      <c r="E10" s="187"/>
      <c r="F10" s="189" t="s">
        <v>491</v>
      </c>
      <c r="G10" s="197"/>
    </row>
    <row r="11" spans="4:12" ht="15" thickTop="1">
      <c r="D11" s="54" t="s">
        <v>489</v>
      </c>
      <c r="E11" s="187"/>
      <c r="F11" s="189"/>
      <c r="G11" s="198"/>
    </row>
    <row r="12" spans="4:12" ht="15.6">
      <c r="E12" s="97"/>
      <c r="F12" s="97"/>
      <c r="G12" s="95">
        <v>36525</v>
      </c>
    </row>
    <row r="15" spans="4:12">
      <c r="F15" s="101" t="s">
        <v>599</v>
      </c>
      <c r="G15" s="98">
        <f>('Geor-Jul'!F34-2451545)/36525</f>
        <v>3.1311991704058624</v>
      </c>
      <c r="I15" s="101">
        <v>-1.186858316E-2</v>
      </c>
    </row>
    <row r="16" spans="4:12">
      <c r="F16" s="101" t="s">
        <v>591</v>
      </c>
      <c r="G16" s="98">
        <f>280.46+36000.77*G15</f>
        <v>113006.04115797226</v>
      </c>
      <c r="H16" s="101">
        <f>IF(G16&lt;0,G16+360,G16)</f>
        <v>113006.04115797226</v>
      </c>
      <c r="I16" s="101" t="s">
        <v>656</v>
      </c>
    </row>
    <row r="17" spans="4:10">
      <c r="G17" s="98">
        <f>357.528+35999.05*G15</f>
        <v>113077.72349539917</v>
      </c>
      <c r="H17" s="101">
        <f>IF(G17&lt;0,G17+360,G17)</f>
        <v>113077.72349539917</v>
      </c>
    </row>
    <row r="20" spans="4:10">
      <c r="D20" s="79" t="s">
        <v>676</v>
      </c>
      <c r="F20" s="101" t="s">
        <v>796</v>
      </c>
      <c r="G20" s="98">
        <f>INT(H3/100)</f>
        <v>20</v>
      </c>
    </row>
    <row r="21" spans="4:10">
      <c r="F21" s="101" t="s">
        <v>795</v>
      </c>
      <c r="G21" s="98">
        <f>INT(365.25*H4)+INT(30.6001*(I4+1))+J4+1720996.5-G20+INT(G20/4)</f>
        <v>2456127.5</v>
      </c>
      <c r="I21" s="79" t="s">
        <v>677</v>
      </c>
    </row>
    <row r="22" spans="4:10">
      <c r="F22" s="101" t="s">
        <v>794</v>
      </c>
      <c r="G22" s="98">
        <f>(G21-2451545)/36525</f>
        <v>0.12546201232032855</v>
      </c>
    </row>
    <row r="23" spans="4:10" ht="16.2">
      <c r="F23" s="101" t="s">
        <v>797</v>
      </c>
      <c r="G23" s="98">
        <f>G22^2</f>
        <v>1.5740716535466274E-2</v>
      </c>
    </row>
    <row r="24" spans="4:10" ht="16.2">
      <c r="F24" s="101" t="s">
        <v>798</v>
      </c>
      <c r="G24" s="98">
        <f>G22^3</f>
        <v>1.9748619719034692E-3</v>
      </c>
    </row>
    <row r="25" spans="4:10" ht="16.8">
      <c r="F25" s="101" t="s">
        <v>799</v>
      </c>
      <c r="G25" s="98">
        <f>6.6973745583+2400.0513369072*G22+ 0.000025862*G23-0.00000000172*G24</f>
        <v>307.81264536585513</v>
      </c>
      <c r="I25" s="79" t="s">
        <v>684</v>
      </c>
    </row>
    <row r="27" spans="4:10" ht="15.6">
      <c r="I27" s="97"/>
      <c r="J27" s="95"/>
    </row>
    <row r="28" spans="4:10">
      <c r="I28" s="192" t="s">
        <v>800</v>
      </c>
    </row>
    <row r="29" spans="4:10">
      <c r="E29" s="101" t="s">
        <v>802</v>
      </c>
      <c r="F29" s="101" t="s">
        <v>801</v>
      </c>
      <c r="G29" s="98">
        <f>G21+0.25-K3/360</f>
        <v>2456127.6526666665</v>
      </c>
      <c r="I29" s="192"/>
    </row>
    <row r="30" spans="4:10" ht="15.6">
      <c r="E30" s="101" t="s">
        <v>803</v>
      </c>
      <c r="F30" s="101" t="s">
        <v>801</v>
      </c>
      <c r="G30" s="98">
        <f>G21+0.75-K3/360</f>
        <v>2456128.1526666665</v>
      </c>
      <c r="I30" s="97"/>
      <c r="J30" s="95"/>
    </row>
    <row r="31" spans="4:10">
      <c r="F31" s="101" t="s">
        <v>794</v>
      </c>
      <c r="G31" s="137">
        <f>(G29-2451545)/36525</f>
        <v>0.12546619210586024</v>
      </c>
    </row>
    <row r="32" spans="4:10" ht="16.2">
      <c r="F32" s="101" t="s">
        <v>797</v>
      </c>
      <c r="G32" s="98">
        <f>G31^2</f>
        <v>1.5741765361544625E-2</v>
      </c>
    </row>
    <row r="33" spans="1:10" ht="16.2">
      <c r="F33" s="101" t="s">
        <v>798</v>
      </c>
      <c r="G33" s="98">
        <f>G31^3</f>
        <v>1.9750593569369344E-3</v>
      </c>
    </row>
    <row r="34" spans="1:10">
      <c r="F34" s="101" t="s">
        <v>799</v>
      </c>
      <c r="G34" s="137">
        <f>MOD(6.6973745583+2400.0513369072*G31+ 0.000025862*G32-0.00000000172*G33,24)</f>
        <v>19.822677065735604</v>
      </c>
    </row>
    <row r="35" spans="1:10" ht="16.8">
      <c r="A35" s="54" t="s">
        <v>697</v>
      </c>
      <c r="F35" s="101" t="s">
        <v>804</v>
      </c>
      <c r="G35" s="98">
        <f>MOD(280.46646+36000.76983*G31+0.0003032*G32,360)</f>
        <v>117.34596822254025</v>
      </c>
      <c r="I35" s="79" t="s">
        <v>699</v>
      </c>
    </row>
    <row r="36" spans="1:10">
      <c r="A36" s="54" t="s">
        <v>700</v>
      </c>
      <c r="F36" s="101" t="s">
        <v>74</v>
      </c>
      <c r="G36" s="98">
        <f>MOD(357.52911+35999.05029*G31-0.0001537*G32,360)</f>
        <v>194.19286689415458</v>
      </c>
      <c r="I36" s="101" t="s">
        <v>805</v>
      </c>
    </row>
    <row r="37" spans="1:10" ht="16.2">
      <c r="A37" s="54" t="s">
        <v>703</v>
      </c>
      <c r="F37" s="101" t="s">
        <v>466</v>
      </c>
      <c r="G37" s="98">
        <f>(1.914602-0.004817*G31-0.000014*G32)*SIN(G36*PI()/180)+(0.019993-0.000101*G31)*SIN(2*G36*PI()/180)+0.000289*SIN(3*G36*PI()/180)</f>
        <v>-0.45998347921807275</v>
      </c>
      <c r="I37" s="79" t="s">
        <v>704</v>
      </c>
    </row>
    <row r="38" spans="1:10" ht="15">
      <c r="A38" s="33" t="s">
        <v>705</v>
      </c>
      <c r="F38" s="101" t="s">
        <v>806</v>
      </c>
      <c r="G38" s="98">
        <f>G35+G37</f>
        <v>116.88598474332218</v>
      </c>
      <c r="I38" s="79" t="s">
        <v>706</v>
      </c>
    </row>
    <row r="39" spans="1:10">
      <c r="A39" s="54" t="s">
        <v>707</v>
      </c>
      <c r="F39" s="101" t="s">
        <v>807</v>
      </c>
      <c r="G39" s="98">
        <f>G36+G37</f>
        <v>193.73288341493651</v>
      </c>
      <c r="I39" s="79" t="s">
        <v>708</v>
      </c>
    </row>
    <row r="40" spans="1:10" ht="16.2">
      <c r="A40" s="54" t="s">
        <v>709</v>
      </c>
      <c r="F40" s="101" t="s">
        <v>24</v>
      </c>
      <c r="G40" s="98">
        <f>0.016708634 - 0.000042037*G31 - 0.0000001267*G32</f>
        <v>1.6703357783200777E-2</v>
      </c>
      <c r="I40" s="79" t="s">
        <v>711</v>
      </c>
    </row>
    <row r="41" spans="1:10" ht="16.2">
      <c r="A41" s="54" t="s">
        <v>712</v>
      </c>
      <c r="I41" s="97"/>
      <c r="J41" s="85" t="s">
        <v>714</v>
      </c>
    </row>
    <row r="42" spans="1:10" ht="15" thickBot="1">
      <c r="F42" s="101" t="s">
        <v>23</v>
      </c>
      <c r="G42" s="98">
        <f>(1.000001018*(1-G40^2))/(1+G40*COS(G39*PI()/180))</f>
        <v>1.0162109109618269</v>
      </c>
      <c r="I42" s="189" t="s">
        <v>715</v>
      </c>
      <c r="J42" s="92"/>
    </row>
    <row r="43" spans="1:10">
      <c r="I43" s="189"/>
      <c r="J43" s="93"/>
    </row>
    <row r="44" spans="1:10" ht="15.6">
      <c r="I44" s="97"/>
      <c r="J44" s="95" t="s">
        <v>716</v>
      </c>
    </row>
    <row r="46" spans="1:10" ht="15.6">
      <c r="I46" s="97"/>
      <c r="J46" s="95">
        <v>0.266563889</v>
      </c>
    </row>
    <row r="47" spans="1:10" ht="15" thickBot="1">
      <c r="A47" s="54" t="s">
        <v>717</v>
      </c>
      <c r="F47" s="101" t="s">
        <v>808</v>
      </c>
      <c r="G47" s="98">
        <f>0.266563889/G42</f>
        <v>0.26231157934301419</v>
      </c>
      <c r="I47" s="99" t="s">
        <v>719</v>
      </c>
      <c r="J47" s="92"/>
    </row>
    <row r="48" spans="1:10">
      <c r="I48" s="99"/>
      <c r="J48" s="93"/>
    </row>
    <row r="49" spans="1:10" ht="15.6">
      <c r="I49" s="97"/>
      <c r="J49" s="95" t="s">
        <v>613</v>
      </c>
    </row>
    <row r="51" spans="1:10" ht="16.2">
      <c r="A51" s="33" t="s">
        <v>809</v>
      </c>
      <c r="G51" s="98">
        <f>MOD(125.04452 - 1934.136261*G31 + 0.0020708*G32+(G33/450000),360)</f>
        <v>242.37584092090049</v>
      </c>
      <c r="I51" s="79" t="s">
        <v>721</v>
      </c>
    </row>
    <row r="53" spans="1:10">
      <c r="A53" s="33" t="s">
        <v>810</v>
      </c>
      <c r="G53" s="98">
        <f>G38-0.00569-0.00478*SIN(G51*PI()/180)</f>
        <v>116.8845298622751</v>
      </c>
      <c r="I53" s="79" t="s">
        <v>724</v>
      </c>
    </row>
    <row r="54" spans="1:10">
      <c r="I54" s="79" t="s">
        <v>725</v>
      </c>
    </row>
    <row r="56" spans="1:10" ht="16.2">
      <c r="A56" s="33" t="s">
        <v>726</v>
      </c>
      <c r="G56" s="98">
        <f>23.4392911 - 0.01300416667*G31 - 0.00000016389*G32+ 0.00000050361*G33+ 0.00255625*COS(G51*PI()/180)</f>
        <v>23.436474259556118</v>
      </c>
      <c r="I56" s="79" t="s">
        <v>728</v>
      </c>
    </row>
    <row r="58" spans="1:10">
      <c r="A58" s="33" t="s">
        <v>732</v>
      </c>
      <c r="F58" s="101" t="s">
        <v>811</v>
      </c>
      <c r="G58" s="98">
        <f>SIN(G56*PI()/180)*SIN(G53*PI()/180)</f>
        <v>0.35474503256253243</v>
      </c>
    </row>
    <row r="59" spans="1:10">
      <c r="G59" s="98">
        <f>ASIN(G58)*180/PI()</f>
        <v>20.777818828680356</v>
      </c>
    </row>
    <row r="62" spans="1:10">
      <c r="A62" s="33" t="s">
        <v>736</v>
      </c>
      <c r="F62" s="101" t="s">
        <v>813</v>
      </c>
      <c r="G62" s="98">
        <f>COS(G56*PI()/180)*SIN(G53*PI()/180)</f>
        <v>0.81833772722762499</v>
      </c>
    </row>
    <row r="63" spans="1:10">
      <c r="F63" s="101" t="s">
        <v>812</v>
      </c>
      <c r="G63" s="98">
        <f>COS(G53*PI()/180)</f>
        <v>-0.45219390317443825</v>
      </c>
    </row>
    <row r="64" spans="1:10">
      <c r="F64" s="101" t="s">
        <v>814</v>
      </c>
      <c r="G64" s="98">
        <f>G62/G63</f>
        <v>-1.8097053531302105</v>
      </c>
    </row>
    <row r="65" spans="2:10">
      <c r="B65" s="196">
        <v>953.399</v>
      </c>
      <c r="G65" s="98">
        <f>ATAN(G64)*180/PI()</f>
        <v>-61.076007474792661</v>
      </c>
      <c r="J65" s="101">
        <f>2*PI()*6372</f>
        <v>40036.456777348321</v>
      </c>
    </row>
    <row r="66" spans="2:10">
      <c r="B66" s="196"/>
      <c r="G66" s="98">
        <f>IF(G63&lt;0,G65+180,G65)</f>
        <v>118.92399252520734</v>
      </c>
      <c r="I66" s="101">
        <f>6372/2</f>
        <v>3186</v>
      </c>
      <c r="J66" s="101">
        <f>J65/360</f>
        <v>111.21237993707867</v>
      </c>
    </row>
    <row r="67" spans="2:10">
      <c r="G67" s="98">
        <f>IF(G62&lt;0,G65+360,G65)</f>
        <v>-61.076007474792661</v>
      </c>
      <c r="I67" s="101">
        <f>I66/J66</f>
        <v>28.647889756541165</v>
      </c>
      <c r="J67" s="101">
        <f>B65/60</f>
        <v>15.889983333333333</v>
      </c>
    </row>
    <row r="68" spans="2:10">
      <c r="J68" s="101">
        <f>(J67/60)*J66</f>
        <v>29.452714394341903</v>
      </c>
    </row>
    <row r="69" spans="2:10">
      <c r="I69" s="101">
        <f>I66/J65</f>
        <v>7.9577471545947673E-2</v>
      </c>
    </row>
    <row r="70" spans="2:10">
      <c r="I70" s="101">
        <f>I69*360</f>
        <v>28.647889756541161</v>
      </c>
    </row>
    <row r="72" spans="2:10">
      <c r="B72" s="54" t="s">
        <v>743</v>
      </c>
    </row>
    <row r="73" spans="2:10">
      <c r="F73" s="101" t="s">
        <v>820</v>
      </c>
      <c r="G73" s="135">
        <f>-SIN(((34/60)+G47)*PI()/180)-SIN(L3*PI()/180)*SIN(G59*PI()/180)</f>
        <v>-0.2035031069426399</v>
      </c>
      <c r="I73" s="79" t="s">
        <v>746</v>
      </c>
      <c r="J73" s="101" t="s">
        <v>811</v>
      </c>
    </row>
    <row r="74" spans="2:10">
      <c r="F74" s="101" t="s">
        <v>821</v>
      </c>
      <c r="G74" s="135">
        <f>COS(L3*PI()/180)*COS(G59*PI()/180)</f>
        <v>0.79115936928898145</v>
      </c>
      <c r="I74" s="79" t="s">
        <v>815</v>
      </c>
    </row>
    <row r="75" spans="2:10">
      <c r="E75" s="101" t="s">
        <v>817</v>
      </c>
      <c r="F75" s="101" t="s">
        <v>816</v>
      </c>
      <c r="G75" s="98">
        <f>ACOS(G73/G74)*180/PI()</f>
        <v>104.90525248072015</v>
      </c>
    </row>
    <row r="76" spans="2:10">
      <c r="E76" s="101" t="s">
        <v>818</v>
      </c>
      <c r="F76" s="101" t="s">
        <v>819</v>
      </c>
      <c r="G76" s="98">
        <f>ACOS(-G73/G74)*180/PI()</f>
        <v>75.094747519279849</v>
      </c>
    </row>
    <row r="79" spans="2:10" ht="15.6">
      <c r="I79" s="97"/>
      <c r="J79" s="99" t="s">
        <v>763</v>
      </c>
    </row>
    <row r="80" spans="2:10" ht="15.6">
      <c r="B80" s="54" t="s">
        <v>761</v>
      </c>
      <c r="I80" s="97"/>
      <c r="J80" s="99"/>
    </row>
    <row r="81" spans="2:12" ht="15" thickBot="1">
      <c r="F81" s="101" t="s">
        <v>822</v>
      </c>
      <c r="G81" s="98">
        <f>(G76-K3+G66)/15</f>
        <v>10.59858266963248</v>
      </c>
      <c r="I81" s="99" t="s">
        <v>764</v>
      </c>
      <c r="J81" s="92"/>
    </row>
    <row r="82" spans="2:12">
      <c r="I82" s="99"/>
      <c r="J82" s="93"/>
    </row>
    <row r="83" spans="2:12" ht="15.6">
      <c r="I83" s="97"/>
      <c r="J83" s="95">
        <v>15</v>
      </c>
    </row>
    <row r="84" spans="2:12">
      <c r="B84" s="54" t="s">
        <v>765</v>
      </c>
    </row>
    <row r="86" spans="2:12" ht="15">
      <c r="F86" s="101" t="s">
        <v>825</v>
      </c>
      <c r="G86" s="98">
        <f>0.997269566329875*(G81-G34)</f>
        <v>-9.198908618187593</v>
      </c>
      <c r="I86" s="79" t="s">
        <v>766</v>
      </c>
    </row>
    <row r="92" spans="2:12" ht="15.6">
      <c r="I92" s="97"/>
      <c r="J92" s="95" t="s">
        <v>623</v>
      </c>
      <c r="K92" s="100"/>
      <c r="L92" s="95" t="s">
        <v>591</v>
      </c>
    </row>
    <row r="93" spans="2:12" ht="15.75" customHeight="1" thickBot="1">
      <c r="F93" s="101" t="s">
        <v>795</v>
      </c>
      <c r="G93" s="98">
        <f>G21+(G86/24)+(-K3/360)</f>
        <v>2456127.0193788074</v>
      </c>
      <c r="I93" s="99" t="s">
        <v>768</v>
      </c>
      <c r="J93" s="92"/>
      <c r="K93" s="99" t="s">
        <v>769</v>
      </c>
      <c r="L93" s="92"/>
    </row>
    <row r="94" spans="2:12">
      <c r="G94" s="98" t="s">
        <v>826</v>
      </c>
      <c r="I94" s="99"/>
      <c r="J94" s="93"/>
      <c r="K94" s="99"/>
      <c r="L94" s="93"/>
    </row>
    <row r="95" spans="2:12" ht="15.6">
      <c r="I95" s="97"/>
      <c r="J95" s="95">
        <v>24</v>
      </c>
      <c r="K95" s="97"/>
      <c r="L95" s="95" t="s">
        <v>687</v>
      </c>
    </row>
    <row r="99" spans="2:10" ht="15">
      <c r="C99" s="79" t="s">
        <v>771</v>
      </c>
      <c r="G99" s="98">
        <f>G93-G29</f>
        <v>-0.63328785914927721</v>
      </c>
    </row>
    <row r="101" spans="2:10" ht="15">
      <c r="I101" s="96" t="s">
        <v>492</v>
      </c>
    </row>
    <row r="102" spans="2:10" ht="15">
      <c r="F102" s="101" t="s">
        <v>864</v>
      </c>
      <c r="G102" s="98">
        <f>G35+G37</f>
        <v>116.88598474332218</v>
      </c>
      <c r="I102" s="96" t="s">
        <v>502</v>
      </c>
    </row>
    <row r="103" spans="2:10" ht="15">
      <c r="F103" s="101" t="s">
        <v>73</v>
      </c>
      <c r="G103" s="98">
        <f>-G37+2.466*SIN(2*G102*PI()/180)-0.053*SIN(4*G102*180)</f>
        <v>-1.5715951349151296</v>
      </c>
      <c r="I103" s="96" t="s">
        <v>505</v>
      </c>
    </row>
    <row r="105" spans="2:10">
      <c r="F105" s="101" t="s">
        <v>827</v>
      </c>
      <c r="G105" s="98">
        <f>180-180+G103</f>
        <v>-1.5715951349151296</v>
      </c>
      <c r="I105" s="101" t="s">
        <v>863</v>
      </c>
    </row>
    <row r="107" spans="2:10" ht="18">
      <c r="B107" s="123" t="s">
        <v>871</v>
      </c>
      <c r="C107" s="98"/>
      <c r="J107" s="96" t="s">
        <v>524</v>
      </c>
    </row>
    <row r="108" spans="2:10" ht="15">
      <c r="J108" s="96" t="s">
        <v>525</v>
      </c>
    </row>
    <row r="109" spans="2:10" ht="15">
      <c r="J109" s="96" t="s">
        <v>526</v>
      </c>
    </row>
    <row r="110" spans="2:10" ht="15">
      <c r="J110" s="96" t="s">
        <v>527</v>
      </c>
    </row>
    <row r="111" spans="2:10" ht="15">
      <c r="F111" s="101" t="s">
        <v>865</v>
      </c>
      <c r="G111" s="98">
        <f>ACOS(E115-E116*E117/(E118*E119))*180/PI()</f>
        <v>104.6789359337467</v>
      </c>
      <c r="J111" s="96" t="s">
        <v>528</v>
      </c>
    </row>
    <row r="112" spans="2:10" ht="15">
      <c r="F112" s="101" t="s">
        <v>866</v>
      </c>
      <c r="G112" s="98">
        <f>180-(G105+K3+G111)</f>
        <v>41.852659201168422</v>
      </c>
      <c r="I112" s="96" t="s">
        <v>523</v>
      </c>
    </row>
    <row r="113" spans="3:7">
      <c r="C113" s="101">
        <f>SIN(G59*PI()/180)</f>
        <v>0.35474503256253243</v>
      </c>
      <c r="G113" s="98">
        <f>G112/15</f>
        <v>2.7901772800778946</v>
      </c>
    </row>
    <row r="114" spans="3:7">
      <c r="C114" s="101">
        <f>SIN(L3*PI()/180)</f>
        <v>0.53287627607072996</v>
      </c>
      <c r="E114" s="101">
        <f>SIN(1.9167*PI()/180)</f>
        <v>3.3446486715588419E-2</v>
      </c>
      <c r="G114" s="98">
        <f>G113/24</f>
        <v>0.11625738666991227</v>
      </c>
    </row>
    <row r="115" spans="3:7">
      <c r="C115" s="101">
        <f>COS(G75*PI()/180)</f>
        <v>-0.2572213827481169</v>
      </c>
      <c r="E115" s="101">
        <f>SIN(C119*PI()/180)</f>
        <v>-1.4467895036127748E-2</v>
      </c>
      <c r="G115" s="98">
        <f>G114+G21</f>
        <v>2456127.6162573867</v>
      </c>
    </row>
    <row r="116" spans="3:7">
      <c r="C116" s="101">
        <f>COS(G59*PI()/180)</f>
        <v>0.93496308048618038</v>
      </c>
      <c r="E116" s="101">
        <f>SIN(L3*PI()/180)</f>
        <v>0.53287627607072996</v>
      </c>
    </row>
    <row r="117" spans="3:7">
      <c r="C117" s="101">
        <f>COS(L3*PI()/180)</f>
        <v>0.84619316612756401</v>
      </c>
      <c r="E117" s="101">
        <f>SIN(G59*PI()/180)</f>
        <v>0.35474503256253243</v>
      </c>
    </row>
    <row r="118" spans="3:7">
      <c r="C118" s="101">
        <f>C113*C114+(C115*C116*C117)</f>
        <v>-1.4467895036127748E-2</v>
      </c>
      <c r="E118" s="101">
        <f>COS(L3*PI()/180)</f>
        <v>0.84619316612756401</v>
      </c>
    </row>
    <row r="119" spans="3:7">
      <c r="C119" s="101">
        <f>ASIN(C118)*180/PI()</f>
        <v>-0.82897824600967862</v>
      </c>
      <c r="E119" s="101">
        <f>COS(G59*PI()/180)</f>
        <v>0.93496308048618038</v>
      </c>
    </row>
  </sheetData>
  <mergeCells count="6">
    <mergeCell ref="B65:B66"/>
    <mergeCell ref="E10:E11"/>
    <mergeCell ref="F10:F11"/>
    <mergeCell ref="G10:G11"/>
    <mergeCell ref="I28:I29"/>
    <mergeCell ref="I42:I4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2:L137"/>
  <sheetViews>
    <sheetView topLeftCell="A114" workbookViewId="0">
      <selection activeCell="G123" sqref="G123"/>
    </sheetView>
  </sheetViews>
  <sheetFormatPr defaultColWidth="9.109375" defaultRowHeight="14.4"/>
  <cols>
    <col min="1" max="3" width="9.109375" style="101"/>
    <col min="4" max="4" width="21.109375" style="101" customWidth="1"/>
    <col min="5" max="5" width="9.109375" style="101"/>
    <col min="6" max="6" width="13.6640625" style="101" customWidth="1"/>
    <col min="7" max="7" width="21.109375" style="98" customWidth="1"/>
    <col min="8" max="8" width="9.109375" style="101"/>
    <col min="9" max="9" width="41.33203125" style="101" customWidth="1"/>
    <col min="10" max="10" width="26.33203125" style="101" customWidth="1"/>
    <col min="11" max="16384" width="9.109375" style="101"/>
  </cols>
  <sheetData>
    <row r="2" spans="4:12">
      <c r="H2" s="101" t="s">
        <v>791</v>
      </c>
      <c r="I2" s="101" t="s">
        <v>792</v>
      </c>
      <c r="J2" s="101" t="s">
        <v>793</v>
      </c>
      <c r="K2" s="101" t="s">
        <v>823</v>
      </c>
      <c r="L2" s="101" t="s">
        <v>824</v>
      </c>
    </row>
    <row r="3" spans="4:12">
      <c r="H3" s="149">
        <f>Meeus!E3</f>
        <v>2012</v>
      </c>
      <c r="I3" s="149">
        <f>Meeus!F3</f>
        <v>7</v>
      </c>
      <c r="J3" s="149">
        <f>Meeus!G3</f>
        <v>19</v>
      </c>
      <c r="K3" s="101">
        <f>'sun rise'!F8</f>
        <v>35.04</v>
      </c>
      <c r="L3" s="101">
        <f>'sun rise'!G8</f>
        <v>32.200000000000003</v>
      </c>
    </row>
    <row r="4" spans="4:12">
      <c r="H4" s="149">
        <f>IF(I3&lt;3,H3-1,H3)</f>
        <v>2012</v>
      </c>
      <c r="I4" s="149">
        <f>IF(I3&lt;3,I3+12,I3)</f>
        <v>7</v>
      </c>
      <c r="J4" s="149">
        <f>IF(I3&lt;3,J3,J3)</f>
        <v>19</v>
      </c>
    </row>
    <row r="9" spans="4:12" ht="15.6">
      <c r="E9" s="97"/>
      <c r="F9" s="97"/>
      <c r="G9" s="95" t="s">
        <v>490</v>
      </c>
    </row>
    <row r="10" spans="4:12" ht="15" thickBot="1">
      <c r="E10" s="187"/>
      <c r="F10" s="189" t="s">
        <v>491</v>
      </c>
      <c r="G10" s="197"/>
    </row>
    <row r="11" spans="4:12" ht="15" thickTop="1">
      <c r="D11" s="54" t="s">
        <v>489</v>
      </c>
      <c r="E11" s="187"/>
      <c r="F11" s="189"/>
      <c r="G11" s="198"/>
    </row>
    <row r="12" spans="4:12" ht="15.6">
      <c r="E12" s="97"/>
      <c r="F12" s="97"/>
      <c r="G12" s="95">
        <v>36525</v>
      </c>
    </row>
    <row r="15" spans="4:12">
      <c r="F15" s="101" t="s">
        <v>599</v>
      </c>
      <c r="G15" s="98">
        <f>('Geor-Jul'!F34-2451545)/36525</f>
        <v>3.1311991704058624</v>
      </c>
      <c r="I15" s="101">
        <v>-1.186858316E-2</v>
      </c>
    </row>
    <row r="16" spans="4:12">
      <c r="F16" s="101" t="s">
        <v>591</v>
      </c>
      <c r="G16" s="98">
        <f>280.46+36000.77*G15</f>
        <v>113006.04115797226</v>
      </c>
      <c r="H16" s="101">
        <f>IF(G16&lt;0,G16+360,G16)</f>
        <v>113006.04115797226</v>
      </c>
      <c r="I16" s="101" t="s">
        <v>656</v>
      </c>
    </row>
    <row r="17" spans="4:10">
      <c r="G17" s="98">
        <f>357.528+35999.05*G15</f>
        <v>113077.72349539917</v>
      </c>
      <c r="H17" s="101">
        <f>IF(G17&lt;0,G17+360,G17)</f>
        <v>113077.72349539917</v>
      </c>
    </row>
    <row r="20" spans="4:10">
      <c r="D20" s="79" t="s">
        <v>676</v>
      </c>
      <c r="F20" s="101" t="s">
        <v>796</v>
      </c>
      <c r="G20" s="98">
        <f>INT(H3/100)</f>
        <v>20</v>
      </c>
    </row>
    <row r="21" spans="4:10">
      <c r="F21" s="101" t="s">
        <v>795</v>
      </c>
      <c r="G21" s="98">
        <f>NEW!G115</f>
        <v>2456127.6162573867</v>
      </c>
      <c r="I21" s="79" t="s">
        <v>677</v>
      </c>
    </row>
    <row r="22" spans="4:10">
      <c r="F22" s="101" t="s">
        <v>794</v>
      </c>
      <c r="G22" s="98">
        <f>(G21-2451545)/36525</f>
        <v>0.12546519527410671</v>
      </c>
    </row>
    <row r="23" spans="4:10" ht="16.2">
      <c r="F23" s="101" t="s">
        <v>797</v>
      </c>
      <c r="G23" s="98">
        <f>G22^2</f>
        <v>1.5741515225169728E-2</v>
      </c>
    </row>
    <row r="24" spans="4:10" ht="16.2">
      <c r="F24" s="101" t="s">
        <v>798</v>
      </c>
      <c r="G24" s="98">
        <f>G22^3</f>
        <v>1.9750122816362438E-3</v>
      </c>
    </row>
    <row r="25" spans="4:10" ht="16.8">
      <c r="F25" s="101" t="s">
        <v>799</v>
      </c>
      <c r="G25" s="98">
        <f>6.6973745583+2400.0513369072*G22+ 0.000025862*G23-0.00000000172*G24</f>
        <v>307.82028461834636</v>
      </c>
      <c r="I25" s="79" t="s">
        <v>684</v>
      </c>
    </row>
    <row r="27" spans="4:10" ht="15.6">
      <c r="I27" s="97"/>
      <c r="J27" s="95"/>
    </row>
    <row r="28" spans="4:10">
      <c r="I28" s="192" t="s">
        <v>800</v>
      </c>
    </row>
    <row r="29" spans="4:10">
      <c r="E29" s="101" t="s">
        <v>802</v>
      </c>
      <c r="F29" s="101" t="s">
        <v>801</v>
      </c>
      <c r="G29" s="98">
        <f>G21+NEW!G114</f>
        <v>2456127.7325147735</v>
      </c>
      <c r="I29" s="192"/>
    </row>
    <row r="30" spans="4:10" ht="15.6">
      <c r="E30" s="101" t="s">
        <v>803</v>
      </c>
      <c r="F30" s="101" t="s">
        <v>801</v>
      </c>
      <c r="G30" s="98">
        <f>G21+0.75-K3/360</f>
        <v>2456128.2689240533</v>
      </c>
      <c r="I30" s="97"/>
      <c r="J30" s="95"/>
    </row>
    <row r="31" spans="4:10">
      <c r="F31" s="101" t="s">
        <v>794</v>
      </c>
      <c r="G31" s="98">
        <f>(G30-2451545)/36525</f>
        <v>0.12548306431357406</v>
      </c>
    </row>
    <row r="32" spans="4:10" ht="16.2">
      <c r="F32" s="101" t="s">
        <v>797</v>
      </c>
      <c r="G32" s="98">
        <f>G31^2</f>
        <v>1.5745999429524565E-2</v>
      </c>
    </row>
    <row r="33" spans="1:10" ht="16.2">
      <c r="F33" s="101" t="s">
        <v>798</v>
      </c>
      <c r="G33" s="98">
        <f>G31^3</f>
        <v>1.9758562590965313E-3</v>
      </c>
    </row>
    <row r="34" spans="1:10">
      <c r="F34" s="101" t="s">
        <v>799</v>
      </c>
      <c r="G34" s="98">
        <f>MOD(6.6973745583+2400.0513369072*G31+ 0.000025862*G32-0.00000000172*G33,360)/15</f>
        <v>20.524211415368349</v>
      </c>
    </row>
    <row r="35" spans="1:10" ht="16.8">
      <c r="A35" s="54" t="s">
        <v>697</v>
      </c>
      <c r="F35" s="101" t="s">
        <v>804</v>
      </c>
      <c r="G35" s="98">
        <f>MOD(280.46646+36000.76983*G31+0.0003032*G32,360)</f>
        <v>117.95338069025274</v>
      </c>
      <c r="I35" s="79" t="s">
        <v>699</v>
      </c>
    </row>
    <row r="36" spans="1:10">
      <c r="A36" s="54" t="s">
        <v>700</v>
      </c>
      <c r="F36" s="101" t="s">
        <v>74</v>
      </c>
      <c r="G36" s="98">
        <f>MOD(357.52911+35999.05029*G31-0.0001537*G32,360)</f>
        <v>194.80025034749724</v>
      </c>
      <c r="I36" s="101" t="s">
        <v>805</v>
      </c>
    </row>
    <row r="37" spans="1:10" ht="16.2">
      <c r="A37" s="54" t="s">
        <v>703</v>
      </c>
      <c r="F37" s="101" t="s">
        <v>466</v>
      </c>
      <c r="G37" s="98">
        <f>(1.914602-0.004817*G31-0.000014*G32)*SIN(G36*PI()/180)+(0.019993-0.000101*G31)*SIN(2*G36*PI()/180)+0.000289*SIN(3*G36*PI()/180)</f>
        <v>-0.47926351755348173</v>
      </c>
      <c r="I37" s="79" t="s">
        <v>704</v>
      </c>
    </row>
    <row r="38" spans="1:10" ht="15">
      <c r="A38" s="33" t="s">
        <v>705</v>
      </c>
      <c r="F38" s="101" t="s">
        <v>806</v>
      </c>
      <c r="G38" s="98">
        <f>G35+G37</f>
        <v>117.47411717269927</v>
      </c>
      <c r="I38" s="79" t="s">
        <v>706</v>
      </c>
    </row>
    <row r="39" spans="1:10">
      <c r="A39" s="54" t="s">
        <v>707</v>
      </c>
      <c r="F39" s="101" t="s">
        <v>807</v>
      </c>
      <c r="G39" s="98">
        <f>G36+G37</f>
        <v>194.32098682994376</v>
      </c>
      <c r="I39" s="79" t="s">
        <v>708</v>
      </c>
    </row>
    <row r="40" spans="1:10" ht="16.2">
      <c r="A40" s="54" t="s">
        <v>709</v>
      </c>
      <c r="F40" s="101" t="s">
        <v>24</v>
      </c>
      <c r="G40" s="98">
        <f>0.016708634 - 0.000042037*G31 - 0.0000001267*G32</f>
        <v>1.6703357073407324E-2</v>
      </c>
      <c r="I40" s="79" t="s">
        <v>711</v>
      </c>
    </row>
    <row r="41" spans="1:10" ht="16.2">
      <c r="A41" s="54" t="s">
        <v>712</v>
      </c>
      <c r="I41" s="97"/>
      <c r="J41" s="85" t="s">
        <v>714</v>
      </c>
    </row>
    <row r="42" spans="1:10" ht="15" thickBot="1">
      <c r="F42" s="101" t="s">
        <v>23</v>
      </c>
      <c r="G42" s="98">
        <f>(1.000001018*(1-G40^2))/(1+G40*COS(G39*PI()/180))</f>
        <v>1.0161679866626021</v>
      </c>
      <c r="I42" s="189" t="s">
        <v>715</v>
      </c>
      <c r="J42" s="92"/>
    </row>
    <row r="43" spans="1:10">
      <c r="I43" s="189"/>
      <c r="J43" s="93"/>
    </row>
    <row r="44" spans="1:10" ht="15.6">
      <c r="I44" s="97"/>
      <c r="J44" s="95" t="s">
        <v>716</v>
      </c>
    </row>
    <row r="46" spans="1:10" ht="15.6">
      <c r="I46" s="97"/>
      <c r="J46" s="95">
        <v>0.266563889</v>
      </c>
    </row>
    <row r="47" spans="1:10" ht="15" thickBot="1">
      <c r="A47" s="54" t="s">
        <v>717</v>
      </c>
      <c r="F47" s="101" t="s">
        <v>808</v>
      </c>
      <c r="G47" s="98">
        <f>0.266563889/G42</f>
        <v>0.26232265973608859</v>
      </c>
      <c r="I47" s="99" t="s">
        <v>719</v>
      </c>
      <c r="J47" s="92"/>
    </row>
    <row r="48" spans="1:10">
      <c r="I48" s="99"/>
      <c r="J48" s="93"/>
    </row>
    <row r="49" spans="1:10" ht="15.6">
      <c r="I49" s="97"/>
      <c r="J49" s="95" t="s">
        <v>613</v>
      </c>
    </row>
    <row r="51" spans="1:10" ht="16.2">
      <c r="A51" s="33" t="s">
        <v>809</v>
      </c>
      <c r="G51" s="98">
        <f>MOD(125.04452 - 1934.136261*G31 + 0.0020708*G32+(G33/450000),360)</f>
        <v>242.34320778092774</v>
      </c>
      <c r="I51" s="79" t="s">
        <v>721</v>
      </c>
    </row>
    <row r="53" spans="1:10">
      <c r="A53" s="33" t="s">
        <v>810</v>
      </c>
      <c r="G53" s="98">
        <f>G38-0.00569-0.00478*SIN(G51*PI()/180)</f>
        <v>117.4726610286356</v>
      </c>
      <c r="I53" s="79" t="s">
        <v>724</v>
      </c>
    </row>
    <row r="54" spans="1:10">
      <c r="I54" s="79" t="s">
        <v>725</v>
      </c>
    </row>
    <row r="56" spans="1:10" ht="16.2">
      <c r="A56" s="33" t="s">
        <v>726</v>
      </c>
      <c r="G56" s="98">
        <f>23.4392911 - 0.01300416667*G31 - 0.00000016389*G32+ 0.00000050361*G33+ 0.00255625*COS(G51*PI()/180)</f>
        <v>23.436472750376083</v>
      </c>
      <c r="I56" s="79" t="s">
        <v>728</v>
      </c>
    </row>
    <row r="58" spans="1:10">
      <c r="A58" s="33" t="s">
        <v>732</v>
      </c>
      <c r="F58" s="101" t="s">
        <v>811</v>
      </c>
      <c r="G58" s="98">
        <f>SIN(G56*PI()/180)*SIN(G53*PI()/180)</f>
        <v>0.35288020512341001</v>
      </c>
    </row>
    <row r="59" spans="1:10">
      <c r="G59" s="98">
        <f>ASIN(G58)*180/PI()</f>
        <v>20.663582859477749</v>
      </c>
    </row>
    <row r="62" spans="1:10">
      <c r="A62" s="33" t="s">
        <v>736</v>
      </c>
      <c r="F62" s="101" t="s">
        <v>813</v>
      </c>
      <c r="G62" s="98">
        <f>COS(G56*PI()/180)*SIN(G53*PI()/180)</f>
        <v>0.81403593956568621</v>
      </c>
    </row>
    <row r="63" spans="1:10">
      <c r="F63" s="101" t="s">
        <v>812</v>
      </c>
      <c r="G63" s="98">
        <f>COS(G53*PI()/180)</f>
        <v>-0.46132531897509227</v>
      </c>
    </row>
    <row r="64" spans="1:10">
      <c r="F64" s="101" t="s">
        <v>814</v>
      </c>
      <c r="G64" s="98">
        <f>G62/G63</f>
        <v>-1.7645594249502645</v>
      </c>
    </row>
    <row r="65" spans="2:10">
      <c r="B65" s="196">
        <v>953.399</v>
      </c>
      <c r="G65" s="98">
        <f>ATAN(G64)*180/PI()</f>
        <v>-60.459177989080544</v>
      </c>
      <c r="J65" s="101">
        <f>2*PI()*6372</f>
        <v>40036.456777348321</v>
      </c>
    </row>
    <row r="66" spans="2:10">
      <c r="B66" s="196"/>
      <c r="G66" s="98">
        <f>IF(G65&lt;0,G65+180,G65)</f>
        <v>119.54082201091946</v>
      </c>
      <c r="I66" s="101">
        <f>6372/2</f>
        <v>3186</v>
      </c>
      <c r="J66" s="101">
        <f>J65/360</f>
        <v>111.21237993707867</v>
      </c>
    </row>
    <row r="67" spans="2:10">
      <c r="G67" s="98">
        <f>IF(G62&lt;0,G65+360,G65)</f>
        <v>-60.459177989080544</v>
      </c>
      <c r="I67" s="101">
        <f>I66/J66</f>
        <v>28.647889756541165</v>
      </c>
      <c r="J67" s="101">
        <f>B65/60</f>
        <v>15.889983333333333</v>
      </c>
    </row>
    <row r="68" spans="2:10">
      <c r="J68" s="101">
        <f>(J67/60)*J66</f>
        <v>29.452714394341903</v>
      </c>
    </row>
    <row r="69" spans="2:10">
      <c r="I69" s="101">
        <f>I66/J65</f>
        <v>7.9577471545947673E-2</v>
      </c>
    </row>
    <row r="70" spans="2:10">
      <c r="I70" s="101">
        <f>I69*360</f>
        <v>28.647889756541161</v>
      </c>
    </row>
    <row r="72" spans="2:10">
      <c r="B72" s="54" t="s">
        <v>743</v>
      </c>
    </row>
    <row r="73" spans="2:10">
      <c r="F73" s="101" t="s">
        <v>820</v>
      </c>
      <c r="G73" s="135">
        <f>-SIN(((34/60)+G47)*PI()/180)-SIN(L3*PI()/180)*SIN(G59*PI()/180)</f>
        <v>-0.20250957801046596</v>
      </c>
      <c r="I73" s="79" t="s">
        <v>746</v>
      </c>
      <c r="J73" s="101" t="s">
        <v>811</v>
      </c>
    </row>
    <row r="74" spans="2:10">
      <c r="F74" s="101" t="s">
        <v>821</v>
      </c>
      <c r="G74" s="135">
        <f>COS(L3*PI()/180)*COS(G59*PI()/180)</f>
        <v>0.79175629902515332</v>
      </c>
      <c r="I74" s="79" t="s">
        <v>815</v>
      </c>
    </row>
    <row r="75" spans="2:10">
      <c r="E75" s="101" t="s">
        <v>817</v>
      </c>
      <c r="F75" s="101" t="s">
        <v>816</v>
      </c>
      <c r="G75" s="98">
        <f>ACOS(G73/G74)*180/PI()</f>
        <v>104.81937095492975</v>
      </c>
    </row>
    <row r="76" spans="2:10">
      <c r="E76" s="101" t="s">
        <v>818</v>
      </c>
      <c r="F76" s="101" t="s">
        <v>819</v>
      </c>
      <c r="G76" s="98">
        <f>ACOS(-G73/G74)*180/PI()</f>
        <v>75.180629045070262</v>
      </c>
    </row>
    <row r="79" spans="2:10" ht="15.6">
      <c r="I79" s="97"/>
      <c r="J79" s="99" t="s">
        <v>763</v>
      </c>
    </row>
    <row r="80" spans="2:10" ht="15.6">
      <c r="B80" s="54" t="s">
        <v>761</v>
      </c>
      <c r="I80" s="97"/>
      <c r="J80" s="99"/>
    </row>
    <row r="81" spans="2:12" ht="15" thickBot="1">
      <c r="F81" s="101" t="s">
        <v>822</v>
      </c>
      <c r="G81" s="98">
        <f>(G76-K3+G66)/15</f>
        <v>10.645430070399316</v>
      </c>
      <c r="I81" s="99" t="s">
        <v>764</v>
      </c>
      <c r="J81" s="92"/>
    </row>
    <row r="82" spans="2:12">
      <c r="I82" s="99"/>
      <c r="J82" s="93"/>
    </row>
    <row r="83" spans="2:12" ht="15.6">
      <c r="I83" s="97"/>
      <c r="J83" s="95">
        <v>15</v>
      </c>
    </row>
    <row r="84" spans="2:12">
      <c r="B84" s="54" t="s">
        <v>765</v>
      </c>
    </row>
    <row r="86" spans="2:12" ht="15">
      <c r="F86" s="101" t="s">
        <v>825</v>
      </c>
      <c r="G86" s="98">
        <f>0.997269566329875*(G81-G34)</f>
        <v>-9.8518079877649267</v>
      </c>
      <c r="I86" s="79" t="s">
        <v>766</v>
      </c>
    </row>
    <row r="92" spans="2:12" ht="15.6">
      <c r="I92" s="97"/>
      <c r="J92" s="95" t="s">
        <v>623</v>
      </c>
      <c r="K92" s="100"/>
      <c r="L92" s="95" t="s">
        <v>591</v>
      </c>
    </row>
    <row r="93" spans="2:12" ht="15.6" thickBot="1">
      <c r="F93" s="101" t="s">
        <v>795</v>
      </c>
      <c r="G93" s="98">
        <f>G21+(G86/24)+(-K3/360)</f>
        <v>2456127.1084320536</v>
      </c>
      <c r="I93" s="99" t="s">
        <v>768</v>
      </c>
      <c r="J93" s="92"/>
      <c r="K93" s="99" t="s">
        <v>769</v>
      </c>
      <c r="L93" s="92"/>
    </row>
    <row r="94" spans="2:12">
      <c r="G94" s="98" t="s">
        <v>826</v>
      </c>
      <c r="I94" s="99"/>
      <c r="J94" s="93"/>
      <c r="K94" s="99"/>
      <c r="L94" s="93"/>
    </row>
    <row r="95" spans="2:12" ht="15.6">
      <c r="I95" s="97"/>
      <c r="J95" s="95">
        <v>24</v>
      </c>
      <c r="K95" s="97"/>
      <c r="L95" s="95" t="s">
        <v>687</v>
      </c>
    </row>
    <row r="99" spans="3:10" ht="15">
      <c r="C99" s="79" t="s">
        <v>771</v>
      </c>
      <c r="G99" s="98">
        <f>G93-G29</f>
        <v>-0.62408271990716457</v>
      </c>
    </row>
    <row r="101" spans="3:10" ht="15">
      <c r="I101" s="96" t="s">
        <v>492</v>
      </c>
    </row>
    <row r="102" spans="3:10" ht="15">
      <c r="F102" s="101" t="s">
        <v>864</v>
      </c>
      <c r="G102" s="98">
        <f>G35+G37</f>
        <v>117.47411717269927</v>
      </c>
      <c r="I102" s="96" t="s">
        <v>502</v>
      </c>
    </row>
    <row r="103" spans="3:10" ht="15">
      <c r="F103" s="101" t="s">
        <v>73</v>
      </c>
      <c r="G103" s="98">
        <f>-G37+2.466*SIN(2*G102*PI()/180)-0.053*SIN(4*G102*180)</f>
        <v>-1.5255874979193662</v>
      </c>
      <c r="I103" s="96" t="s">
        <v>505</v>
      </c>
    </row>
    <row r="105" spans="3:10">
      <c r="F105" s="101" t="s">
        <v>827</v>
      </c>
      <c r="G105" s="98">
        <f>NEW!G112-180+G103</f>
        <v>-139.67292829675094</v>
      </c>
      <c r="I105" s="101" t="s">
        <v>863</v>
      </c>
    </row>
    <row r="107" spans="3:10" ht="15">
      <c r="J107" s="96" t="s">
        <v>524</v>
      </c>
    </row>
    <row r="108" spans="3:10" ht="15">
      <c r="J108" s="96" t="s">
        <v>525</v>
      </c>
    </row>
    <row r="109" spans="3:10" ht="15">
      <c r="J109" s="96" t="s">
        <v>526</v>
      </c>
    </row>
    <row r="110" spans="3:10" ht="15">
      <c r="J110" s="96" t="s">
        <v>527</v>
      </c>
    </row>
    <row r="111" spans="3:10" ht="15">
      <c r="F111" s="101" t="s">
        <v>865</v>
      </c>
      <c r="G111" s="121">
        <f>ACOS(E115-E116*E117/(E118*E119))*180/PI()</f>
        <v>104.59500117980421</v>
      </c>
      <c r="J111" s="96" t="s">
        <v>528</v>
      </c>
    </row>
    <row r="112" spans="3:10" ht="15">
      <c r="F112" s="101" t="s">
        <v>867</v>
      </c>
      <c r="G112" s="98">
        <f>NEW!G112-(G105+K3+G111)</f>
        <v>41.890586318115155</v>
      </c>
      <c r="I112" s="96" t="s">
        <v>583</v>
      </c>
    </row>
    <row r="113" spans="3:7">
      <c r="C113" s="136">
        <f>SIN(G59*PI()/180)</f>
        <v>0.35288020512341001</v>
      </c>
      <c r="G113" s="98">
        <f>G112/15</f>
        <v>2.7927057545410103</v>
      </c>
    </row>
    <row r="114" spans="3:7">
      <c r="C114" s="136">
        <f>SIN(L3*PI()/180)</f>
        <v>0.53287627607072996</v>
      </c>
      <c r="E114" s="118">
        <f>SIN(1.9167*PI()/180)</f>
        <v>3.3446486715588419E-2</v>
      </c>
      <c r="G114" s="98">
        <f>G113/24</f>
        <v>0.11636273977254209</v>
      </c>
    </row>
    <row r="115" spans="3:7">
      <c r="C115" s="136">
        <f>COS(G75*PI()/180)</f>
        <v>-0.25577261369414434</v>
      </c>
      <c r="E115" s="118">
        <f>SIN(-0.83*PI()/180)</f>
        <v>-1.4485726138606464E-2</v>
      </c>
      <c r="G115" s="98">
        <f>G114+NEW!G21</f>
        <v>2456127.6163627398</v>
      </c>
    </row>
    <row r="116" spans="3:7">
      <c r="C116" s="136">
        <f>COS(G59*PI()/180)</f>
        <v>0.93566851012100438</v>
      </c>
      <c r="E116" s="118">
        <f>SIN(L3*PI()/180)</f>
        <v>0.53287627607072996</v>
      </c>
    </row>
    <row r="117" spans="3:7">
      <c r="C117" s="136">
        <f>COS(L3*PI()/180)</f>
        <v>0.84619316612756401</v>
      </c>
      <c r="E117" s="118">
        <f>SIN(G59*PI()/180)</f>
        <v>0.35288020512341001</v>
      </c>
      <c r="G117" s="98">
        <f>G113+'sun rise'!H8</f>
        <v>5.7927057545410108</v>
      </c>
    </row>
    <row r="118" spans="3:7">
      <c r="C118" s="136">
        <f>C113*C114+(C115*C116*C117)</f>
        <v>-1.4468088405227925E-2</v>
      </c>
      <c r="E118" s="118">
        <f>COS(L3*PI()/180)</f>
        <v>0.84619316612756401</v>
      </c>
      <c r="G118" s="98">
        <f>TRUNC(G117)</f>
        <v>5</v>
      </c>
    </row>
    <row r="119" spans="3:7">
      <c r="C119" s="136">
        <f>ASIN(C118)*180/PI()</f>
        <v>-0.82898932640275691</v>
      </c>
      <c r="E119" s="118">
        <f>COS(G59*PI()/180)</f>
        <v>0.93566851012100438</v>
      </c>
      <c r="G119" s="149">
        <f>G117-G118</f>
        <v>0.79270575454101078</v>
      </c>
    </row>
    <row r="120" spans="3:7">
      <c r="G120" s="149">
        <f>G119*60</f>
        <v>47.562345272460647</v>
      </c>
    </row>
    <row r="121" spans="3:7">
      <c r="G121" s="149">
        <f>TRUNC(G120)</f>
        <v>47</v>
      </c>
    </row>
    <row r="122" spans="3:7">
      <c r="G122" s="149">
        <f>(G120-G121)*60</f>
        <v>33.740716347638795</v>
      </c>
    </row>
    <row r="123" spans="3:7">
      <c r="G123" s="140">
        <f>TIME(G118,G121,G122)</f>
        <v>0.24135416666666668</v>
      </c>
    </row>
    <row r="124" spans="3:7">
      <c r="G124" s="98">
        <f>G117+G111/15</f>
        <v>12.765705833194625</v>
      </c>
    </row>
    <row r="125" spans="3:7">
      <c r="G125" s="149">
        <f>TRUNC(G124)</f>
        <v>12</v>
      </c>
    </row>
    <row r="126" spans="3:7">
      <c r="G126" s="149">
        <f>G124-G125</f>
        <v>0.76570583319462493</v>
      </c>
    </row>
    <row r="127" spans="3:7">
      <c r="G127" s="149">
        <f>G126*60</f>
        <v>45.942349991677496</v>
      </c>
    </row>
    <row r="128" spans="3:7">
      <c r="G128" s="149">
        <f>TRUNC(G127)</f>
        <v>45</v>
      </c>
    </row>
    <row r="129" spans="7:7">
      <c r="G129" s="149">
        <f>(G127-G128)*60</f>
        <v>56.540999500649747</v>
      </c>
    </row>
    <row r="130" spans="7:7">
      <c r="G130" s="140">
        <f>TIME(G125,G128,G129)</f>
        <v>0.53189814814814818</v>
      </c>
    </row>
    <row r="131" spans="7:7">
      <c r="G131" s="150">
        <f>G124+G111/15</f>
        <v>19.738705911848239</v>
      </c>
    </row>
    <row r="132" spans="7:7">
      <c r="G132" s="149">
        <f>TRUNC(G131)</f>
        <v>19</v>
      </c>
    </row>
    <row r="133" spans="7:7">
      <c r="G133" s="149">
        <f>G131-G132</f>
        <v>0.73870591184823908</v>
      </c>
    </row>
    <row r="134" spans="7:7">
      <c r="G134" s="149">
        <f>G133*60</f>
        <v>44.322354710894345</v>
      </c>
    </row>
    <row r="135" spans="7:7">
      <c r="G135" s="149">
        <f>TRUNC(G134)</f>
        <v>44</v>
      </c>
    </row>
    <row r="136" spans="7:7">
      <c r="G136" s="149">
        <f>(G134-G135)*60</f>
        <v>19.341282653660699</v>
      </c>
    </row>
    <row r="137" spans="7:7">
      <c r="G137" s="140">
        <f>TIME(G132,G135,G136)</f>
        <v>0.8224421296296297</v>
      </c>
    </row>
  </sheetData>
  <mergeCells count="6">
    <mergeCell ref="B65:B66"/>
    <mergeCell ref="E10:E11"/>
    <mergeCell ref="F10:F11"/>
    <mergeCell ref="G10:G11"/>
    <mergeCell ref="I28:I29"/>
    <mergeCell ref="I42:I4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E12:F13"/>
  <sheetViews>
    <sheetView workbookViewId="0">
      <selection activeCell="K13" sqref="K13"/>
    </sheetView>
  </sheetViews>
  <sheetFormatPr defaultRowHeight="14.4"/>
  <cols>
    <col min="5" max="5" width="13.33203125" customWidth="1"/>
  </cols>
  <sheetData>
    <row r="12" spans="5:6">
      <c r="E12" t="s">
        <v>97</v>
      </c>
      <c r="F12">
        <v>0.83330000000000004</v>
      </c>
    </row>
    <row r="13" spans="5:6">
      <c r="E13" t="s">
        <v>98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2:L99"/>
  <sheetViews>
    <sheetView topLeftCell="A68" workbookViewId="0">
      <selection activeCell="I97" sqref="I97"/>
    </sheetView>
  </sheetViews>
  <sheetFormatPr defaultRowHeight="14.4"/>
  <cols>
    <col min="4" max="4" width="21.109375" customWidth="1"/>
    <col min="6" max="6" width="13.44140625" customWidth="1"/>
    <col min="7" max="7" width="21.109375" style="67" customWidth="1"/>
    <col min="9" max="9" width="41.33203125" customWidth="1"/>
    <col min="10" max="10" width="26.33203125" customWidth="1"/>
  </cols>
  <sheetData>
    <row r="2" spans="4:12">
      <c r="H2" s="122" t="s">
        <v>791</v>
      </c>
      <c r="I2" s="122" t="s">
        <v>792</v>
      </c>
      <c r="J2" s="122" t="s">
        <v>793</v>
      </c>
      <c r="K2" s="122" t="s">
        <v>823</v>
      </c>
      <c r="L2" s="122" t="s">
        <v>824</v>
      </c>
    </row>
    <row r="3" spans="4:12">
      <c r="H3" s="149">
        <f>Meeus!E3</f>
        <v>2012</v>
      </c>
      <c r="I3" s="149">
        <f>Meeus!F3</f>
        <v>7</v>
      </c>
      <c r="J3" s="149">
        <f>Meeus!G3</f>
        <v>19</v>
      </c>
      <c r="K3" s="149">
        <f>'sun rise'!F8</f>
        <v>35.04</v>
      </c>
      <c r="L3" s="149">
        <f>'sun rise'!G8</f>
        <v>32.200000000000003</v>
      </c>
    </row>
    <row r="4" spans="4:12">
      <c r="H4" s="149">
        <f>IF(I3&lt;3,H3-1,H3)</f>
        <v>2012</v>
      </c>
      <c r="I4" s="149">
        <f>IF(I3&lt;3,I3+12,I3)</f>
        <v>7</v>
      </c>
      <c r="J4" s="149">
        <f>IF(I3&lt;3,J3,J3)</f>
        <v>19</v>
      </c>
    </row>
    <row r="9" spans="4:12" ht="15.6">
      <c r="E9" s="55"/>
      <c r="F9" s="55"/>
      <c r="G9" s="63" t="s">
        <v>490</v>
      </c>
    </row>
    <row r="10" spans="4:12" ht="15" thickBot="1">
      <c r="E10" s="187"/>
      <c r="F10" s="189" t="s">
        <v>491</v>
      </c>
      <c r="G10" s="197"/>
    </row>
    <row r="11" spans="4:12" ht="15" thickTop="1">
      <c r="D11" s="54" t="s">
        <v>489</v>
      </c>
      <c r="E11" s="187"/>
      <c r="F11" s="189"/>
      <c r="G11" s="198"/>
    </row>
    <row r="12" spans="4:12" ht="15.6">
      <c r="E12" s="55"/>
      <c r="F12" s="55"/>
      <c r="G12" s="63">
        <v>36525</v>
      </c>
    </row>
    <row r="14" spans="4:12">
      <c r="G14" s="67">
        <f>'Geor-Jul'!F34</f>
        <v>2565912.0496990741</v>
      </c>
      <c r="H14" s="115" t="s">
        <v>868</v>
      </c>
    </row>
    <row r="15" spans="4:12">
      <c r="F15" s="56" t="s">
        <v>599</v>
      </c>
      <c r="G15" s="67">
        <f>('Geor-Jul'!F34-2451545)/36525</f>
        <v>3.1311991704058624</v>
      </c>
      <c r="I15" s="56">
        <v>-1.186858316E-2</v>
      </c>
    </row>
    <row r="16" spans="4:12">
      <c r="F16" s="56" t="s">
        <v>591</v>
      </c>
      <c r="G16" s="67">
        <f>280.46+36000.77*G15</f>
        <v>113006.04115797226</v>
      </c>
      <c r="H16">
        <f>IF(G16&lt;0,G16+360,G16)</f>
        <v>113006.04115797226</v>
      </c>
      <c r="I16" s="56" t="s">
        <v>656</v>
      </c>
    </row>
    <row r="17" spans="4:10">
      <c r="G17" s="67">
        <f>357.528+35999.05*G15</f>
        <v>113077.72349539917</v>
      </c>
      <c r="H17" s="56">
        <f>IF(G17&lt;0,G17+360,G17)</f>
        <v>113077.72349539917</v>
      </c>
    </row>
    <row r="20" spans="4:10">
      <c r="D20" s="79" t="s">
        <v>676</v>
      </c>
      <c r="F20" s="64" t="s">
        <v>796</v>
      </c>
      <c r="G20" s="67">
        <f>INT(H3/100)</f>
        <v>20</v>
      </c>
    </row>
    <row r="21" spans="4:10">
      <c r="F21" s="64" t="s">
        <v>795</v>
      </c>
      <c r="G21" s="67">
        <f>INT(365.25*H4)+INT(30.6001*(I4+1))+J4+1720996.5-G20+INT(G20/4)</f>
        <v>2456127.5</v>
      </c>
      <c r="H21" s="115" t="s">
        <v>869</v>
      </c>
      <c r="I21" s="79" t="s">
        <v>677</v>
      </c>
    </row>
    <row r="22" spans="4:10">
      <c r="F22" s="64" t="s">
        <v>794</v>
      </c>
      <c r="G22" s="67">
        <f>(G21-2451545)/36525</f>
        <v>0.12546201232032855</v>
      </c>
    </row>
    <row r="23" spans="4:10" ht="16.2">
      <c r="F23" s="64" t="s">
        <v>797</v>
      </c>
      <c r="G23" s="67">
        <f>G22^2</f>
        <v>1.5740716535466274E-2</v>
      </c>
    </row>
    <row r="24" spans="4:10" ht="16.2">
      <c r="F24" s="64" t="s">
        <v>798</v>
      </c>
      <c r="G24" s="67">
        <f>G22^3</f>
        <v>1.9748619719034692E-3</v>
      </c>
    </row>
    <row r="25" spans="4:10" ht="16.8">
      <c r="F25" s="64" t="s">
        <v>799</v>
      </c>
      <c r="G25" s="67">
        <f>6.6973745583+2400.0513369072*G22+ 0.000025862*G23-0.00000000172*G24</f>
        <v>307.81264536585513</v>
      </c>
      <c r="I25" s="79" t="s">
        <v>684</v>
      </c>
    </row>
    <row r="27" spans="4:10" ht="15.6">
      <c r="I27" s="62"/>
      <c r="J27" s="63"/>
    </row>
    <row r="28" spans="4:10">
      <c r="I28" s="192" t="s">
        <v>800</v>
      </c>
    </row>
    <row r="29" spans="4:10">
      <c r="E29" s="64" t="s">
        <v>802</v>
      </c>
      <c r="F29" s="64" t="s">
        <v>801</v>
      </c>
      <c r="G29" s="67">
        <f>G21+0.25-K3/360</f>
        <v>2456127.6526666665</v>
      </c>
      <c r="I29" s="192"/>
    </row>
    <row r="30" spans="4:10" ht="15.6">
      <c r="E30" s="64" t="s">
        <v>803</v>
      </c>
      <c r="F30" s="64" t="s">
        <v>801</v>
      </c>
      <c r="G30" s="67">
        <f>G21+0.75-K3/360</f>
        <v>2456128.1526666665</v>
      </c>
      <c r="I30" s="62"/>
      <c r="J30" s="63"/>
    </row>
    <row r="31" spans="4:10">
      <c r="F31" s="64" t="s">
        <v>794</v>
      </c>
      <c r="G31" s="67">
        <f>(G29-2451545)/36525</f>
        <v>0.12546619210586024</v>
      </c>
    </row>
    <row r="32" spans="4:10" ht="16.2">
      <c r="F32" s="64" t="s">
        <v>797</v>
      </c>
      <c r="G32" s="67">
        <f>G31^2</f>
        <v>1.5741765361544625E-2</v>
      </c>
    </row>
    <row r="33" spans="1:10" ht="16.2">
      <c r="F33" s="64" t="s">
        <v>798</v>
      </c>
      <c r="G33" s="67">
        <f>G31^3</f>
        <v>1.9750593569369344E-3</v>
      </c>
    </row>
    <row r="34" spans="1:10">
      <c r="F34" s="64" t="s">
        <v>799</v>
      </c>
      <c r="G34" s="67">
        <f>MOD(6.6973745583+2400.0513369072*G31+ 0.000025862*G32-0.00000000172*G33,24)</f>
        <v>19.822677065735604</v>
      </c>
      <c r="H34">
        <f>G34+35/15</f>
        <v>22.156010399068936</v>
      </c>
      <c r="I34">
        <f>0.7*60</f>
        <v>42</v>
      </c>
    </row>
    <row r="35" spans="1:10" ht="16.8">
      <c r="A35" s="54" t="s">
        <v>697</v>
      </c>
      <c r="F35" s="64" t="s">
        <v>804</v>
      </c>
      <c r="G35" s="67">
        <f>MOD(280.46646+36000.76983*G31+0.0003032*G32,360)</f>
        <v>117.34596822254025</v>
      </c>
      <c r="I35" s="79" t="s">
        <v>699</v>
      </c>
    </row>
    <row r="36" spans="1:10">
      <c r="A36" s="54" t="s">
        <v>700</v>
      </c>
      <c r="F36" s="64" t="s">
        <v>74</v>
      </c>
      <c r="G36" s="67">
        <f>MOD(357.52911+35999.05029*G31-0.0001537*G32,360)</f>
        <v>194.19286689415458</v>
      </c>
      <c r="I36" s="64" t="s">
        <v>805</v>
      </c>
    </row>
    <row r="37" spans="1:10" ht="16.2">
      <c r="A37" s="54" t="s">
        <v>703</v>
      </c>
      <c r="F37" s="64" t="s">
        <v>466</v>
      </c>
      <c r="G37" s="67">
        <f>(1.914602-0.004817*G31-0.000014*G32)*SIN(G36*PI()/180)+(0.019993-0.000101*G31)*SIN(2*G36*PI()/180)+0.000289*SIN(3*G36*PI()/180)</f>
        <v>-0.45998347921807275</v>
      </c>
      <c r="I37" s="79" t="s">
        <v>704</v>
      </c>
    </row>
    <row r="38" spans="1:10" ht="15">
      <c r="A38" s="33" t="s">
        <v>705</v>
      </c>
      <c r="F38" s="64" t="s">
        <v>806</v>
      </c>
      <c r="G38" s="67">
        <f>G35+G37</f>
        <v>116.88598474332218</v>
      </c>
      <c r="I38" s="79" t="s">
        <v>706</v>
      </c>
    </row>
    <row r="39" spans="1:10">
      <c r="A39" s="54" t="s">
        <v>707</v>
      </c>
      <c r="F39" s="64" t="s">
        <v>807</v>
      </c>
      <c r="G39" s="67">
        <f>G36+G37</f>
        <v>193.73288341493651</v>
      </c>
      <c r="I39" s="79" t="s">
        <v>708</v>
      </c>
    </row>
    <row r="40" spans="1:10" ht="16.2">
      <c r="A40" s="54" t="s">
        <v>709</v>
      </c>
      <c r="F40" s="64" t="s">
        <v>24</v>
      </c>
      <c r="G40" s="67">
        <f>0.016708634 - 0.000042037*G31 - 0.0000001267*G32</f>
        <v>1.6703357783200777E-2</v>
      </c>
      <c r="I40" s="79" t="s">
        <v>711</v>
      </c>
    </row>
    <row r="41" spans="1:10" ht="16.2">
      <c r="A41" s="54" t="s">
        <v>712</v>
      </c>
      <c r="I41" s="62"/>
      <c r="J41" s="85" t="s">
        <v>714</v>
      </c>
    </row>
    <row r="42" spans="1:10" ht="15" thickBot="1">
      <c r="F42" s="64" t="s">
        <v>23</v>
      </c>
      <c r="G42" s="67">
        <f>(1.000001018*(1-G40^2))/(1+G40*COS(G39*PI()/180))</f>
        <v>1.0162109109618269</v>
      </c>
      <c r="I42" s="189" t="s">
        <v>715</v>
      </c>
      <c r="J42" s="92"/>
    </row>
    <row r="43" spans="1:10">
      <c r="I43" s="189"/>
      <c r="J43" s="93"/>
    </row>
    <row r="44" spans="1:10" ht="15.6">
      <c r="I44" s="62"/>
      <c r="J44" s="63" t="s">
        <v>716</v>
      </c>
    </row>
    <row r="46" spans="1:10" ht="15.6">
      <c r="I46" s="62"/>
      <c r="J46" s="63">
        <v>0.266563889</v>
      </c>
    </row>
    <row r="47" spans="1:10" ht="15" thickBot="1">
      <c r="A47" s="54" t="s">
        <v>717</v>
      </c>
      <c r="F47" s="64" t="s">
        <v>808</v>
      </c>
      <c r="G47" s="67">
        <f>0.266563889/G42</f>
        <v>0.26231157934301419</v>
      </c>
      <c r="I47" s="82" t="s">
        <v>719</v>
      </c>
      <c r="J47" s="92"/>
    </row>
    <row r="48" spans="1:10">
      <c r="I48" s="82"/>
      <c r="J48" s="93"/>
    </row>
    <row r="49" spans="1:10" ht="15.6">
      <c r="I49" s="62"/>
      <c r="J49" s="63" t="s">
        <v>613</v>
      </c>
    </row>
    <row r="51" spans="1:10" ht="16.2">
      <c r="A51" s="33" t="s">
        <v>809</v>
      </c>
      <c r="G51" s="67">
        <f>MOD(125.04452 - 1934.136261*G31 + 0.0020708*G32+(G33/450000),360)</f>
        <v>242.37584092090049</v>
      </c>
      <c r="I51" s="79" t="s">
        <v>721</v>
      </c>
    </row>
    <row r="53" spans="1:10">
      <c r="A53" s="33" t="s">
        <v>810</v>
      </c>
      <c r="G53" s="67">
        <f>G38-0.00569-0.00478*SIN(G51*PI()/180)</f>
        <v>116.8845298622751</v>
      </c>
      <c r="I53" s="79" t="s">
        <v>724</v>
      </c>
    </row>
    <row r="54" spans="1:10">
      <c r="I54" s="79" t="s">
        <v>725</v>
      </c>
    </row>
    <row r="56" spans="1:10" ht="16.2">
      <c r="A56" s="33" t="s">
        <v>726</v>
      </c>
      <c r="G56" s="67">
        <f>23.4392911 - 0.01300416667*G31 - 0.00000016389*G32+ 0.00000050361*G33+ 0.00255625*COS(G51*PI()/180)</f>
        <v>23.436474259556118</v>
      </c>
      <c r="I56" s="79" t="s">
        <v>728</v>
      </c>
    </row>
    <row r="58" spans="1:10">
      <c r="A58" s="33" t="s">
        <v>732</v>
      </c>
      <c r="F58" s="64" t="s">
        <v>811</v>
      </c>
      <c r="G58" s="67">
        <f>SIN(G56*PI()/180)*SIN(G53*PI()/180)</f>
        <v>0.35474503256253243</v>
      </c>
    </row>
    <row r="59" spans="1:10">
      <c r="G59" s="67">
        <f>ASIN(G58)*180/PI()</f>
        <v>20.777818828680356</v>
      </c>
    </row>
    <row r="62" spans="1:10">
      <c r="A62" s="33" t="s">
        <v>736</v>
      </c>
      <c r="F62" s="64" t="s">
        <v>813</v>
      </c>
      <c r="G62" s="67">
        <f>COS(G56*PI()/180)*SIN(G53*PI()/180)</f>
        <v>0.81833772722762499</v>
      </c>
    </row>
    <row r="63" spans="1:10">
      <c r="F63" s="64" t="s">
        <v>812</v>
      </c>
      <c r="G63" s="67">
        <f>COS(G53*PI()/180)</f>
        <v>-0.45219390317443825</v>
      </c>
    </row>
    <row r="64" spans="1:10">
      <c r="F64" s="64" t="s">
        <v>814</v>
      </c>
      <c r="G64" s="67">
        <f>G62/G63</f>
        <v>-1.8097053531302105</v>
      </c>
    </row>
    <row r="65" spans="2:10">
      <c r="B65" s="196">
        <v>953.399</v>
      </c>
      <c r="G65" s="67">
        <f>ATAN(G64)*180/PI()</f>
        <v>-61.076007474792661</v>
      </c>
      <c r="J65">
        <f>2*PI()*6372</f>
        <v>40036.456777348321</v>
      </c>
    </row>
    <row r="66" spans="2:10">
      <c r="B66" s="196"/>
      <c r="G66" s="67">
        <f>IF(G63&lt;0,G65+180,G65)</f>
        <v>118.92399252520734</v>
      </c>
      <c r="I66">
        <f>6372/2</f>
        <v>3186</v>
      </c>
      <c r="J66">
        <f>J65/360</f>
        <v>111.21237993707867</v>
      </c>
    </row>
    <row r="67" spans="2:10">
      <c r="G67" s="67">
        <f>IF(G62&lt;0,G65+360,G65)</f>
        <v>-61.076007474792661</v>
      </c>
      <c r="I67">
        <f>I66/J66</f>
        <v>28.647889756541165</v>
      </c>
      <c r="J67">
        <f>B65/60</f>
        <v>15.889983333333333</v>
      </c>
    </row>
    <row r="68" spans="2:10">
      <c r="J68">
        <f>(J67/60)*J66</f>
        <v>29.452714394341903</v>
      </c>
    </row>
    <row r="69" spans="2:10">
      <c r="I69">
        <f>I66/J65</f>
        <v>7.9577471545947673E-2</v>
      </c>
    </row>
    <row r="70" spans="2:10">
      <c r="I70">
        <f>I69*360</f>
        <v>28.647889756541161</v>
      </c>
    </row>
    <row r="72" spans="2:10">
      <c r="B72" s="54" t="s">
        <v>743</v>
      </c>
    </row>
    <row r="73" spans="2:10">
      <c r="F73" s="71" t="s">
        <v>820</v>
      </c>
      <c r="G73" s="67">
        <f>-SIN(((34/60)+G47)*PI()/180)-SIN(L3*PI()/180)*SIN(G59*PI()/180)</f>
        <v>-0.2035031069426399</v>
      </c>
      <c r="H73">
        <f>G73/G74</f>
        <v>-0.25722138274811696</v>
      </c>
      <c r="I73" s="79" t="s">
        <v>746</v>
      </c>
      <c r="J73" s="71" t="s">
        <v>811</v>
      </c>
    </row>
    <row r="74" spans="2:10">
      <c r="F74" s="71" t="s">
        <v>821</v>
      </c>
      <c r="G74" s="67">
        <f>COS(L3*PI()/180)*COS(G59*PI()/180)</f>
        <v>0.79115936928898145</v>
      </c>
      <c r="I74" s="79" t="s">
        <v>815</v>
      </c>
    </row>
    <row r="75" spans="2:10">
      <c r="E75" s="71" t="s">
        <v>817</v>
      </c>
      <c r="F75" s="71" t="s">
        <v>816</v>
      </c>
      <c r="G75" s="67">
        <f>ACOS(G73/G74)*180/PI()</f>
        <v>104.90525248072015</v>
      </c>
      <c r="H75">
        <f>G75/15</f>
        <v>6.9936834987146765</v>
      </c>
    </row>
    <row r="76" spans="2:10">
      <c r="E76" s="71" t="s">
        <v>818</v>
      </c>
      <c r="F76" s="71" t="s">
        <v>819</v>
      </c>
      <c r="G76" s="67">
        <f>ACOS(-G73/G74)*180/PI()</f>
        <v>75.094747519279849</v>
      </c>
    </row>
    <row r="79" spans="2:10" ht="15" customHeight="1">
      <c r="I79" s="69"/>
      <c r="J79" s="84" t="s">
        <v>763</v>
      </c>
    </row>
    <row r="80" spans="2:10" ht="15" customHeight="1">
      <c r="B80" s="54" t="s">
        <v>761</v>
      </c>
      <c r="I80" s="69"/>
      <c r="J80" s="84"/>
    </row>
    <row r="81" spans="2:12" ht="15" thickBot="1">
      <c r="F81" s="71" t="s">
        <v>822</v>
      </c>
      <c r="G81" s="121">
        <f>MOD(((-G75-K3+G66)/15),24)</f>
        <v>22.598582669632481</v>
      </c>
      <c r="I81" s="84" t="s">
        <v>764</v>
      </c>
      <c r="J81" s="92"/>
    </row>
    <row r="82" spans="2:12">
      <c r="I82" s="84"/>
      <c r="J82" s="93"/>
    </row>
    <row r="83" spans="2:12" ht="15.6">
      <c r="I83" s="69"/>
      <c r="J83" s="70">
        <v>15</v>
      </c>
    </row>
    <row r="84" spans="2:12">
      <c r="B84" s="54" t="s">
        <v>765</v>
      </c>
    </row>
    <row r="86" spans="2:12" ht="15">
      <c r="F86" s="71" t="s">
        <v>825</v>
      </c>
      <c r="G86" s="91">
        <f>0.997269566329875*(G81-G34)</f>
        <v>2.7683261777709083</v>
      </c>
      <c r="I86" s="79" t="s">
        <v>766</v>
      </c>
    </row>
    <row r="87" spans="2:12">
      <c r="G87" s="67">
        <f>G86+'sun rise'!H8</f>
        <v>5.7683261777709083</v>
      </c>
    </row>
    <row r="88" spans="2:12">
      <c r="G88" s="67">
        <f>INT(G87)</f>
        <v>5</v>
      </c>
    </row>
    <row r="89" spans="2:12">
      <c r="G89" s="67">
        <f>G87-G88</f>
        <v>0.76832617777090828</v>
      </c>
    </row>
    <row r="90" spans="2:12">
      <c r="G90" s="67">
        <f>G89*60</f>
        <v>46.099570666254493</v>
      </c>
    </row>
    <row r="92" spans="2:12" ht="15.6">
      <c r="I92" s="69"/>
      <c r="J92" s="70" t="s">
        <v>623</v>
      </c>
      <c r="K92" s="83"/>
      <c r="L92" s="70" t="s">
        <v>591</v>
      </c>
    </row>
    <row r="93" spans="2:12" ht="15.75" customHeight="1" thickBot="1">
      <c r="F93" s="71" t="s">
        <v>795</v>
      </c>
      <c r="G93" s="67">
        <f>G21+(G86/24)+(-K3/360)</f>
        <v>2456127.5180135905</v>
      </c>
      <c r="I93" s="84" t="s">
        <v>768</v>
      </c>
      <c r="J93" s="92"/>
      <c r="K93" s="84" t="s">
        <v>769</v>
      </c>
      <c r="L93" s="92"/>
    </row>
    <row r="94" spans="2:12">
      <c r="G94" s="94" t="s">
        <v>826</v>
      </c>
      <c r="I94" s="84"/>
      <c r="J94" s="93"/>
      <c r="K94" s="84"/>
      <c r="L94" s="93"/>
    </row>
    <row r="95" spans="2:12" ht="15.6">
      <c r="I95" s="69"/>
      <c r="J95" s="70">
        <v>24</v>
      </c>
      <c r="K95" s="69"/>
      <c r="L95" s="70" t="s">
        <v>687</v>
      </c>
    </row>
    <row r="99" spans="3:7" ht="15">
      <c r="C99" s="79" t="s">
        <v>771</v>
      </c>
      <c r="G99" s="67">
        <f>G93-G29</f>
        <v>-0.13465307606384158</v>
      </c>
    </row>
  </sheetData>
  <mergeCells count="6">
    <mergeCell ref="I42:I43"/>
    <mergeCell ref="B65:B66"/>
    <mergeCell ref="E10:E11"/>
    <mergeCell ref="F10:F11"/>
    <mergeCell ref="G10:G11"/>
    <mergeCell ref="I28:I29"/>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dimension ref="A2:L107"/>
  <sheetViews>
    <sheetView topLeftCell="A86" workbookViewId="0">
      <selection activeCell="L3" sqref="L3"/>
    </sheetView>
  </sheetViews>
  <sheetFormatPr defaultColWidth="9.109375" defaultRowHeight="14.4"/>
  <cols>
    <col min="1" max="3" width="9.109375" style="106"/>
    <col min="4" max="4" width="21.109375" style="106" customWidth="1"/>
    <col min="5" max="5" width="9.109375" style="106"/>
    <col min="6" max="6" width="12.33203125" style="106" customWidth="1"/>
    <col min="7" max="7" width="21.109375" style="104" customWidth="1"/>
    <col min="8" max="8" width="9.109375" style="106"/>
    <col min="9" max="9" width="41.33203125" style="106" customWidth="1"/>
    <col min="10" max="10" width="26.33203125" style="106" customWidth="1"/>
    <col min="11" max="16384" width="9.109375" style="106"/>
  </cols>
  <sheetData>
    <row r="2" spans="4:12">
      <c r="H2" s="106" t="s">
        <v>791</v>
      </c>
      <c r="I2" s="106" t="s">
        <v>792</v>
      </c>
      <c r="J2" s="106" t="s">
        <v>793</v>
      </c>
      <c r="K2" s="106" t="s">
        <v>823</v>
      </c>
      <c r="L2" s="106" t="s">
        <v>824</v>
      </c>
    </row>
    <row r="3" spans="4:12">
      <c r="H3" s="149">
        <f>Algorithm!H3</f>
        <v>2012</v>
      </c>
      <c r="I3" s="149">
        <f>Algorithm!I3</f>
        <v>7</v>
      </c>
      <c r="J3" s="149">
        <f>Algorithm!J3</f>
        <v>19</v>
      </c>
      <c r="K3" s="106">
        <f>'sun rise'!F8</f>
        <v>35.04</v>
      </c>
      <c r="L3" s="106">
        <f>'sun rise'!G8</f>
        <v>32.200000000000003</v>
      </c>
    </row>
    <row r="4" spans="4:12">
      <c r="H4" s="149">
        <f>IF(I3&lt;3,H3-1,H3)</f>
        <v>2012</v>
      </c>
      <c r="I4" s="149">
        <f>IF(I3&lt;3,I3+12,I3)</f>
        <v>7</v>
      </c>
      <c r="J4" s="149">
        <f>IF(I3&lt;3,J3,J3)</f>
        <v>19</v>
      </c>
    </row>
    <row r="9" spans="4:12" ht="15.6">
      <c r="E9" s="103"/>
      <c r="F9" s="103"/>
      <c r="G9" s="102" t="s">
        <v>490</v>
      </c>
    </row>
    <row r="10" spans="4:12" ht="15" thickBot="1">
      <c r="E10" s="187"/>
      <c r="F10" s="189" t="s">
        <v>491</v>
      </c>
      <c r="G10" s="197"/>
    </row>
    <row r="11" spans="4:12" ht="15" thickTop="1">
      <c r="D11" s="54" t="s">
        <v>489</v>
      </c>
      <c r="E11" s="187"/>
      <c r="F11" s="189"/>
      <c r="G11" s="198"/>
    </row>
    <row r="12" spans="4:12" ht="15.6">
      <c r="E12" s="103"/>
      <c r="F12" s="103"/>
      <c r="G12" s="102">
        <v>36525</v>
      </c>
    </row>
    <row r="15" spans="4:12">
      <c r="F15" s="106" t="s">
        <v>599</v>
      </c>
      <c r="G15" s="104">
        <f>('Geor-Jul'!F34-2451545)/36525</f>
        <v>3.1311991704058624</v>
      </c>
      <c r="I15" s="106">
        <v>-1.186858316E-2</v>
      </c>
    </row>
    <row r="16" spans="4:12">
      <c r="F16" s="106" t="s">
        <v>591</v>
      </c>
      <c r="G16" s="104">
        <f>280.46+36000.77*G15</f>
        <v>113006.04115797226</v>
      </c>
      <c r="H16" s="106">
        <f>IF(G16&lt;0,G16+360,G16)</f>
        <v>113006.04115797226</v>
      </c>
      <c r="I16" s="106" t="s">
        <v>656</v>
      </c>
    </row>
    <row r="17" spans="4:10">
      <c r="G17" s="104">
        <f>357.528+35999.05*G15</f>
        <v>113077.72349539917</v>
      </c>
      <c r="H17" s="106">
        <f>IF(G17&lt;0,G17+360,G17)</f>
        <v>113077.72349539917</v>
      </c>
    </row>
    <row r="20" spans="4:10">
      <c r="D20" s="79" t="s">
        <v>676</v>
      </c>
      <c r="F20" s="106" t="s">
        <v>796</v>
      </c>
      <c r="G20" s="104">
        <f>INT(H3/100)</f>
        <v>20</v>
      </c>
    </row>
    <row r="21" spans="4:10">
      <c r="F21" s="106" t="s">
        <v>795</v>
      </c>
      <c r="G21" s="104">
        <f>INT(365.25*H4)+INT(30.6001*(I4+1))+J4+1720996.5-G20+INT(G20/4)</f>
        <v>2456127.5</v>
      </c>
      <c r="I21" s="79" t="s">
        <v>677</v>
      </c>
    </row>
    <row r="22" spans="4:10">
      <c r="F22" s="106" t="s">
        <v>794</v>
      </c>
      <c r="G22" s="104">
        <f>(G21-2451545)/36525</f>
        <v>0.12546201232032855</v>
      </c>
    </row>
    <row r="23" spans="4:10" ht="16.2">
      <c r="F23" s="106" t="s">
        <v>797</v>
      </c>
      <c r="G23" s="104">
        <f>G22^2</f>
        <v>1.5740716535466274E-2</v>
      </c>
    </row>
    <row r="24" spans="4:10" ht="16.2">
      <c r="F24" s="106" t="s">
        <v>798</v>
      </c>
      <c r="G24" s="104">
        <f>G22^3</f>
        <v>1.9748619719034692E-3</v>
      </c>
    </row>
    <row r="25" spans="4:10" ht="16.8">
      <c r="F25" s="106" t="s">
        <v>799</v>
      </c>
      <c r="G25" s="104">
        <f>6.6973745583+2400.0513369072*G22+ 0.000025862*G23-0.00000000172*G24</f>
        <v>307.81264536585513</v>
      </c>
      <c r="I25" s="79" t="s">
        <v>684</v>
      </c>
    </row>
    <row r="27" spans="4:10" ht="15.6">
      <c r="I27" s="103"/>
      <c r="J27" s="102"/>
    </row>
    <row r="28" spans="4:10">
      <c r="I28" s="192" t="s">
        <v>800</v>
      </c>
    </row>
    <row r="29" spans="4:10">
      <c r="E29" s="106" t="s">
        <v>802</v>
      </c>
      <c r="F29" s="106" t="s">
        <v>801</v>
      </c>
      <c r="G29" s="104">
        <f>G21+Algorithm!G86/24</f>
        <v>2456127.6153469239</v>
      </c>
      <c r="I29" s="192"/>
    </row>
    <row r="30" spans="4:10" ht="15.6">
      <c r="E30" s="106" t="s">
        <v>803</v>
      </c>
      <c r="F30" s="106" t="s">
        <v>801</v>
      </c>
      <c r="G30" s="104">
        <f>G21+0.75-K3/360</f>
        <v>2456128.1526666665</v>
      </c>
      <c r="I30" s="103"/>
      <c r="J30" s="102"/>
    </row>
    <row r="31" spans="4:10">
      <c r="F31" s="106" t="s">
        <v>794</v>
      </c>
      <c r="G31" s="104">
        <f>(G29-2451545)/36525</f>
        <v>0.12546517034699345</v>
      </c>
    </row>
    <row r="32" spans="4:10" ht="16.2">
      <c r="F32" s="106" t="s">
        <v>797</v>
      </c>
      <c r="G32" s="104">
        <f>G31^2</f>
        <v>1.5741508970200085E-2</v>
      </c>
    </row>
    <row r="33" spans="1:10" ht="16.2">
      <c r="F33" s="106" t="s">
        <v>798</v>
      </c>
      <c r="G33" s="104">
        <f>G31^3</f>
        <v>1.9750111044648791E-3</v>
      </c>
    </row>
    <row r="34" spans="1:10">
      <c r="F34" s="106" t="s">
        <v>799</v>
      </c>
      <c r="G34" s="104">
        <f>MOD(6.6973745583+2400.0513369072*G31+ 0.000025862*G32-0.00000000172*G33,24)</f>
        <v>19.82022479199469</v>
      </c>
    </row>
    <row r="35" spans="1:10" ht="16.8">
      <c r="A35" s="54" t="s">
        <v>697</v>
      </c>
      <c r="F35" s="106" t="s">
        <v>804</v>
      </c>
      <c r="G35" s="104">
        <f>MOD(280.46646+36000.76983*G31+0.0003032*G32,360)</f>
        <v>117.30918411667699</v>
      </c>
      <c r="I35" s="79" t="s">
        <v>699</v>
      </c>
    </row>
    <row r="36" spans="1:10">
      <c r="A36" s="54" t="s">
        <v>700</v>
      </c>
      <c r="F36" s="106" t="s">
        <v>74</v>
      </c>
      <c r="G36" s="104">
        <f>MOD(357.52911+35999.05029*G31-0.0001537*G32,360)</f>
        <v>194.15608454536414</v>
      </c>
      <c r="I36" s="106" t="s">
        <v>805</v>
      </c>
    </row>
    <row r="37" spans="1:10" ht="16.2">
      <c r="A37" s="54" t="s">
        <v>703</v>
      </c>
      <c r="F37" s="106" t="s">
        <v>466</v>
      </c>
      <c r="G37" s="104">
        <f>(1.914602-0.004817*G31-0.000014*G32)*SIN(G36*PI()/180)+(0.019993-0.000101*G31)*SIN(2*G36*PI()/180)+0.000289*SIN(3*G36*PI()/180)</f>
        <v>-0.4588143218256292</v>
      </c>
      <c r="I37" s="79" t="s">
        <v>704</v>
      </c>
    </row>
    <row r="38" spans="1:10" ht="15">
      <c r="A38" s="33" t="s">
        <v>705</v>
      </c>
      <c r="F38" s="106" t="s">
        <v>806</v>
      </c>
      <c r="G38" s="104">
        <f>G35+G37</f>
        <v>116.85036979485136</v>
      </c>
      <c r="I38" s="79" t="s">
        <v>706</v>
      </c>
    </row>
    <row r="39" spans="1:10">
      <c r="A39" s="54" t="s">
        <v>707</v>
      </c>
      <c r="F39" s="106" t="s">
        <v>807</v>
      </c>
      <c r="G39" s="104">
        <f>G36+G37</f>
        <v>193.69727022353851</v>
      </c>
      <c r="I39" s="79" t="s">
        <v>708</v>
      </c>
    </row>
    <row r="40" spans="1:10" ht="16.2">
      <c r="A40" s="54" t="s">
        <v>709</v>
      </c>
      <c r="F40" s="106" t="s">
        <v>24</v>
      </c>
      <c r="G40" s="104">
        <f>0.016708634 - 0.000042037*G31 - 0.0000001267*G32</f>
        <v>1.6703357826184938E-2</v>
      </c>
      <c r="I40" s="79" t="s">
        <v>711</v>
      </c>
    </row>
    <row r="41" spans="1:10" ht="16.2">
      <c r="A41" s="54" t="s">
        <v>712</v>
      </c>
      <c r="I41" s="103"/>
      <c r="J41" s="85" t="s">
        <v>714</v>
      </c>
    </row>
    <row r="42" spans="1:10" ht="15" thickBot="1">
      <c r="F42" s="106" t="s">
        <v>23</v>
      </c>
      <c r="G42" s="104">
        <f>(1.000001018*(1-G40^2))/(1+G40*COS(G39*PI()/180))</f>
        <v>1.0162134537423495</v>
      </c>
      <c r="I42" s="189" t="s">
        <v>715</v>
      </c>
      <c r="J42" s="92"/>
    </row>
    <row r="43" spans="1:10">
      <c r="I43" s="189"/>
      <c r="J43" s="93"/>
    </row>
    <row r="44" spans="1:10" ht="15.6">
      <c r="I44" s="103"/>
      <c r="J44" s="102" t="s">
        <v>716</v>
      </c>
    </row>
    <row r="46" spans="1:10" ht="15.6">
      <c r="I46" s="103"/>
      <c r="J46" s="102">
        <v>0.266563889</v>
      </c>
    </row>
    <row r="47" spans="1:10" ht="15" thickBot="1">
      <c r="A47" s="54" t="s">
        <v>717</v>
      </c>
      <c r="F47" s="106" t="s">
        <v>808</v>
      </c>
      <c r="G47" s="104">
        <f>0.266563889/G42</f>
        <v>0.26231092298408454</v>
      </c>
      <c r="I47" s="105" t="s">
        <v>719</v>
      </c>
      <c r="J47" s="92"/>
    </row>
    <row r="48" spans="1:10">
      <c r="I48" s="105"/>
      <c r="J48" s="93"/>
    </row>
    <row r="49" spans="1:10" ht="15.6">
      <c r="I49" s="103"/>
      <c r="J49" s="102" t="s">
        <v>613</v>
      </c>
    </row>
    <row r="51" spans="1:10" ht="16.2">
      <c r="A51" s="33" t="s">
        <v>809</v>
      </c>
      <c r="G51" s="104">
        <f>MOD(125.04452 - 1934.136261*G31 + 0.0020708*G32+(G33/450000),360)</f>
        <v>242.37781714124372</v>
      </c>
      <c r="I51" s="79" t="s">
        <v>721</v>
      </c>
    </row>
    <row r="53" spans="1:10">
      <c r="A53" s="33" t="s">
        <v>810</v>
      </c>
      <c r="G53" s="104">
        <f>G38-0.00569-0.00478*SIN(G51*PI()/180)</f>
        <v>116.8489149902468</v>
      </c>
      <c r="I53" s="79" t="s">
        <v>724</v>
      </c>
    </row>
    <row r="54" spans="1:10">
      <c r="I54" s="79" t="s">
        <v>725</v>
      </c>
    </row>
    <row r="56" spans="1:10" ht="16.2">
      <c r="A56" s="33" t="s">
        <v>726</v>
      </c>
      <c r="G56" s="104">
        <f>23.4392911 - 0.01300416667*G31 - 0.00000016389*G32+ 0.00000050361*G33+ 0.00255625*COS(G51*PI()/180)</f>
        <v>23.436474350962442</v>
      </c>
      <c r="I56" s="79" t="s">
        <v>728</v>
      </c>
    </row>
    <row r="58" spans="1:10">
      <c r="A58" s="33" t="s">
        <v>732</v>
      </c>
      <c r="F58" s="106" t="s">
        <v>811</v>
      </c>
      <c r="G58" s="104">
        <f>SIN(G56*PI()/180)*SIN(G53*PI()/180)</f>
        <v>0.35485676075637851</v>
      </c>
    </row>
    <row r="59" spans="1:10">
      <c r="G59" s="104">
        <f>ASIN(G58)*180/PI()</f>
        <v>20.78466583605589</v>
      </c>
    </row>
    <row r="62" spans="1:10">
      <c r="A62" s="33" t="s">
        <v>736</v>
      </c>
      <c r="F62" s="106" t="s">
        <v>813</v>
      </c>
      <c r="G62" s="104">
        <f>COS(G56*PI()/180)*SIN(G53*PI()/180)</f>
        <v>0.81859546199005984</v>
      </c>
    </row>
    <row r="63" spans="1:10">
      <c r="F63" s="106" t="s">
        <v>812</v>
      </c>
      <c r="G63" s="104">
        <f>COS(G53*PI()/180)</f>
        <v>-0.45163940146401182</v>
      </c>
    </row>
    <row r="64" spans="1:10">
      <c r="F64" s="106" t="s">
        <v>814</v>
      </c>
      <c r="G64" s="104">
        <f>G62/G63</f>
        <v>-1.8124978895475936</v>
      </c>
    </row>
    <row r="65" spans="2:10">
      <c r="B65" s="196">
        <v>953.399</v>
      </c>
      <c r="G65" s="104">
        <f>ATAN(G64)*180/PI()</f>
        <v>-61.113390014719499</v>
      </c>
      <c r="J65" s="106">
        <f>2*PI()*6372</f>
        <v>40036.456777348321</v>
      </c>
    </row>
    <row r="66" spans="2:10">
      <c r="B66" s="196"/>
      <c r="G66" s="121">
        <f>IF(G63&lt;0,G65+180,G65)</f>
        <v>118.8866099852805</v>
      </c>
      <c r="I66" s="106">
        <f>6372/2</f>
        <v>3186</v>
      </c>
      <c r="J66" s="106">
        <f>J65/360</f>
        <v>111.21237993707867</v>
      </c>
    </row>
    <row r="67" spans="2:10">
      <c r="G67" s="121">
        <f>IF(G62&lt;0,G65+360,G65)</f>
        <v>-61.113390014719499</v>
      </c>
      <c r="I67" s="106">
        <f>I66/J66</f>
        <v>28.647889756541165</v>
      </c>
      <c r="J67" s="106">
        <f>B65/60</f>
        <v>15.889983333333333</v>
      </c>
    </row>
    <row r="68" spans="2:10">
      <c r="J68" s="106">
        <f>(J67/60)*J66</f>
        <v>29.452714394341903</v>
      </c>
    </row>
    <row r="69" spans="2:10">
      <c r="I69" s="106">
        <f>I66/J65</f>
        <v>7.9577471545947673E-2</v>
      </c>
    </row>
    <row r="70" spans="2:10">
      <c r="I70" s="106">
        <f>I69*360</f>
        <v>28.647889756541161</v>
      </c>
    </row>
    <row r="72" spans="2:10">
      <c r="B72" s="54" t="s">
        <v>743</v>
      </c>
    </row>
    <row r="73" spans="2:10">
      <c r="F73" s="106" t="s">
        <v>820</v>
      </c>
      <c r="G73" s="121">
        <f>-SIN(((34/60)+G47)*PI()/180)-SIN(L3*PI()/180)*SIN(G59*PI()/180)</f>
        <v>-0.20356263279208328</v>
      </c>
      <c r="I73" s="79" t="s">
        <v>746</v>
      </c>
      <c r="J73" s="106" t="s">
        <v>811</v>
      </c>
    </row>
    <row r="74" spans="2:10">
      <c r="F74" s="106" t="s">
        <v>821</v>
      </c>
      <c r="G74" s="121">
        <f>COS(L3*PI()/180)*COS(G59*PI()/180)</f>
        <v>0.79112349094526224</v>
      </c>
      <c r="I74" s="79" t="s">
        <v>815</v>
      </c>
    </row>
    <row r="75" spans="2:10">
      <c r="E75" s="106" t="s">
        <v>817</v>
      </c>
      <c r="F75" s="106" t="s">
        <v>816</v>
      </c>
      <c r="G75" s="121">
        <f>ACOS(G73/G74)*180/PI()</f>
        <v>104.91040535173329</v>
      </c>
      <c r="H75" s="106">
        <f>G75/15</f>
        <v>6.9940270234488855</v>
      </c>
    </row>
    <row r="76" spans="2:10">
      <c r="E76" s="106" t="s">
        <v>818</v>
      </c>
      <c r="F76" s="106" t="s">
        <v>819</v>
      </c>
      <c r="G76" s="121">
        <f>ACOS(-G73/G74)*180/PI()</f>
        <v>75.089594648266726</v>
      </c>
      <c r="H76" s="106">
        <f>TRUNC(H75)</f>
        <v>6</v>
      </c>
    </row>
    <row r="77" spans="2:10">
      <c r="H77" s="106">
        <f>(H75-H76)*60</f>
        <v>59.641621406933126</v>
      </c>
    </row>
    <row r="79" spans="2:10" ht="15.6">
      <c r="I79" s="103"/>
      <c r="J79" s="105" t="s">
        <v>763</v>
      </c>
    </row>
    <row r="80" spans="2:10" ht="15.6">
      <c r="B80" s="54" t="s">
        <v>761</v>
      </c>
      <c r="I80" s="103"/>
      <c r="J80" s="105"/>
    </row>
    <row r="81" spans="2:12" ht="15" thickBot="1">
      <c r="F81" s="106" t="s">
        <v>822</v>
      </c>
      <c r="G81" s="104">
        <f>MOD(((-G75-K3+G66)/15),24)</f>
        <v>22.595746975569813</v>
      </c>
      <c r="I81" s="105" t="s">
        <v>764</v>
      </c>
      <c r="J81" s="92"/>
    </row>
    <row r="82" spans="2:12">
      <c r="I82" s="105"/>
      <c r="J82" s="93"/>
    </row>
    <row r="83" spans="2:12" ht="15.6">
      <c r="I83" s="103"/>
      <c r="J83" s="102">
        <v>15</v>
      </c>
    </row>
    <row r="84" spans="2:12">
      <c r="B84" s="54" t="s">
        <v>765</v>
      </c>
    </row>
    <row r="86" spans="2:12" ht="15">
      <c r="F86" s="106" t="s">
        <v>825</v>
      </c>
      <c r="G86" s="104">
        <f>MOD(0.997269566329875*(G81-G34),24)</f>
        <v>2.7679438043529112</v>
      </c>
      <c r="I86" s="79" t="s">
        <v>766</v>
      </c>
    </row>
    <row r="87" spans="2:12">
      <c r="G87" s="121">
        <f>MOD((G86+'sun rise'!H8),24)</f>
        <v>5.7679438043529112</v>
      </c>
    </row>
    <row r="88" spans="2:12">
      <c r="G88" s="121">
        <f>TRUNC(G87)</f>
        <v>5</v>
      </c>
    </row>
    <row r="89" spans="2:12">
      <c r="G89" s="121">
        <f>G87-G88</f>
        <v>0.76794380435291121</v>
      </c>
    </row>
    <row r="90" spans="2:12">
      <c r="G90" s="121">
        <f>G89*60</f>
        <v>46.076628261174676</v>
      </c>
    </row>
    <row r="91" spans="2:12">
      <c r="G91" s="104">
        <f>TRUNC(G90)</f>
        <v>46</v>
      </c>
    </row>
    <row r="92" spans="2:12" s="138" customFormat="1">
      <c r="G92" s="139">
        <f>(G90-G91)*60</f>
        <v>4.5976956704805616</v>
      </c>
    </row>
    <row r="93" spans="2:12" s="138" customFormat="1">
      <c r="G93" s="140">
        <f>TIME(G88,G91,G92)</f>
        <v>0.24032407407407408</v>
      </c>
    </row>
    <row r="94" spans="2:12" ht="15.6">
      <c r="G94" s="149">
        <f>G87+G75/15</f>
        <v>12.761970827801797</v>
      </c>
      <c r="I94" s="103"/>
      <c r="J94" s="102" t="s">
        <v>623</v>
      </c>
      <c r="K94" s="107"/>
      <c r="L94" s="102" t="s">
        <v>591</v>
      </c>
    </row>
    <row r="95" spans="2:12" ht="15.75" customHeight="1" thickBot="1">
      <c r="G95" s="149">
        <f>TRUNC(G94)</f>
        <v>12</v>
      </c>
      <c r="I95" s="105" t="s">
        <v>768</v>
      </c>
      <c r="J95" s="92"/>
      <c r="K95" s="105" t="s">
        <v>769</v>
      </c>
      <c r="L95" s="92"/>
    </row>
    <row r="96" spans="2:12">
      <c r="G96" s="149">
        <f>G94-G95</f>
        <v>0.7619708278017967</v>
      </c>
      <c r="I96" s="105"/>
      <c r="J96" s="93"/>
      <c r="K96" s="105"/>
      <c r="L96" s="93"/>
    </row>
    <row r="97" spans="3:12" ht="15.6">
      <c r="G97" s="149">
        <f>G96*60</f>
        <v>45.718249668107802</v>
      </c>
      <c r="I97" s="103"/>
      <c r="J97" s="102">
        <v>24</v>
      </c>
      <c r="K97" s="103"/>
      <c r="L97" s="102" t="s">
        <v>687</v>
      </c>
    </row>
    <row r="98" spans="3:12">
      <c r="G98" s="149">
        <f>TRUNC(G97)</f>
        <v>45</v>
      </c>
    </row>
    <row r="99" spans="3:12">
      <c r="G99" s="149">
        <f>(G97-G98)*60</f>
        <v>43.094980086468127</v>
      </c>
    </row>
    <row r="100" spans="3:12">
      <c r="G100" s="140">
        <f>TIME(G95,G98,G99)</f>
        <v>0.53174768518518511</v>
      </c>
    </row>
    <row r="101" spans="3:12">
      <c r="C101" s="79"/>
      <c r="G101" s="149">
        <f>G94+G75/15</f>
        <v>19.755997851250683</v>
      </c>
    </row>
    <row r="102" spans="3:12">
      <c r="G102" s="149">
        <f>TRUNC(G101)</f>
        <v>19</v>
      </c>
    </row>
    <row r="103" spans="3:12">
      <c r="G103" s="149">
        <f>G101-G102</f>
        <v>0.75599785125068308</v>
      </c>
    </row>
    <row r="104" spans="3:12">
      <c r="G104" s="149">
        <f>G103*60</f>
        <v>45.359871075040985</v>
      </c>
    </row>
    <row r="105" spans="3:12">
      <c r="G105" s="149">
        <f>TRUNC(G104)</f>
        <v>45</v>
      </c>
    </row>
    <row r="106" spans="3:12">
      <c r="G106" s="149">
        <f>(G104-G105)*60</f>
        <v>21.592264502459102</v>
      </c>
    </row>
    <row r="107" spans="3:12">
      <c r="G107" s="140">
        <f>TIME(G102,G105,G106)</f>
        <v>0.82315972222222233</v>
      </c>
    </row>
  </sheetData>
  <mergeCells count="6">
    <mergeCell ref="B65:B66"/>
    <mergeCell ref="E10:E11"/>
    <mergeCell ref="F10:F11"/>
    <mergeCell ref="G10:G11"/>
    <mergeCell ref="I28:I29"/>
    <mergeCell ref="I42:I43"/>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2:L107"/>
  <sheetViews>
    <sheetView topLeftCell="A85" workbookViewId="0">
      <selection activeCell="G93" sqref="G93"/>
    </sheetView>
  </sheetViews>
  <sheetFormatPr defaultColWidth="9.109375" defaultRowHeight="14.4"/>
  <cols>
    <col min="1" max="3" width="9.109375" style="115"/>
    <col min="4" max="4" width="21.109375" style="115" customWidth="1"/>
    <col min="5" max="6" width="9.109375" style="115"/>
    <col min="7" max="7" width="21.109375" style="112" customWidth="1"/>
    <col min="8" max="8" width="9.109375" style="115"/>
    <col min="9" max="9" width="41.33203125" style="115" customWidth="1"/>
    <col min="10" max="10" width="26.33203125" style="115" customWidth="1"/>
    <col min="11" max="16384" width="9.109375" style="115"/>
  </cols>
  <sheetData>
    <row r="2" spans="4:12">
      <c r="H2" s="115" t="s">
        <v>791</v>
      </c>
      <c r="I2" s="115" t="s">
        <v>792</v>
      </c>
      <c r="J2" s="115" t="s">
        <v>793</v>
      </c>
      <c r="K2" s="115" t="s">
        <v>823</v>
      </c>
      <c r="L2" s="115" t="s">
        <v>824</v>
      </c>
    </row>
    <row r="3" spans="4:12">
      <c r="H3" s="115">
        <f>Algorithm!H3</f>
        <v>2012</v>
      </c>
      <c r="I3" s="148">
        <f>Algorithm!I3</f>
        <v>7</v>
      </c>
      <c r="J3" s="148">
        <f>Algorithm!J3</f>
        <v>19</v>
      </c>
      <c r="K3" s="115">
        <f>'sun rise'!F8</f>
        <v>35.04</v>
      </c>
      <c r="L3" s="115">
        <f>'sun rise'!G8</f>
        <v>32.200000000000003</v>
      </c>
    </row>
    <row r="4" spans="4:12">
      <c r="H4" s="115">
        <f>IF(I3&lt;3,H3-1,H3)</f>
        <v>2012</v>
      </c>
      <c r="I4" s="115">
        <f>IF(I3&lt;3,I3+12,I3)</f>
        <v>7</v>
      </c>
      <c r="J4" s="115">
        <f>IF(I3&lt;3,J3,J3)</f>
        <v>19</v>
      </c>
    </row>
    <row r="9" spans="4:12" ht="15.6">
      <c r="E9" s="111"/>
      <c r="F9" s="111"/>
      <c r="G9" s="110" t="s">
        <v>490</v>
      </c>
    </row>
    <row r="10" spans="4:12" ht="15" thickBot="1">
      <c r="E10" s="187"/>
      <c r="F10" s="189" t="s">
        <v>491</v>
      </c>
      <c r="G10" s="197"/>
    </row>
    <row r="11" spans="4:12" ht="15" thickTop="1">
      <c r="D11" s="54" t="s">
        <v>489</v>
      </c>
      <c r="E11" s="187"/>
      <c r="F11" s="189"/>
      <c r="G11" s="198"/>
    </row>
    <row r="12" spans="4:12" ht="15.6">
      <c r="E12" s="111"/>
      <c r="F12" s="111"/>
      <c r="G12" s="110">
        <v>36525</v>
      </c>
    </row>
    <row r="15" spans="4:12">
      <c r="F15" s="115" t="s">
        <v>599</v>
      </c>
      <c r="G15" s="112">
        <f>('Geor-Jul'!F34-2451545)/36525</f>
        <v>3.1311991704058624</v>
      </c>
      <c r="I15" s="115">
        <v>-1.186858316E-2</v>
      </c>
    </row>
    <row r="16" spans="4:12">
      <c r="F16" s="115" t="s">
        <v>591</v>
      </c>
      <c r="G16" s="112">
        <f>280.46+36000.77*G15</f>
        <v>113006.04115797226</v>
      </c>
      <c r="H16" s="115">
        <f>IF(G16&lt;0,G16+360,G16)</f>
        <v>113006.04115797226</v>
      </c>
      <c r="I16" s="115" t="s">
        <v>656</v>
      </c>
    </row>
    <row r="17" spans="4:10">
      <c r="G17" s="112">
        <f>357.528+35999.05*G15</f>
        <v>113077.72349539917</v>
      </c>
      <c r="H17" s="115">
        <f>IF(G17&lt;0,G17+360,G17)</f>
        <v>113077.72349539917</v>
      </c>
    </row>
    <row r="20" spans="4:10">
      <c r="D20" s="79" t="s">
        <v>676</v>
      </c>
      <c r="F20" s="115" t="s">
        <v>796</v>
      </c>
      <c r="G20" s="112">
        <f>INT(H3/100)</f>
        <v>20</v>
      </c>
    </row>
    <row r="21" spans="4:10">
      <c r="F21" s="115" t="s">
        <v>795</v>
      </c>
      <c r="G21" s="112">
        <f>INT(365.25*H4)+INT(30.6001*(I4+1))+J4+1720996.5-G20+INT(G20/4)</f>
        <v>2456127.5</v>
      </c>
      <c r="I21" s="79" t="s">
        <v>677</v>
      </c>
    </row>
    <row r="22" spans="4:10">
      <c r="F22" s="115" t="s">
        <v>794</v>
      </c>
      <c r="G22" s="112">
        <f>(G21-2451545)/36525</f>
        <v>0.12546201232032855</v>
      </c>
    </row>
    <row r="23" spans="4:10" ht="16.2">
      <c r="F23" s="115" t="s">
        <v>797</v>
      </c>
      <c r="G23" s="112">
        <f>G22^2</f>
        <v>1.5740716535466274E-2</v>
      </c>
    </row>
    <row r="24" spans="4:10" ht="16.2">
      <c r="F24" s="115" t="s">
        <v>798</v>
      </c>
      <c r="G24" s="112">
        <f>G22^3</f>
        <v>1.9748619719034692E-3</v>
      </c>
    </row>
    <row r="25" spans="4:10" ht="16.8">
      <c r="F25" s="115" t="s">
        <v>799</v>
      </c>
      <c r="G25" s="112">
        <f>6.6973745583+2400.0513369072*G22+ 0.000025862*G23-0.00000000172*G24</f>
        <v>307.81264536585513</v>
      </c>
      <c r="I25" s="79" t="s">
        <v>684</v>
      </c>
    </row>
    <row r="27" spans="4:10" ht="15.6">
      <c r="I27" s="111"/>
      <c r="J27" s="110"/>
    </row>
    <row r="28" spans="4:10">
      <c r="I28" s="192" t="s">
        <v>800</v>
      </c>
    </row>
    <row r="29" spans="4:10">
      <c r="E29" s="115" t="s">
        <v>802</v>
      </c>
      <c r="F29" s="115" t="s">
        <v>801</v>
      </c>
      <c r="G29" s="112">
        <f>G21+'alg2'!G86/24</f>
        <v>2456127.6153309918</v>
      </c>
      <c r="I29" s="192"/>
    </row>
    <row r="30" spans="4:10" ht="15.6">
      <c r="E30" s="115" t="s">
        <v>803</v>
      </c>
      <c r="F30" s="115" t="s">
        <v>801</v>
      </c>
      <c r="G30" s="112">
        <f>G21+0.75-K3/360</f>
        <v>2456128.1526666665</v>
      </c>
      <c r="I30" s="111"/>
      <c r="J30" s="110"/>
    </row>
    <row r="31" spans="4:10">
      <c r="F31" s="115" t="s">
        <v>794</v>
      </c>
      <c r="G31" s="112">
        <f>(G29-2451545)/36525</f>
        <v>0.12546516991079537</v>
      </c>
    </row>
    <row r="32" spans="4:10" ht="16.2">
      <c r="F32" s="115" t="s">
        <v>797</v>
      </c>
      <c r="G32" s="112">
        <f>G31^2</f>
        <v>1.5741508860744751E-2</v>
      </c>
    </row>
    <row r="33" spans="1:10" ht="16.2">
      <c r="F33" s="115" t="s">
        <v>798</v>
      </c>
      <c r="G33" s="112">
        <f>G31^3</f>
        <v>1.9750110838656311E-3</v>
      </c>
    </row>
    <row r="34" spans="1:10">
      <c r="F34" s="115" t="s">
        <v>799</v>
      </c>
      <c r="G34" s="112">
        <f>MOD(6.6973745583+2400.0513369072*G31+ 0.000025862*G32-0.00000000172*G33,24)</f>
        <v>19.820223745096882</v>
      </c>
    </row>
    <row r="35" spans="1:10" ht="16.8">
      <c r="A35" s="54" t="s">
        <v>697</v>
      </c>
      <c r="F35" s="115" t="s">
        <v>804</v>
      </c>
      <c r="G35" s="112">
        <f>MOD(280.46646+36000.76983*G31+0.0003032*G32,360)</f>
        <v>117.3091684132105</v>
      </c>
      <c r="I35" s="79" t="s">
        <v>699</v>
      </c>
    </row>
    <row r="36" spans="1:10">
      <c r="A36" s="54" t="s">
        <v>700</v>
      </c>
      <c r="F36" s="115" t="s">
        <v>74</v>
      </c>
      <c r="G36" s="112">
        <f>MOD(357.52911+35999.05029*G31-0.0001537*G32,360)</f>
        <v>194.15606884264798</v>
      </c>
      <c r="I36" s="115" t="s">
        <v>805</v>
      </c>
    </row>
    <row r="37" spans="1:10" ht="16.2">
      <c r="A37" s="54" t="s">
        <v>703</v>
      </c>
      <c r="F37" s="115" t="s">
        <v>466</v>
      </c>
      <c r="G37" s="112">
        <f>(1.914602-0.004817*G31-0.000014*G32)*SIN(G36*PI()/180)+(0.019993-0.000101*G31)*SIN(2*G36*PI()/180)+0.000289*SIN(3*G36*PI()/180)</f>
        <v>-0.4588138226637547</v>
      </c>
      <c r="I37" s="79" t="s">
        <v>704</v>
      </c>
    </row>
    <row r="38" spans="1:10" ht="15">
      <c r="A38" s="33" t="s">
        <v>705</v>
      </c>
      <c r="F38" s="115" t="s">
        <v>806</v>
      </c>
      <c r="G38" s="112">
        <f>G35+G37</f>
        <v>116.85035459054674</v>
      </c>
      <c r="I38" s="79" t="s">
        <v>706</v>
      </c>
    </row>
    <row r="39" spans="1:10">
      <c r="A39" s="54" t="s">
        <v>707</v>
      </c>
      <c r="F39" s="115" t="s">
        <v>807</v>
      </c>
      <c r="G39" s="112">
        <f>G36+G37</f>
        <v>193.69725501998423</v>
      </c>
      <c r="I39" s="79" t="s">
        <v>708</v>
      </c>
    </row>
    <row r="40" spans="1:10" ht="16.2">
      <c r="A40" s="54" t="s">
        <v>709</v>
      </c>
      <c r="F40" s="115" t="s">
        <v>24</v>
      </c>
      <c r="G40" s="112">
        <f>0.016708634 - 0.000042037*G31 - 0.0000001267*G32</f>
        <v>1.6703357826203288E-2</v>
      </c>
      <c r="I40" s="79" t="s">
        <v>711</v>
      </c>
    </row>
    <row r="41" spans="1:10" ht="16.2">
      <c r="A41" s="54" t="s">
        <v>712</v>
      </c>
      <c r="I41" s="111"/>
      <c r="J41" s="85" t="s">
        <v>714</v>
      </c>
    </row>
    <row r="42" spans="1:10" ht="15" thickBot="1">
      <c r="F42" s="115" t="s">
        <v>23</v>
      </c>
      <c r="G42" s="112">
        <f>(1.000001018*(1-G40^2))/(1+G40*COS(G39*PI()/180))</f>
        <v>1.0162134548265025</v>
      </c>
      <c r="I42" s="189" t="s">
        <v>715</v>
      </c>
      <c r="J42" s="92"/>
    </row>
    <row r="43" spans="1:10">
      <c r="I43" s="189"/>
      <c r="J43" s="93"/>
    </row>
    <row r="44" spans="1:10" ht="15.6">
      <c r="I44" s="111"/>
      <c r="J44" s="110" t="s">
        <v>716</v>
      </c>
    </row>
    <row r="46" spans="1:10" ht="15.6">
      <c r="I46" s="111"/>
      <c r="J46" s="110">
        <v>0.266563889</v>
      </c>
    </row>
    <row r="47" spans="1:10" ht="15" thickBot="1">
      <c r="A47" s="54" t="s">
        <v>717</v>
      </c>
      <c r="F47" s="115" t="s">
        <v>808</v>
      </c>
      <c r="G47" s="112">
        <f>0.266563889/G42</f>
        <v>0.26231092270423667</v>
      </c>
      <c r="I47" s="113" t="s">
        <v>719</v>
      </c>
      <c r="J47" s="92"/>
    </row>
    <row r="48" spans="1:10">
      <c r="I48" s="113"/>
      <c r="J48" s="93"/>
    </row>
    <row r="49" spans="1:10" ht="15.6">
      <c r="I49" s="111"/>
      <c r="J49" s="110" t="s">
        <v>613</v>
      </c>
    </row>
    <row r="51" spans="1:10" ht="16.2">
      <c r="A51" s="33" t="s">
        <v>809</v>
      </c>
      <c r="G51" s="112">
        <f>MOD(125.04452 - 1934.136261*G31 + 0.0020708*G32+(G33/450000),360)</f>
        <v>242.37781798491</v>
      </c>
      <c r="I51" s="79" t="s">
        <v>721</v>
      </c>
    </row>
    <row r="53" spans="1:10">
      <c r="A53" s="33" t="s">
        <v>810</v>
      </c>
      <c r="G53" s="112">
        <f>G38-0.00569-0.00478*SIN(G51*PI()/180)</f>
        <v>116.84889978597482</v>
      </c>
      <c r="I53" s="79" t="s">
        <v>724</v>
      </c>
    </row>
    <row r="54" spans="1:10">
      <c r="I54" s="79" t="s">
        <v>725</v>
      </c>
    </row>
    <row r="56" spans="1:10" ht="16.2">
      <c r="A56" s="33" t="s">
        <v>726</v>
      </c>
      <c r="G56" s="112">
        <f>23.4392911 - 0.01300416667*G31 - 0.00000016389*G32+ 0.00000050361*G33+ 0.00255625*COS(G51*PI()/180)</f>
        <v>23.436474351001465</v>
      </c>
      <c r="I56" s="79" t="s">
        <v>728</v>
      </c>
    </row>
    <row r="58" spans="1:10">
      <c r="A58" s="33" t="s">
        <v>732</v>
      </c>
      <c r="F58" s="115" t="s">
        <v>811</v>
      </c>
      <c r="G58" s="112">
        <f>SIN(G56*PI()/180)*SIN(G53*PI()/180)</f>
        <v>0.3548568084247567</v>
      </c>
    </row>
    <row r="59" spans="1:10">
      <c r="G59" s="112">
        <f>ASIN(G58)*180/PI()</f>
        <v>20.784668757369932</v>
      </c>
    </row>
    <row r="62" spans="1:10">
      <c r="A62" s="33" t="s">
        <v>736</v>
      </c>
      <c r="F62" s="115" t="s">
        <v>813</v>
      </c>
      <c r="G62" s="112">
        <f>COS(G56*PI()/180)*SIN(G53*PI()/180)</f>
        <v>0.81859557195154342</v>
      </c>
    </row>
    <row r="63" spans="1:10">
      <c r="F63" s="115" t="s">
        <v>812</v>
      </c>
      <c r="G63" s="112">
        <f>COS(G53*PI()/180)</f>
        <v>-0.45163916470554344</v>
      </c>
    </row>
    <row r="64" spans="1:10">
      <c r="F64" s="115" t="s">
        <v>814</v>
      </c>
      <c r="G64" s="112">
        <f>G62/G63</f>
        <v>-1.8124990831679659</v>
      </c>
    </row>
    <row r="65" spans="2:10">
      <c r="B65" s="196">
        <v>953.399</v>
      </c>
      <c r="G65" s="112">
        <f>ATAN(G64)*180/PI()</f>
        <v>-61.113405974346925</v>
      </c>
      <c r="J65" s="115">
        <f>2*PI()*6372</f>
        <v>40036.456777348321</v>
      </c>
    </row>
    <row r="66" spans="2:10">
      <c r="B66" s="196"/>
      <c r="G66" s="112">
        <f>IF(G65&lt;0,G65+180,G65)</f>
        <v>118.88659402565307</v>
      </c>
      <c r="I66" s="115">
        <f>6372/2</f>
        <v>3186</v>
      </c>
      <c r="J66" s="115">
        <f>J65/360</f>
        <v>111.21237993707867</v>
      </c>
    </row>
    <row r="67" spans="2:10">
      <c r="G67" s="112">
        <f>IF(G62&lt;0,G65+360,G65)</f>
        <v>-61.113405974346925</v>
      </c>
      <c r="I67" s="115">
        <f>I66/J66</f>
        <v>28.647889756541165</v>
      </c>
      <c r="J67" s="115">
        <f>B65/60</f>
        <v>15.889983333333333</v>
      </c>
    </row>
    <row r="68" spans="2:10">
      <c r="J68" s="115">
        <f>(J67/60)*J66</f>
        <v>29.452714394341903</v>
      </c>
    </row>
    <row r="69" spans="2:10">
      <c r="I69" s="115">
        <f>I66/J65</f>
        <v>7.9577471545947673E-2</v>
      </c>
    </row>
    <row r="70" spans="2:10">
      <c r="I70" s="115">
        <f>I69*360</f>
        <v>28.647889756541161</v>
      </c>
    </row>
    <row r="72" spans="2:10">
      <c r="B72" s="54" t="s">
        <v>743</v>
      </c>
    </row>
    <row r="73" spans="2:10">
      <c r="F73" s="115" t="s">
        <v>820</v>
      </c>
      <c r="G73" s="121">
        <f>-SIN(((34/60)+G47)*PI()/180)-SIN(L3*PI()/180)*SIN(G59*PI()/180)</f>
        <v>-0.20356265818854741</v>
      </c>
      <c r="I73" s="79" t="s">
        <v>746</v>
      </c>
      <c r="J73" s="115" t="s">
        <v>811</v>
      </c>
    </row>
    <row r="74" spans="2:10">
      <c r="F74" s="115" t="s">
        <v>821</v>
      </c>
      <c r="G74" s="121">
        <f>COS(L3*PI()/180)*COS(G59*PI()/180)</f>
        <v>0.79112347563515473</v>
      </c>
      <c r="I74" s="79" t="s">
        <v>815</v>
      </c>
    </row>
    <row r="75" spans="2:10">
      <c r="E75" s="115" t="s">
        <v>817</v>
      </c>
      <c r="F75" s="115" t="s">
        <v>816</v>
      </c>
      <c r="G75" s="112">
        <f>ACOS(G73/G74)*180/PI()</f>
        <v>104.91040755036418</v>
      </c>
    </row>
    <row r="76" spans="2:10">
      <c r="E76" s="115" t="s">
        <v>818</v>
      </c>
      <c r="F76" s="115" t="s">
        <v>819</v>
      </c>
      <c r="G76" s="112">
        <f>ACOS(-G73/G74)*180/PI()</f>
        <v>75.089592449635802</v>
      </c>
    </row>
    <row r="79" spans="2:10" ht="15.6">
      <c r="I79" s="111"/>
      <c r="J79" s="113" t="s">
        <v>763</v>
      </c>
    </row>
    <row r="80" spans="2:10" ht="15.6">
      <c r="B80" s="54" t="s">
        <v>761</v>
      </c>
      <c r="I80" s="111"/>
      <c r="J80" s="113"/>
    </row>
    <row r="81" spans="2:12" ht="15" thickBot="1">
      <c r="F81" s="115" t="s">
        <v>822</v>
      </c>
      <c r="G81" s="149">
        <f>MOD(((-G75-K3+G66)/15),24)</f>
        <v>22.595745765019259</v>
      </c>
      <c r="I81" s="113" t="s">
        <v>764</v>
      </c>
      <c r="J81" s="92"/>
    </row>
    <row r="82" spans="2:12">
      <c r="I82" s="113"/>
      <c r="J82" s="93"/>
    </row>
    <row r="83" spans="2:12" ht="15.6">
      <c r="I83" s="111"/>
      <c r="J83" s="110">
        <v>15</v>
      </c>
    </row>
    <row r="84" spans="2:12">
      <c r="B84" s="54" t="s">
        <v>765</v>
      </c>
    </row>
    <row r="86" spans="2:12" ht="15">
      <c r="F86" s="115" t="s">
        <v>825</v>
      </c>
      <c r="G86" s="112">
        <f>0.997269566329875*(G81-G34)</f>
        <v>2.7679436411470077</v>
      </c>
      <c r="I86" s="79" t="s">
        <v>766</v>
      </c>
    </row>
    <row r="87" spans="2:12">
      <c r="G87" s="149">
        <f>MOD((G86+'sun rise'!H8),24)</f>
        <v>5.7679436411470082</v>
      </c>
    </row>
    <row r="88" spans="2:12">
      <c r="G88" s="149">
        <f>TRUNC(G87)</f>
        <v>5</v>
      </c>
    </row>
    <row r="89" spans="2:12">
      <c r="G89" s="149">
        <f>G87-G88</f>
        <v>0.76794364114700819</v>
      </c>
    </row>
    <row r="90" spans="2:12">
      <c r="G90" s="149">
        <f>G89*60</f>
        <v>46.076618468820492</v>
      </c>
    </row>
    <row r="91" spans="2:12">
      <c r="G91" s="149">
        <f>TRUNC(G90)</f>
        <v>46</v>
      </c>
    </row>
    <row r="92" spans="2:12" ht="15.6">
      <c r="G92" s="149">
        <f>(G90-G91)*60</f>
        <v>4.5971081292294969</v>
      </c>
      <c r="I92" s="111"/>
      <c r="J92" s="110" t="s">
        <v>623</v>
      </c>
      <c r="K92" s="114"/>
      <c r="L92" s="110" t="s">
        <v>591</v>
      </c>
    </row>
    <row r="93" spans="2:12" ht="15.75" customHeight="1" thickBot="1">
      <c r="F93" s="148" t="s">
        <v>1058</v>
      </c>
      <c r="G93" s="140">
        <f>TIME(G88,G91,G92)</f>
        <v>0.24032407407407408</v>
      </c>
      <c r="I93" s="113" t="s">
        <v>768</v>
      </c>
      <c r="J93" s="92"/>
      <c r="K93" s="113" t="s">
        <v>769</v>
      </c>
      <c r="L93" s="92"/>
    </row>
    <row r="94" spans="2:12">
      <c r="F94" s="148" t="s">
        <v>1059</v>
      </c>
      <c r="G94" s="112">
        <f>G87+G75/15</f>
        <v>12.761970811171288</v>
      </c>
      <c r="I94" s="113"/>
      <c r="J94" s="93"/>
      <c r="K94" s="113"/>
      <c r="L94" s="93"/>
    </row>
    <row r="95" spans="2:12" ht="15.6">
      <c r="F95" s="148" t="s">
        <v>1060</v>
      </c>
      <c r="G95" s="149">
        <f>TRUNC(G94)</f>
        <v>12</v>
      </c>
      <c r="I95" s="111"/>
      <c r="J95" s="110">
        <v>24</v>
      </c>
      <c r="K95" s="111"/>
      <c r="L95" s="110" t="s">
        <v>687</v>
      </c>
    </row>
    <row r="96" spans="2:12">
      <c r="G96" s="149">
        <f>G94-G95</f>
        <v>0.76197081117128818</v>
      </c>
    </row>
    <row r="97" spans="3:7">
      <c r="G97" s="149">
        <f>G96*60</f>
        <v>45.718248670277291</v>
      </c>
    </row>
    <row r="98" spans="3:7">
      <c r="G98" s="149">
        <f>TRUNC(G97)</f>
        <v>45</v>
      </c>
    </row>
    <row r="99" spans="3:7">
      <c r="C99" s="79"/>
      <c r="G99" s="149">
        <f>(G97-G98)*60</f>
        <v>43.094920216637433</v>
      </c>
    </row>
    <row r="100" spans="3:7">
      <c r="G100" s="140">
        <f>TIME(G95,G98,G99)</f>
        <v>0.53174768518518511</v>
      </c>
    </row>
    <row r="101" spans="3:7">
      <c r="G101" s="112">
        <f>G94+G75/15</f>
        <v>19.755997981195566</v>
      </c>
    </row>
    <row r="102" spans="3:7">
      <c r="G102" s="149">
        <f>TRUNC(G101)</f>
        <v>19</v>
      </c>
    </row>
    <row r="103" spans="3:7">
      <c r="G103" s="149">
        <f>G101-G102</f>
        <v>0.75599798119556638</v>
      </c>
    </row>
    <row r="104" spans="3:7">
      <c r="G104" s="149">
        <f>G103*60</f>
        <v>45.359878871733983</v>
      </c>
    </row>
    <row r="105" spans="3:7">
      <c r="G105" s="149">
        <f>TRUNC(G104)</f>
        <v>45</v>
      </c>
    </row>
    <row r="106" spans="3:7">
      <c r="G106" s="149">
        <f>(G104-G105)*60</f>
        <v>21.592732304038975</v>
      </c>
    </row>
    <row r="107" spans="3:7">
      <c r="G107" s="140">
        <f>TIME(G102,G105,G106)</f>
        <v>0.82315972222222233</v>
      </c>
    </row>
  </sheetData>
  <mergeCells count="6">
    <mergeCell ref="B65:B66"/>
    <mergeCell ref="E10:E11"/>
    <mergeCell ref="F10:F11"/>
    <mergeCell ref="G10:G11"/>
    <mergeCell ref="I28:I29"/>
    <mergeCell ref="I42:I4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B2:M85"/>
  <sheetViews>
    <sheetView topLeftCell="A6" workbookViewId="0">
      <selection activeCell="E9" sqref="E9"/>
    </sheetView>
  </sheetViews>
  <sheetFormatPr defaultRowHeight="14.4"/>
  <cols>
    <col min="5" max="5" width="18.33203125" customWidth="1"/>
    <col min="6" max="6" width="14.33203125" customWidth="1"/>
    <col min="8" max="8" width="11.6640625" bestFit="1" customWidth="1"/>
    <col min="11" max="11" width="61.109375" customWidth="1"/>
    <col min="12" max="12" width="31.33203125" customWidth="1"/>
    <col min="13" max="13" width="47" customWidth="1"/>
  </cols>
  <sheetData>
    <row r="2" spans="2:12" ht="15" thickBot="1">
      <c r="K2" s="17" t="s">
        <v>394</v>
      </c>
    </row>
    <row r="3" spans="2:12" ht="86.4">
      <c r="K3" s="3" t="s">
        <v>395</v>
      </c>
    </row>
    <row r="4" spans="2:12">
      <c r="K4" s="18"/>
    </row>
    <row r="5" spans="2:12" ht="28.8">
      <c r="K5" s="3" t="s">
        <v>396</v>
      </c>
    </row>
    <row r="6" spans="2:12" ht="15" thickBot="1">
      <c r="I6">
        <v>4790.0231897924268</v>
      </c>
      <c r="K6" s="38" t="s">
        <v>397</v>
      </c>
    </row>
    <row r="7" spans="2:12" ht="36" customHeight="1">
      <c r="E7" s="183" t="s">
        <v>1097</v>
      </c>
      <c r="F7" t="s">
        <v>429</v>
      </c>
      <c r="G7" t="s">
        <v>430</v>
      </c>
      <c r="H7" s="118" t="s">
        <v>1052</v>
      </c>
      <c r="I7">
        <f>MOD(I6,360)</f>
        <v>110.02318979242682</v>
      </c>
      <c r="K7" s="199"/>
      <c r="L7" s="201" t="s">
        <v>398</v>
      </c>
    </row>
    <row r="8" spans="2:12" ht="15" thickBot="1">
      <c r="E8">
        <f>Summary!F3</f>
        <v>7</v>
      </c>
      <c r="F8">
        <f>Summary!L3</f>
        <v>35.04</v>
      </c>
      <c r="G8" s="136">
        <f>Summary!M3</f>
        <v>32.200000000000003</v>
      </c>
      <c r="H8" s="183">
        <f>2+IF(E8=1,0,IF(E8=2,0,IF(E8=3,0,IF(E8=4,1,IF(E8=5,1,IF(E8=6,1,IF(E8=7,1,IF(E8=8,1,IF(E8=9,1,IF(E8=10,0,IF(E8=11,0,IF(E8=12,0))))))))))))</f>
        <v>3</v>
      </c>
      <c r="K8" s="200"/>
      <c r="L8" s="202"/>
    </row>
    <row r="9" spans="2:12" ht="31.8">
      <c r="B9" t="s">
        <v>459</v>
      </c>
      <c r="K9" s="2" t="s">
        <v>399</v>
      </c>
    </row>
    <row r="10" spans="2:12">
      <c r="K10" s="3" t="s">
        <v>400</v>
      </c>
    </row>
    <row r="11" spans="2:12">
      <c r="E11" t="s">
        <v>427</v>
      </c>
      <c r="F11">
        <f>'Geor-Jul'!F34-2451545.0009-(-F8/360)</f>
        <v>114367.14613240759</v>
      </c>
      <c r="H11">
        <v>4496.0747800925747</v>
      </c>
      <c r="K11" s="18"/>
    </row>
    <row r="12" spans="2:12">
      <c r="E12" t="s">
        <v>428</v>
      </c>
      <c r="F12">
        <f>0.5+F11</f>
        <v>114367.64613240759</v>
      </c>
      <c r="K12" s="18"/>
    </row>
    <row r="13" spans="2:12" ht="16.2">
      <c r="E13" t="s">
        <v>469</v>
      </c>
      <c r="F13">
        <f>2451545.0009+(-F8/360)+F12</f>
        <v>2565912.5496990741</v>
      </c>
      <c r="H13" s="5">
        <f>'Geor-Jul'!F34+0.5</f>
        <v>2565912.5496990741</v>
      </c>
      <c r="K13" s="2" t="s">
        <v>401</v>
      </c>
      <c r="L13" s="28" t="s">
        <v>402</v>
      </c>
    </row>
    <row r="14" spans="2:12">
      <c r="E14" t="s">
        <v>74</v>
      </c>
      <c r="F14">
        <f>formulas!N8</f>
        <v>37.725206181363319</v>
      </c>
      <c r="K14" s="39" t="s">
        <v>402</v>
      </c>
    </row>
    <row r="15" spans="2:12">
      <c r="E15" t="s">
        <v>466</v>
      </c>
      <c r="F15">
        <f>1.9148*SIN(PI()*F14/180)+0.02*SIN(PI()*2*F14/180)+0.0003*SIN(PI()*3*F14/180)</f>
        <v>1.1912527762892791</v>
      </c>
      <c r="H15">
        <v>4790.0231897924268</v>
      </c>
      <c r="K15" s="18" t="s">
        <v>403</v>
      </c>
    </row>
    <row r="16" spans="2:12" ht="15" thickBot="1">
      <c r="E16" t="s">
        <v>467</v>
      </c>
      <c r="F16">
        <f>MOD((F14+102.9372+F15+180),360)</f>
        <v>321.85365895765261</v>
      </c>
      <c r="K16" s="18" t="s">
        <v>404</v>
      </c>
    </row>
    <row r="17" spans="5:13" ht="16.2" thickBot="1">
      <c r="E17" t="s">
        <v>468</v>
      </c>
      <c r="F17" s="5">
        <f>F13+ 0.0053 * SIN(PI()*F14/180) - (0.0069 * SIN(2 * PI()*F16/180))</f>
        <v>2565912.5596454921</v>
      </c>
      <c r="H17">
        <f>MOD(H15,360)</f>
        <v>110.02318979242682</v>
      </c>
      <c r="K17" s="3" t="s">
        <v>405</v>
      </c>
      <c r="M17" s="41" t="s">
        <v>431</v>
      </c>
    </row>
    <row r="18" spans="5:13" ht="15" thickBot="1">
      <c r="E18" t="s">
        <v>461</v>
      </c>
      <c r="F18">
        <f>SIN(PI()*-0.83/180)</f>
        <v>-1.4485726138606464E-2</v>
      </c>
      <c r="K18" s="18"/>
      <c r="M18" s="41" t="s">
        <v>432</v>
      </c>
    </row>
    <row r="19" spans="5:13" ht="15" thickBot="1">
      <c r="E19" t="s">
        <v>462</v>
      </c>
      <c r="F19">
        <f>SIN(PI()*G8/180)*SIN(PI()*formulas!N24/180)</f>
        <v>-0.11453669460713305</v>
      </c>
      <c r="K19" s="2" t="s">
        <v>401</v>
      </c>
      <c r="M19" s="41" t="s">
        <v>433</v>
      </c>
    </row>
    <row r="20" spans="5:13" ht="15" thickBot="1">
      <c r="F20">
        <f>COS(PI()*G8/180)*COS(PI()*formulas!N24/180)</f>
        <v>0.82641521594816136</v>
      </c>
      <c r="H20" s="42" t="s">
        <v>463</v>
      </c>
      <c r="I20" s="42">
        <f>SIN(PI()*F16/180)*SIN(PI()*23.45/180)*180/PI()</f>
        <v>-14.083404957222191</v>
      </c>
      <c r="K20" s="18" t="s">
        <v>406</v>
      </c>
      <c r="M20" s="41" t="s">
        <v>434</v>
      </c>
    </row>
    <row r="21" spans="5:13" ht="16.2" thickBot="1">
      <c r="F21">
        <f>(F18-F19)/F20</f>
        <v>0.12106622256916733</v>
      </c>
      <c r="H21" s="42" t="s">
        <v>464</v>
      </c>
      <c r="I21" s="42">
        <f>ACOS(-TAN((G8*PI()/180))*TAN(I20*PI()/180))*180/PI()</f>
        <v>80.910085170525065</v>
      </c>
      <c r="K21" s="18" t="s">
        <v>407</v>
      </c>
      <c r="M21" s="41" t="s">
        <v>435</v>
      </c>
    </row>
    <row r="22" spans="5:13" ht="16.2" thickBot="1">
      <c r="E22" t="s">
        <v>465</v>
      </c>
      <c r="F22">
        <f>ACOS(F21)*(180/PI())</f>
        <v>83.046358704492619</v>
      </c>
      <c r="K22" s="3" t="s">
        <v>408</v>
      </c>
      <c r="M22" s="41" t="s">
        <v>436</v>
      </c>
    </row>
    <row r="23" spans="5:13" ht="15" thickBot="1">
      <c r="K23" s="18"/>
      <c r="M23" s="41" t="s">
        <v>437</v>
      </c>
    </row>
    <row r="24" spans="5:13" ht="15" thickBot="1">
      <c r="K24" s="2" t="s">
        <v>401</v>
      </c>
      <c r="M24" s="41" t="s">
        <v>438</v>
      </c>
    </row>
    <row r="25" spans="5:13" ht="15" thickBot="1">
      <c r="K25" s="39" t="s">
        <v>409</v>
      </c>
      <c r="M25" s="41" t="s">
        <v>439</v>
      </c>
    </row>
    <row r="26" spans="5:13" ht="15" thickBot="1">
      <c r="F26">
        <f>2451545.0009+((F22-F8)/360)</f>
        <v>2451545.1342509962</v>
      </c>
      <c r="K26" s="3" t="s">
        <v>410</v>
      </c>
      <c r="M26" s="41" t="s">
        <v>440</v>
      </c>
    </row>
    <row r="27" spans="5:13" ht="15" thickBot="1">
      <c r="F27">
        <f>F12+0.0053*SIN(F14*PI()/180)-0.0069*SIN(2*PI()*F16/180)</f>
        <v>114367.65607882559</v>
      </c>
      <c r="K27" s="18"/>
      <c r="M27" s="41" t="s">
        <v>441</v>
      </c>
    </row>
    <row r="28" spans="5:13" ht="18.600000000000001" thickBot="1">
      <c r="E28" s="43" t="s">
        <v>470</v>
      </c>
      <c r="F28">
        <f>F26+F27</f>
        <v>2565912.7903298219</v>
      </c>
      <c r="I28">
        <v>-173.08634924988834</v>
      </c>
      <c r="K28" s="2" t="s">
        <v>401</v>
      </c>
      <c r="M28" s="41" t="s">
        <v>442</v>
      </c>
    </row>
    <row r="29" spans="5:13">
      <c r="I29">
        <f>I28/15</f>
        <v>-11.539089949992556</v>
      </c>
      <c r="K29" s="39" t="s">
        <v>411</v>
      </c>
    </row>
    <row r="30" spans="5:13">
      <c r="K30" t="s">
        <v>460</v>
      </c>
    </row>
    <row r="31" spans="5:13" ht="18.600000000000001" customHeight="1">
      <c r="K31" s="3" t="s">
        <v>412</v>
      </c>
      <c r="M31" s="45" t="s">
        <v>471</v>
      </c>
    </row>
    <row r="32" spans="5:13" ht="15.6">
      <c r="E32" s="122" t="s">
        <v>870</v>
      </c>
      <c r="F32" s="5">
        <f>F17-(F28-F17)</f>
        <v>2565912.3289611624</v>
      </c>
      <c r="K32" s="18"/>
      <c r="M32" s="44"/>
    </row>
    <row r="33" spans="5:13" ht="24.6" customHeight="1">
      <c r="K33" s="2" t="s">
        <v>401</v>
      </c>
      <c r="M33" s="45" t="s">
        <v>443</v>
      </c>
    </row>
    <row r="34" spans="5:13" ht="15" thickBot="1">
      <c r="E34" s="118"/>
      <c r="K34" s="39" t="s">
        <v>413</v>
      </c>
      <c r="M34" s="44"/>
    </row>
    <row r="35" spans="5:13" ht="15.6" thickBot="1">
      <c r="K35" s="3" t="s">
        <v>414</v>
      </c>
      <c r="M35" s="46" t="s">
        <v>472</v>
      </c>
    </row>
    <row r="36" spans="5:13" ht="15.6" thickBot="1">
      <c r="K36" s="18"/>
      <c r="M36" s="46" t="s">
        <v>473</v>
      </c>
    </row>
    <row r="37" spans="5:13">
      <c r="K37" s="2" t="s">
        <v>401</v>
      </c>
      <c r="M37" s="44"/>
    </row>
    <row r="38" spans="5:13" ht="55.2">
      <c r="K38" s="39" t="s">
        <v>415</v>
      </c>
      <c r="M38" s="45" t="s">
        <v>444</v>
      </c>
    </row>
    <row r="39" spans="5:13" ht="15" thickBot="1">
      <c r="K39" s="3" t="s">
        <v>416</v>
      </c>
      <c r="M39" s="44"/>
    </row>
    <row r="40" spans="5:13" ht="15.6" thickBot="1">
      <c r="K40" s="18"/>
      <c r="M40" s="46" t="s">
        <v>474</v>
      </c>
    </row>
    <row r="41" spans="5:13">
      <c r="K41" s="2" t="s">
        <v>401</v>
      </c>
      <c r="M41" s="44"/>
    </row>
    <row r="42" spans="5:13" ht="41.4">
      <c r="K42" s="18" t="s">
        <v>417</v>
      </c>
      <c r="M42" s="45" t="s">
        <v>445</v>
      </c>
    </row>
    <row r="43" spans="5:13" ht="15" thickBot="1">
      <c r="K43" s="3" t="s">
        <v>418</v>
      </c>
      <c r="M43" s="44"/>
    </row>
    <row r="44" spans="5:13" ht="15.6" thickBot="1">
      <c r="K44" s="40" t="s">
        <v>419</v>
      </c>
      <c r="M44" s="46" t="s">
        <v>475</v>
      </c>
    </row>
    <row r="45" spans="5:13">
      <c r="K45" s="18"/>
      <c r="M45" s="44"/>
    </row>
    <row r="46" spans="5:13">
      <c r="K46" s="2" t="s">
        <v>401</v>
      </c>
      <c r="M46" s="45" t="s">
        <v>446</v>
      </c>
    </row>
    <row r="47" spans="5:13" ht="15" thickBot="1">
      <c r="K47" s="18" t="s">
        <v>420</v>
      </c>
      <c r="M47" s="44"/>
    </row>
    <row r="48" spans="5:13" ht="28.2" thickBot="1">
      <c r="K48" s="18" t="s">
        <v>421</v>
      </c>
      <c r="M48" s="46" t="s">
        <v>447</v>
      </c>
    </row>
    <row r="49" spans="11:13">
      <c r="K49" s="2" t="s">
        <v>422</v>
      </c>
      <c r="M49" s="44"/>
    </row>
    <row r="50" spans="11:13" ht="27.6">
      <c r="K50" s="3" t="s">
        <v>423</v>
      </c>
      <c r="M50" s="45" t="s">
        <v>448</v>
      </c>
    </row>
    <row r="51" spans="11:13" ht="15" thickBot="1">
      <c r="K51" s="18"/>
      <c r="M51" s="44"/>
    </row>
    <row r="52" spans="11:13" ht="15" thickBot="1">
      <c r="K52" s="18"/>
      <c r="M52" s="46" t="s">
        <v>449</v>
      </c>
    </row>
    <row r="53" spans="11:13">
      <c r="K53" s="2" t="s">
        <v>401</v>
      </c>
      <c r="M53" s="44"/>
    </row>
    <row r="54" spans="11:13" ht="27.6">
      <c r="K54" s="18" t="s">
        <v>424</v>
      </c>
      <c r="M54" s="45" t="s">
        <v>450</v>
      </c>
    </row>
    <row r="55" spans="11:13" ht="15" thickBot="1">
      <c r="K55" s="18" t="s">
        <v>425</v>
      </c>
      <c r="M55" s="44"/>
    </row>
    <row r="56" spans="11:13" ht="15.6" thickBot="1">
      <c r="K56" s="38" t="s">
        <v>426</v>
      </c>
      <c r="M56" s="46" t="s">
        <v>476</v>
      </c>
    </row>
    <row r="57" spans="11:13">
      <c r="M57" s="44"/>
    </row>
    <row r="58" spans="11:13" ht="27.6">
      <c r="M58" s="45" t="s">
        <v>451</v>
      </c>
    </row>
    <row r="59" spans="11:13" ht="15" thickBot="1">
      <c r="M59" s="44"/>
    </row>
    <row r="60" spans="11:13" ht="15" thickBot="1">
      <c r="M60" s="46" t="s">
        <v>452</v>
      </c>
    </row>
    <row r="61" spans="11:13">
      <c r="M61" s="44"/>
    </row>
    <row r="62" spans="11:13" ht="41.4">
      <c r="M62" s="45" t="s">
        <v>453</v>
      </c>
    </row>
    <row r="63" spans="11:13" ht="15" thickBot="1">
      <c r="M63" s="44"/>
    </row>
    <row r="64" spans="11:13" ht="29.4" thickBot="1">
      <c r="M64" s="46" t="s">
        <v>477</v>
      </c>
    </row>
    <row r="65" spans="5:13">
      <c r="M65" s="47" t="s">
        <v>454</v>
      </c>
    </row>
    <row r="66" spans="5:13">
      <c r="M66" s="44"/>
    </row>
    <row r="67" spans="5:13" ht="27.6">
      <c r="M67" s="45" t="s">
        <v>455</v>
      </c>
    </row>
    <row r="68" spans="5:13" ht="15" thickBot="1">
      <c r="M68" s="44"/>
    </row>
    <row r="69" spans="5:13" ht="15.6" thickBot="1">
      <c r="M69" s="46" t="s">
        <v>478</v>
      </c>
    </row>
    <row r="70" spans="5:13">
      <c r="M70" s="44"/>
    </row>
    <row r="71" spans="5:13" ht="41.4">
      <c r="M71" s="45" t="s">
        <v>456</v>
      </c>
    </row>
    <row r="72" spans="5:13" ht="15" thickBot="1">
      <c r="M72" s="44"/>
    </row>
    <row r="73" spans="5:13" ht="15.6" thickBot="1">
      <c r="M73" s="46" t="s">
        <v>479</v>
      </c>
    </row>
    <row r="74" spans="5:13">
      <c r="M74" s="44"/>
    </row>
    <row r="75" spans="5:13" ht="43.2">
      <c r="E75" s="48" t="s">
        <v>481</v>
      </c>
      <c r="M75" s="45" t="s">
        <v>457</v>
      </c>
    </row>
    <row r="76" spans="5:13" ht="19.2" thickBot="1">
      <c r="E76" s="49" t="s">
        <v>482</v>
      </c>
      <c r="K76" s="51" t="s">
        <v>484</v>
      </c>
      <c r="M76" s="44"/>
    </row>
    <row r="77" spans="5:13" ht="344.4" thickBot="1">
      <c r="E77" s="50" t="s">
        <v>483</v>
      </c>
      <c r="K77" s="53" t="s">
        <v>485</v>
      </c>
      <c r="M77" s="46" t="s">
        <v>480</v>
      </c>
    </row>
    <row r="78" spans="5:13" ht="103.8">
      <c r="K78" s="53" t="s">
        <v>486</v>
      </c>
      <c r="M78" s="44"/>
    </row>
    <row r="79" spans="5:13" ht="41.4">
      <c r="K79" s="53" t="s">
        <v>487</v>
      </c>
      <c r="M79" s="45" t="s">
        <v>458</v>
      </c>
    </row>
    <row r="80" spans="5:13" ht="58.2">
      <c r="K80" s="53" t="s">
        <v>488</v>
      </c>
    </row>
    <row r="81" spans="11:11">
      <c r="K81" s="52"/>
    </row>
    <row r="82" spans="11:11">
      <c r="K82" s="52"/>
    </row>
    <row r="83" spans="11:11">
      <c r="K83" s="52"/>
    </row>
    <row r="84" spans="11:11">
      <c r="K84" s="52"/>
    </row>
    <row r="85" spans="11:11">
      <c r="K85" s="52"/>
    </row>
  </sheetData>
  <mergeCells count="2">
    <mergeCell ref="K7:K8"/>
    <mergeCell ref="L7:L8"/>
  </mergeCells>
  <hyperlinks>
    <hyperlink ref="K3" r:id="rId1" tooltip="Atmospheric refraction" display="http://en.wikipedia.org/wiki/Atmospheric_refraction"/>
    <hyperlink ref="K5" r:id="rId2" tooltip="Altitude" display="http://en.wikipedia.org/wiki/Altitude"/>
    <hyperlink ref="K6" r:id="rId3" tooltip="Edit section: Complete calculation on Earth" display="http://en.wikipedia.org/w/index.php?title=Sunrise_equation&amp;action=edit&amp;section=3"/>
    <hyperlink ref="K10" r:id="rId4" tooltip="Edit section: Calculate current Julian Cycle" display="http://en.wikipedia.org/w/index.php?title=Sunrise_equation&amp;action=edit&amp;section=4"/>
    <hyperlink ref="K14" r:id="rId5" tooltip="Julian day" display="http://en.wikipedia.org/wiki/Julian_day"/>
    <hyperlink ref="K17" r:id="rId6" tooltip="Edit section: Approximate Solar Noon" display="http://en.wikipedia.org/w/index.php?title=Sunrise_equation&amp;action=edit&amp;section=5"/>
    <hyperlink ref="K22" r:id="rId7" tooltip="Edit section: Solar Mean Anomaly" display="http://en.wikipedia.org/w/index.php?title=Sunrise_equation&amp;action=edit&amp;section=6"/>
    <hyperlink ref="K25" r:id="rId8" tooltip="Mean Anomaly" display="http://en.wikipedia.org/wiki/Mean_Anomaly"/>
    <hyperlink ref="K26" r:id="rId9" tooltip="Edit section: Equation of Center" display="http://en.wikipedia.org/w/index.php?title=Sunrise_equation&amp;action=edit&amp;section=7"/>
    <hyperlink ref="K29" r:id="rId10" tooltip="Equation of the center" display="http://en.wikipedia.org/wiki/Equation_of_the_center"/>
    <hyperlink ref="K31" r:id="rId11" tooltip="Edit section: Ecliptic Longitude" display="http://en.wikipedia.org/w/index.php?title=Sunrise_equation&amp;action=edit&amp;section=8"/>
    <hyperlink ref="K34" r:id="rId12" tooltip="Ecliptic longitude" display="http://en.wikipedia.org/wiki/Ecliptic_longitude"/>
    <hyperlink ref="K35" r:id="rId13" tooltip="Edit section: Solar Transit" display="http://en.wikipedia.org/w/index.php?title=Sunrise_equation&amp;action=edit&amp;section=9"/>
    <hyperlink ref="K38" r:id="rId14" tooltip="Solar noon" display="http://en.wikipedia.org/wiki/Solar_noon"/>
    <hyperlink ref="K39" r:id="rId15" tooltip="Edit section: Declination of the Sun" display="http://en.wikipedia.org/w/index.php?title=Sunrise_equation&amp;action=edit&amp;section=10"/>
    <hyperlink ref="K43" r:id="rId16" tooltip="Edit section: Hour Angle" display="http://en.wikipedia.org/w/index.php?title=Sunrise_equation&amp;action=edit&amp;section=11"/>
    <hyperlink ref="K50" r:id="rId17" tooltip="Edit section: Calculate Sunrise and Sunset" display="http://en.wikipedia.org/w/index.php?title=Sunrise_equation&amp;action=edit&amp;section=12"/>
    <hyperlink ref="K56" r:id="rId18" tooltip="Edit section: See also" display="http://en.wikipedia.org/w/index.php?title=Sunrise_equation&amp;action=edit&amp;section=13"/>
    <hyperlink ref="L13" r:id="rId19" tooltip="Julian day" display="http://en.wikipedia.org/wiki/Julian_day"/>
  </hyperlinks>
  <pageMargins left="0.7" right="0.7" top="0.75" bottom="0.75" header="0.3" footer="0.3"/>
  <pageSetup paperSize="9" orientation="portrait" r:id="rId20"/>
  <drawing r:id="rId21"/>
</worksheet>
</file>

<file path=xl/worksheets/sheet24.xml><?xml version="1.0" encoding="utf-8"?>
<worksheet xmlns="http://schemas.openxmlformats.org/spreadsheetml/2006/main" xmlns:r="http://schemas.openxmlformats.org/officeDocument/2006/relationships">
  <dimension ref="D2:M17"/>
  <sheetViews>
    <sheetView topLeftCell="C1" workbookViewId="0">
      <selection activeCell="E15" sqref="E15"/>
    </sheetView>
  </sheetViews>
  <sheetFormatPr defaultRowHeight="14.4"/>
  <cols>
    <col min="5" max="5" width="31.33203125" customWidth="1"/>
    <col min="8" max="8" width="17.109375" customWidth="1"/>
    <col min="9" max="9" width="18.6640625" customWidth="1"/>
  </cols>
  <sheetData>
    <row r="2" spans="4:13" ht="15.6">
      <c r="E2" s="152" t="s">
        <v>820</v>
      </c>
      <c r="F2" s="152" t="s">
        <v>792</v>
      </c>
      <c r="G2" s="152" t="s">
        <v>1056</v>
      </c>
      <c r="H2" s="152"/>
      <c r="I2" s="152" t="s">
        <v>621</v>
      </c>
      <c r="J2" s="152" t="s">
        <v>605</v>
      </c>
      <c r="K2" s="152" t="s">
        <v>1055</v>
      </c>
      <c r="L2" s="152" t="s">
        <v>823</v>
      </c>
      <c r="M2" s="152" t="s">
        <v>824</v>
      </c>
    </row>
    <row r="3" spans="4:13" ht="15.6">
      <c r="E3" s="153">
        <f>Summary!E3</f>
        <v>2012</v>
      </c>
      <c r="F3" s="153">
        <f>Summary!F3</f>
        <v>7</v>
      </c>
      <c r="G3" s="153">
        <f>Summary!G3</f>
        <v>19</v>
      </c>
      <c r="H3" s="153">
        <f>G3+I4+J4+K4</f>
        <v>19</v>
      </c>
      <c r="I3" s="153">
        <f>Summary!I3</f>
        <v>0</v>
      </c>
      <c r="J3" s="153">
        <f>Summary!J3</f>
        <v>0</v>
      </c>
      <c r="K3" s="153">
        <f>Summary!K3</f>
        <v>0</v>
      </c>
      <c r="L3" s="153">
        <f>Summary!L3</f>
        <v>35.04</v>
      </c>
      <c r="M3" s="153">
        <f>Summary!M3</f>
        <v>32.200000000000003</v>
      </c>
    </row>
    <row r="4" spans="4:13" ht="18">
      <c r="E4" s="154">
        <f>IF(F3&lt;3,E3-1,E3)</f>
        <v>2012</v>
      </c>
      <c r="F4" s="154">
        <f>IF(F3&lt;3,F3+12,F3)</f>
        <v>7</v>
      </c>
      <c r="G4" s="154">
        <f>IF(H3&lt;3,G3,H3)</f>
        <v>19</v>
      </c>
      <c r="H4" s="154"/>
      <c r="I4" s="154">
        <f>I3/24</f>
        <v>0</v>
      </c>
      <c r="J4" s="154">
        <f>J3/(24*60)</f>
        <v>0</v>
      </c>
      <c r="K4" s="154">
        <f>(K3)/(24*3600)</f>
        <v>0</v>
      </c>
      <c r="L4" s="154"/>
      <c r="M4" s="154"/>
    </row>
    <row r="8" spans="4:13">
      <c r="H8" s="143"/>
    </row>
    <row r="10" spans="4:13" ht="15.6">
      <c r="D10" s="172" t="s">
        <v>1053</v>
      </c>
      <c r="E10" s="172">
        <f>INT(E4/100)</f>
        <v>20</v>
      </c>
    </row>
    <row r="11" spans="4:13" ht="15.6">
      <c r="D11" s="172" t="s">
        <v>1054</v>
      </c>
      <c r="E11" s="172">
        <f>IF(E3&lt;1582,0,2-E10+INT(E10/4))</f>
        <v>-13</v>
      </c>
    </row>
    <row r="12" spans="4:13" ht="25.8">
      <c r="D12" s="146" t="s">
        <v>795</v>
      </c>
      <c r="E12" s="147">
        <f>INT(365.25*(E4+4716))+INT(30.6001*(F4+1))+G4+E11-1524.5</f>
        <v>2456127.5</v>
      </c>
    </row>
    <row r="15" spans="4:13" ht="15">
      <c r="H15" s="144"/>
    </row>
    <row r="16" spans="4:13" ht="15">
      <c r="H16" s="144"/>
    </row>
    <row r="17" spans="8:8" ht="15">
      <c r="H17" s="144"/>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C3:H14"/>
  <sheetViews>
    <sheetView workbookViewId="0">
      <selection activeCell="C17" sqref="C17"/>
    </sheetView>
  </sheetViews>
  <sheetFormatPr defaultRowHeight="14.4"/>
  <cols>
    <col min="4" max="4" width="15.6640625" customWidth="1"/>
    <col min="7" max="7" width="14.6640625" customWidth="1"/>
    <col min="8" max="8" width="14.109375" customWidth="1"/>
  </cols>
  <sheetData>
    <row r="3" spans="3:8" ht="15.6">
      <c r="C3" s="164" t="s">
        <v>1076</v>
      </c>
      <c r="G3" s="164" t="s">
        <v>1075</v>
      </c>
    </row>
    <row r="5" spans="3:8" ht="15.6">
      <c r="C5" s="153" t="s">
        <v>794</v>
      </c>
      <c r="D5" s="158">
        <f>(Meeus!E12-2451545)/36525</f>
        <v>0.12546201232032855</v>
      </c>
    </row>
    <row r="6" spans="3:8">
      <c r="D6" s="158"/>
    </row>
    <row r="7" spans="3:8">
      <c r="D7" s="158"/>
    </row>
    <row r="8" spans="3:8">
      <c r="D8" s="158"/>
    </row>
    <row r="9" spans="3:8" ht="15.6">
      <c r="C9" s="153" t="s">
        <v>1057</v>
      </c>
      <c r="D9" s="158">
        <f>MOD(100.46061837+36000.77053608*$D$5+0.000387933*$D$5^2-$D$5^3/38710000,360)/15</f>
        <v>19.812649401018884</v>
      </c>
      <c r="G9" s="153" t="s">
        <v>1057</v>
      </c>
      <c r="H9">
        <f>MOD(280.46061837+360.98564736629*(Meeus!E12-2451545)+0.000387933*Sidereal!D5^2-Sidereal!D5^3/38710000,360)/15</f>
        <v>19.812645366679256</v>
      </c>
    </row>
    <row r="10" spans="3:8">
      <c r="D10" s="158">
        <f>TRUNC(D9)</f>
        <v>19</v>
      </c>
      <c r="G10" s="145"/>
      <c r="H10" s="145">
        <f>TRUNC(H9)</f>
        <v>19</v>
      </c>
    </row>
    <row r="11" spans="3:8">
      <c r="D11" s="158">
        <f>(D9-D10)*60</f>
        <v>48.758964061133057</v>
      </c>
      <c r="G11" s="145"/>
      <c r="H11" s="145">
        <f>(H9-H10)*60</f>
        <v>48.758722000755341</v>
      </c>
    </row>
    <row r="12" spans="3:8">
      <c r="D12" s="158">
        <f>TRUNC(D11)</f>
        <v>48</v>
      </c>
      <c r="G12" s="145"/>
      <c r="H12" s="145">
        <f>TRUNC(H11)</f>
        <v>48</v>
      </c>
    </row>
    <row r="13" spans="3:8">
      <c r="D13" s="158">
        <f>(D11-D12)*60</f>
        <v>45.537843667983395</v>
      </c>
      <c r="G13" s="145"/>
      <c r="H13" s="145">
        <f>(H11-H12)*60</f>
        <v>45.523320045320474</v>
      </c>
    </row>
    <row r="14" spans="3:8" ht="18">
      <c r="C14" s="153" t="s">
        <v>1057</v>
      </c>
      <c r="D14" s="166">
        <f>TIME(D10,D12,D13)</f>
        <v>0.82552083333333337</v>
      </c>
      <c r="G14" s="153" t="s">
        <v>1057</v>
      </c>
      <c r="H14" s="165">
        <f>TIME(H10,H12,H13)</f>
        <v>0.82552083333333337</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dimension ref="B6:E42"/>
  <sheetViews>
    <sheetView topLeftCell="A60" workbookViewId="0">
      <selection activeCell="C8" sqref="C8"/>
    </sheetView>
  </sheetViews>
  <sheetFormatPr defaultColWidth="8.88671875" defaultRowHeight="14.4"/>
  <cols>
    <col min="1" max="1" width="8.88671875" style="151"/>
    <col min="2" max="2" width="15.5546875" style="151" customWidth="1"/>
    <col min="3" max="3" width="14.88671875" style="151" customWidth="1"/>
    <col min="4" max="4" width="8.88671875" style="151"/>
    <col min="5" max="5" width="12.88671875" style="151" customWidth="1"/>
    <col min="6" max="16384" width="8.88671875" style="151"/>
  </cols>
  <sheetData>
    <row r="6" spans="2:3" ht="15.6">
      <c r="B6" s="153" t="s">
        <v>794</v>
      </c>
      <c r="C6" s="161">
        <f>EQT!I7</f>
        <v>0.12546201232032855</v>
      </c>
    </row>
    <row r="7" spans="2:3" ht="15.6">
      <c r="B7" s="153" t="s">
        <v>804</v>
      </c>
      <c r="C7" s="161">
        <f>MOD((280.46645+36000.76983*C6+0.0003032*C6^2),360)</f>
        <v>117.19548272535758</v>
      </c>
    </row>
    <row r="8" spans="2:3" ht="15.6">
      <c r="B8" s="153" t="s">
        <v>74</v>
      </c>
      <c r="C8" s="161">
        <f>MOD((357.5291+35999.0503*C6-0.0001559*C6^2-0*C6^3),360)</f>
        <v>194.04238980474929</v>
      </c>
    </row>
    <row r="9" spans="2:3" ht="15.6">
      <c r="B9" s="153" t="s">
        <v>24</v>
      </c>
      <c r="C9" s="161">
        <f>0.016708617-0.000042037*C6-0.0000001236*C6^2</f>
        <v>1.6703341007835527E-2</v>
      </c>
    </row>
    <row r="10" spans="2:3" ht="15.6">
      <c r="B10" s="153" t="s">
        <v>1065</v>
      </c>
      <c r="C10" s="161">
        <f>(1.9146-0.004817*C6-0.000014*C6^2)*SIN(C8*PI()/180)+(0.019993-0.000101*C6)*SIN(2*C8*PI()/180+0.00029*SIN(3*C8*PI()/180))</f>
        <v>-0.45500840581656921</v>
      </c>
    </row>
    <row r="11" spans="2:3" ht="15.6">
      <c r="B11" s="153"/>
      <c r="C11" s="162"/>
    </row>
    <row r="12" spans="2:3" ht="15.6">
      <c r="B12" s="153" t="s">
        <v>1066</v>
      </c>
      <c r="C12" s="161">
        <f>C7+C10</f>
        <v>116.74047431954101</v>
      </c>
    </row>
    <row r="13" spans="2:3" ht="15.6">
      <c r="B13" s="153" t="s">
        <v>76</v>
      </c>
      <c r="C13" s="161">
        <f>C8+C10</f>
        <v>193.58738139893273</v>
      </c>
    </row>
    <row r="16" spans="2:3" ht="15.6">
      <c r="B16" s="153" t="s">
        <v>23</v>
      </c>
      <c r="C16" s="161">
        <f>1.000001018*(1-C9^2)/(1+C9*COS(C13*PI()/180))</f>
        <v>1.0162212426074826</v>
      </c>
    </row>
    <row r="21" spans="2:3" ht="15.6">
      <c r="B21" s="153" t="s">
        <v>1067</v>
      </c>
      <c r="C21" s="161">
        <f>125.04-1934.136*C6</f>
        <v>-117.62059466119096</v>
      </c>
    </row>
    <row r="22" spans="2:3" ht="15.6">
      <c r="B22" s="153" t="s">
        <v>1068</v>
      </c>
      <c r="C22" s="161">
        <f>C12-0.00569-0.00478*SIN(C21*PI()/180)</f>
        <v>116.73901957636615</v>
      </c>
    </row>
    <row r="23" spans="2:3">
      <c r="C23" s="151">
        <f>[1]meeus!F3</f>
        <v>11</v>
      </c>
    </row>
    <row r="24" spans="2:3">
      <c r="C24" s="151">
        <f>'[1]D-num'!D15</f>
        <v>320</v>
      </c>
    </row>
    <row r="25" spans="2:3" ht="15.6">
      <c r="B25" s="153" t="s">
        <v>1069</v>
      </c>
      <c r="C25" s="161">
        <f>IF(C24&gt;182,180,IF(C24&gt;275,0,0))</f>
        <v>180</v>
      </c>
    </row>
    <row r="27" spans="2:3" ht="15.6">
      <c r="B27" s="153" t="s">
        <v>1070</v>
      </c>
      <c r="C27" s="161">
        <f>[1]CLAC!E38</f>
        <v>23.474197722922113</v>
      </c>
    </row>
    <row r="29" spans="2:3" ht="15.6">
      <c r="B29" s="153" t="s">
        <v>1071</v>
      </c>
      <c r="C29" s="155">
        <f>ATAN(COS(C27*PI()/180)*SIN(C12*PI()/180)/(COS(C12*PI()/180)))*180/PI()</f>
        <v>-61.220327634253785</v>
      </c>
    </row>
    <row r="30" spans="2:3">
      <c r="C30" s="151">
        <f>IF(C$24&lt;81,MOD(C29,360),IF(C$24&lt;265,C29,IF(C$24&gt;356,MOD(C29,360),C29+180)))</f>
        <v>118.77967236574622</v>
      </c>
    </row>
    <row r="31" spans="2:3">
      <c r="C31" s="151">
        <f>C30/15</f>
        <v>7.9186448243830814</v>
      </c>
    </row>
    <row r="34" spans="2:5" ht="15.6">
      <c r="B34" s="153" t="s">
        <v>1072</v>
      </c>
      <c r="C34" s="151">
        <f>C27+0.00256*COS(C21*PI()/180)</f>
        <v>23.473010869683545</v>
      </c>
    </row>
    <row r="35" spans="2:5" ht="21">
      <c r="B35" s="153" t="s">
        <v>1073</v>
      </c>
      <c r="C35" s="156">
        <f>ATAN(COS(C34*PI()/180)*SIN(C22*PI()/180)/COS(C22*PI()/180))*180/PI()</f>
        <v>-61.222072789376689</v>
      </c>
    </row>
    <row r="36" spans="2:5">
      <c r="C36" s="151">
        <f>IF(C$24&lt;81,MOD(C35,360),IF(C$24&lt;265,C35,IF(C$24&gt;356,MOD(C35,360),C35+180)))</f>
        <v>118.77792721062332</v>
      </c>
    </row>
    <row r="37" spans="2:5">
      <c r="C37" s="151">
        <f>IF(C36/15&gt;24,(C35/15)-24,C36/15)</f>
        <v>7.918528480708221</v>
      </c>
      <c r="E37" s="151">
        <f>C37-[1]CLAC!E42</f>
        <v>2.7302674003652321</v>
      </c>
    </row>
    <row r="38" spans="2:5">
      <c r="C38" s="151">
        <f>TRUNC(C37)</f>
        <v>7</v>
      </c>
    </row>
    <row r="39" spans="2:5">
      <c r="C39" s="151">
        <f>(C37-C38)*60</f>
        <v>55.111708842493258</v>
      </c>
    </row>
    <row r="40" spans="2:5">
      <c r="C40" s="151">
        <f>TRUNC(C39)</f>
        <v>55</v>
      </c>
    </row>
    <row r="41" spans="2:5">
      <c r="C41" s="151">
        <f>(C39-C40)*60</f>
        <v>6.7025305495954512</v>
      </c>
    </row>
    <row r="42" spans="2:5" ht="21">
      <c r="B42" s="153" t="s">
        <v>1074</v>
      </c>
      <c r="C42" s="157">
        <f>TIME(C38,C40,C41)</f>
        <v>0.32993055555555556</v>
      </c>
      <c r="E42" s="157"/>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D2:M54"/>
  <sheetViews>
    <sheetView topLeftCell="C44" workbookViewId="0">
      <selection activeCell="E45" sqref="E45:E48"/>
    </sheetView>
  </sheetViews>
  <sheetFormatPr defaultColWidth="8.88671875" defaultRowHeight="14.4"/>
  <cols>
    <col min="1" max="4" width="8.88671875" style="151"/>
    <col min="5" max="5" width="12" style="151" bestFit="1" customWidth="1"/>
    <col min="6" max="8" width="8.88671875" style="151"/>
    <col min="9" max="9" width="19.6640625" style="151" customWidth="1"/>
    <col min="10" max="16384" width="8.88671875" style="151"/>
  </cols>
  <sheetData>
    <row r="2" spans="4:13" ht="15.6">
      <c r="D2" s="152" t="str">
        <f>[1]meeus!E2</f>
        <v>y</v>
      </c>
      <c r="E2" s="152" t="str">
        <f>[1]meeus!F2</f>
        <v>m</v>
      </c>
      <c r="F2" s="152" t="str">
        <f>[1]meeus!G2</f>
        <v>D</v>
      </c>
      <c r="G2" s="152"/>
      <c r="H2" s="152" t="str">
        <f>[1]meeus!I2</f>
        <v>H</v>
      </c>
      <c r="I2" s="152" t="str">
        <f>[1]meeus!J2</f>
        <v>M</v>
      </c>
      <c r="J2" s="152" t="str">
        <f>[1]meeus!K2</f>
        <v>S</v>
      </c>
      <c r="K2" s="152" t="str">
        <f>[1]meeus!L2</f>
        <v>Long.</v>
      </c>
      <c r="L2" s="152" t="str">
        <f>[1]meeus!M2</f>
        <v>Lat.</v>
      </c>
      <c r="M2" s="152"/>
    </row>
    <row r="3" spans="4:13" ht="15.6">
      <c r="D3" s="153">
        <f>Meeus!E3</f>
        <v>2012</v>
      </c>
      <c r="E3" s="153">
        <f>Meeus!F3</f>
        <v>7</v>
      </c>
      <c r="F3" s="153">
        <f>Meeus!G3</f>
        <v>19</v>
      </c>
      <c r="G3" s="153">
        <f>Meeus!H3</f>
        <v>19</v>
      </c>
      <c r="H3" s="153">
        <f>Meeus!I3</f>
        <v>0</v>
      </c>
      <c r="I3" s="153">
        <f>Meeus!J3</f>
        <v>0</v>
      </c>
      <c r="J3" s="153">
        <f>Meeus!K3</f>
        <v>0</v>
      </c>
      <c r="K3" s="153">
        <f>Meeus!L3</f>
        <v>35.04</v>
      </c>
      <c r="L3" s="153">
        <f>Meeus!M3</f>
        <v>32.200000000000003</v>
      </c>
      <c r="M3" s="153"/>
    </row>
    <row r="4" spans="4:13" ht="18">
      <c r="D4" s="154">
        <f>IF(E3&lt;3,D3-1,D3)</f>
        <v>2012</v>
      </c>
      <c r="E4" s="154">
        <f>IF(E3&lt;3,E3+12,E3)</f>
        <v>7</v>
      </c>
      <c r="F4" s="154">
        <f>IF(G3&lt;3,F3,G3)</f>
        <v>19</v>
      </c>
      <c r="G4" s="154"/>
      <c r="H4" s="154">
        <f>H3/24</f>
        <v>0</v>
      </c>
      <c r="I4" s="154">
        <f>I3/(24*60)</f>
        <v>0</v>
      </c>
      <c r="J4" s="154">
        <f>(J3)/(24*3600)</f>
        <v>0</v>
      </c>
      <c r="K4" s="154">
        <f>Meeus!L4</f>
        <v>0</v>
      </c>
      <c r="L4" s="154">
        <f>Meeus!M4</f>
        <v>0</v>
      </c>
      <c r="M4" s="154"/>
    </row>
    <row r="7" spans="4:13">
      <c r="H7" s="151" t="s">
        <v>1061</v>
      </c>
      <c r="I7" s="151">
        <f>(Meeus!E12-2451545)/36525</f>
        <v>0.12546201232032855</v>
      </c>
    </row>
    <row r="8" spans="4:13">
      <c r="H8" s="151" t="s">
        <v>1062</v>
      </c>
      <c r="I8" s="151">
        <f>(Meeus!E12-2451545)/365250</f>
        <v>1.2546201232032855E-2</v>
      </c>
    </row>
    <row r="9" spans="4:13">
      <c r="H9" s="151" t="s">
        <v>804</v>
      </c>
      <c r="I9" s="151">
        <f>MOD(280.4664567+360007.6982779*I8+0.03032028*I8^2*I8^3/49931-I8^4/15299-I8^5/1988000,360)</f>
        <v>117.19548437549929</v>
      </c>
    </row>
    <row r="10" spans="4:13">
      <c r="H10" s="151" t="s">
        <v>74</v>
      </c>
      <c r="I10" s="151">
        <f>'Sun-Coord'!C8</f>
        <v>194.04238980474929</v>
      </c>
    </row>
    <row r="11" spans="4:13">
      <c r="H11" s="151" t="s">
        <v>24</v>
      </c>
      <c r="I11" s="151">
        <f>'Sun-Coord'!C9</f>
        <v>1.6703341007835527E-2</v>
      </c>
    </row>
    <row r="12" spans="4:13">
      <c r="H12" s="151" t="s">
        <v>466</v>
      </c>
      <c r="I12" s="151">
        <f>'Sun-Coord'!C10</f>
        <v>-0.45500840581656921</v>
      </c>
    </row>
    <row r="13" spans="4:13">
      <c r="H13" s="151" t="s">
        <v>1063</v>
      </c>
      <c r="I13" s="151">
        <f>E44</f>
        <v>23.439164228241889</v>
      </c>
    </row>
    <row r="14" spans="4:13">
      <c r="H14" s="151" t="s">
        <v>7</v>
      </c>
      <c r="I14" s="151">
        <f>TAN((I13*PI()/180)/2)^2</f>
        <v>4.3034050106832665E-2</v>
      </c>
    </row>
    <row r="17" spans="5:9">
      <c r="H17" s="151" t="s">
        <v>73</v>
      </c>
      <c r="I17" s="151">
        <f>I14*SIN(2*I9*PI()/180)-2*I11*SIN(I10*PI()/180)+4*I11*I14*SIN(I10*PI()/180)*COS(2*I9*PI()/180)-0.5*I14^2*SIN(4*I9*PI()/180)-(5/4)*I11^2*SIN(2*I10*PI()/180)</f>
        <v>-2.7515917799026068E-2</v>
      </c>
    </row>
    <row r="18" spans="5:9">
      <c r="I18" s="151">
        <f>I17*180/PI()</f>
        <v>-1.576545959313095</v>
      </c>
    </row>
    <row r="19" spans="5:9">
      <c r="I19" s="151">
        <f>I18*4</f>
        <v>-6.3061838372523802</v>
      </c>
    </row>
    <row r="20" spans="5:9">
      <c r="E20" s="159"/>
      <c r="I20" s="151">
        <f>TRUNC(I19)</f>
        <v>-6</v>
      </c>
    </row>
    <row r="21" spans="5:9">
      <c r="I21" s="151">
        <f>(I19-I20)*60</f>
        <v>-18.371030235142811</v>
      </c>
    </row>
    <row r="23" spans="5:9" ht="21">
      <c r="H23" s="154" t="s">
        <v>1064</v>
      </c>
      <c r="I23" s="160" t="e">
        <f>TIME(0,I20,I21)</f>
        <v>#NUM!</v>
      </c>
    </row>
    <row r="32" spans="5:9">
      <c r="E32" s="151">
        <v>23</v>
      </c>
      <c r="F32" s="151">
        <v>26</v>
      </c>
      <c r="G32" s="151">
        <v>21</v>
      </c>
      <c r="H32" s="151">
        <v>448</v>
      </c>
    </row>
    <row r="33" spans="4:8">
      <c r="D33" s="151">
        <f>SUM(E33:H33)</f>
        <v>23.441240740740739</v>
      </c>
      <c r="E33" s="151">
        <f>E32</f>
        <v>23</v>
      </c>
      <c r="F33" s="151">
        <f>F32/60</f>
        <v>0.43333333333333335</v>
      </c>
      <c r="G33" s="151">
        <f>G32/3600</f>
        <v>5.8333333333333336E-3</v>
      </c>
      <c r="H33" s="151">
        <f>H32/(3600*60)</f>
        <v>2.0740740740740741E-3</v>
      </c>
    </row>
    <row r="35" spans="4:8">
      <c r="E35" s="151">
        <v>0</v>
      </c>
      <c r="F35" s="151">
        <v>0</v>
      </c>
      <c r="G35" s="151">
        <v>46</v>
      </c>
      <c r="H35" s="151">
        <v>815</v>
      </c>
    </row>
    <row r="36" spans="4:8">
      <c r="D36" s="151">
        <f>SUM(E36:H36)</f>
        <v>1.6550925925925927E-2</v>
      </c>
      <c r="E36" s="151">
        <f>E35</f>
        <v>0</v>
      </c>
      <c r="F36" s="151">
        <f>F35/60</f>
        <v>0</v>
      </c>
      <c r="G36" s="151">
        <f>G35/3600</f>
        <v>1.2777777777777779E-2</v>
      </c>
      <c r="H36" s="151">
        <f>H35/(3600*60)</f>
        <v>3.7731481481481483E-3</v>
      </c>
    </row>
    <row r="38" spans="4:8">
      <c r="E38" s="151">
        <v>0</v>
      </c>
      <c r="F38" s="151">
        <v>0</v>
      </c>
      <c r="G38" s="151">
        <v>0</v>
      </c>
      <c r="H38" s="151">
        <v>5.9000000000000003E-4</v>
      </c>
    </row>
    <row r="39" spans="4:8">
      <c r="D39" s="151">
        <f>SUM(E39:H39)</f>
        <v>2.7314814814814814E-9</v>
      </c>
      <c r="E39" s="151">
        <f>E38</f>
        <v>0</v>
      </c>
      <c r="F39" s="151">
        <f>F38/60</f>
        <v>0</v>
      </c>
      <c r="G39" s="151">
        <f>G38/3600</f>
        <v>0</v>
      </c>
      <c r="H39" s="151">
        <f>H38/(3600*60)</f>
        <v>2.7314814814814814E-9</v>
      </c>
    </row>
    <row r="41" spans="4:8">
      <c r="E41" s="151">
        <v>0</v>
      </c>
      <c r="F41" s="151">
        <v>0</v>
      </c>
      <c r="G41" s="151">
        <v>0</v>
      </c>
      <c r="H41" s="151">
        <v>1.8129999999999999E-3</v>
      </c>
    </row>
    <row r="42" spans="4:8">
      <c r="D42" s="151">
        <f>SUM(E42:H42)</f>
        <v>8.3935185185185185E-9</v>
      </c>
      <c r="E42" s="151">
        <f>E41</f>
        <v>0</v>
      </c>
      <c r="F42" s="151">
        <f>F41/60</f>
        <v>0</v>
      </c>
      <c r="G42" s="151">
        <f>G41/3600</f>
        <v>0</v>
      </c>
      <c r="H42" s="151">
        <f>H41/(3600*60)</f>
        <v>8.3935185185185185E-9</v>
      </c>
    </row>
    <row r="44" spans="4:8">
      <c r="D44" s="151" t="s">
        <v>1063</v>
      </c>
      <c r="E44" s="151">
        <f>D33-D36*I7-D39*I7^2+D42*I7^3</f>
        <v>23.439164228241889</v>
      </c>
    </row>
    <row r="45" spans="4:8">
      <c r="E45" s="151">
        <f>TRUNC(E44)</f>
        <v>23</v>
      </c>
    </row>
    <row r="46" spans="4:8">
      <c r="E46" s="151">
        <f>(E44-E45)*60</f>
        <v>26.349853694513357</v>
      </c>
    </row>
    <row r="47" spans="4:8">
      <c r="E47" s="170">
        <f>TRUNC(E46)</f>
        <v>26</v>
      </c>
    </row>
    <row r="48" spans="4:8">
      <c r="E48" s="170">
        <f>(E46-E47)*60</f>
        <v>20.991221670801394</v>
      </c>
    </row>
    <row r="49" spans="4:5">
      <c r="E49" s="170"/>
    </row>
    <row r="53" spans="4:5">
      <c r="D53" s="173" t="s">
        <v>1095</v>
      </c>
      <c r="E53" s="151">
        <f>I7/100</f>
        <v>1.2546201232032856E-3</v>
      </c>
    </row>
    <row r="54" spans="4:5">
      <c r="D54" s="173" t="s">
        <v>1096</v>
      </c>
      <c r="E54" s="151">
        <f>(23+(26/60)+(21/3600)+(0.448/(3600*60)))-(4680.93*E53-1.55*E53^2+1999.25*E53^3-51.38*E53^4-249.67*E53^5-39.05*E53^6+7.12*E53^7+27.87*E53^8+5.79*E53^9+2.45*E53^10)/3600</f>
        <v>23.437537410051405</v>
      </c>
    </row>
  </sheetData>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dimension ref="E2:N13"/>
  <sheetViews>
    <sheetView tabSelected="1" workbookViewId="0">
      <selection activeCell="J10" sqref="J10"/>
    </sheetView>
  </sheetViews>
  <sheetFormatPr defaultRowHeight="14.4"/>
  <cols>
    <col min="6" max="7" width="11.33203125" bestFit="1" customWidth="1"/>
    <col min="12" max="12" width="13.109375" customWidth="1"/>
    <col min="13" max="13" width="12.44140625" customWidth="1"/>
    <col min="14" max="14" width="12.6640625" customWidth="1"/>
  </cols>
  <sheetData>
    <row r="2" spans="5:14" ht="15.6">
      <c r="E2" s="163" t="s">
        <v>791</v>
      </c>
      <c r="F2" s="163" t="s">
        <v>792</v>
      </c>
      <c r="G2" s="163" t="s">
        <v>1056</v>
      </c>
      <c r="H2" s="163"/>
      <c r="I2" s="163" t="s">
        <v>621</v>
      </c>
      <c r="J2" s="163" t="s">
        <v>605</v>
      </c>
      <c r="K2" s="163" t="s">
        <v>1055</v>
      </c>
      <c r="L2" s="163" t="s">
        <v>823</v>
      </c>
      <c r="M2" s="163" t="s">
        <v>824</v>
      </c>
      <c r="N2" s="163"/>
    </row>
    <row r="3" spans="5:14" ht="15.6">
      <c r="E3" s="153">
        <v>2012</v>
      </c>
      <c r="F3" s="153">
        <v>7</v>
      </c>
      <c r="G3" s="153">
        <v>19</v>
      </c>
      <c r="H3" s="153"/>
      <c r="I3" s="153">
        <v>0</v>
      </c>
      <c r="J3" s="153">
        <v>0</v>
      </c>
      <c r="K3" s="153">
        <v>0</v>
      </c>
      <c r="L3" s="153">
        <v>35.04</v>
      </c>
      <c r="M3" s="153">
        <v>32.200000000000003</v>
      </c>
      <c r="N3" s="153"/>
    </row>
    <row r="10" spans="5:14" ht="15.6">
      <c r="L10" s="153"/>
      <c r="M10" s="153" t="s">
        <v>1077</v>
      </c>
      <c r="N10" s="153" t="s">
        <v>1078</v>
      </c>
    </row>
    <row r="11" spans="5:14" ht="27" customHeight="1">
      <c r="L11" s="153" t="s">
        <v>1058</v>
      </c>
      <c r="M11" s="167">
        <f>'alg3'!G93</f>
        <v>0.24032407407407408</v>
      </c>
      <c r="N11" s="167">
        <f>'NEW2'!G123</f>
        <v>0.24135416666666668</v>
      </c>
    </row>
    <row r="12" spans="5:14" ht="29.4" customHeight="1">
      <c r="L12" s="153" t="s">
        <v>1059</v>
      </c>
      <c r="M12" s="169">
        <f>'alg3'!G100</f>
        <v>0.53174768518518511</v>
      </c>
      <c r="N12" s="169">
        <f>'NEW2'!G130</f>
        <v>0.53189814814814818</v>
      </c>
    </row>
    <row r="13" spans="5:14" ht="25.2" customHeight="1">
      <c r="L13" s="153" t="s">
        <v>1060</v>
      </c>
      <c r="M13" s="168">
        <f>'alg3'!G107</f>
        <v>0.82315972222222233</v>
      </c>
      <c r="N13" s="168">
        <f>'NEW2'!G137</f>
        <v>0.8224421296296297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B1:R87"/>
  <sheetViews>
    <sheetView topLeftCell="A65" zoomScale="96" zoomScaleNormal="96" workbookViewId="0">
      <selection activeCell="Q82" sqref="Q82"/>
    </sheetView>
  </sheetViews>
  <sheetFormatPr defaultRowHeight="14.4"/>
  <cols>
    <col min="2" max="2" width="8.88671875" style="171"/>
    <col min="3" max="3" width="12.6640625" style="171" customWidth="1"/>
    <col min="4" max="6" width="8.88671875" style="171"/>
    <col min="9" max="9" width="8.88671875" style="170"/>
    <col min="13" max="13" width="11.5546875" customWidth="1"/>
    <col min="14" max="14" width="11.33203125" style="171" customWidth="1"/>
    <col min="15" max="15" width="12.5546875" style="171" customWidth="1"/>
    <col min="16" max="16" width="13.33203125" style="171" customWidth="1"/>
    <col min="17" max="17" width="16" style="171" customWidth="1"/>
    <col min="18" max="18" width="11.88671875" customWidth="1"/>
  </cols>
  <sheetData>
    <row r="1" spans="2:18" ht="15.6">
      <c r="B1" s="176" t="str">
        <f>'Sun-Coord'!B6</f>
        <v>T=</v>
      </c>
      <c r="C1" s="176">
        <f>'Sun-Coord'!C6</f>
        <v>0.12546201232032855</v>
      </c>
    </row>
    <row r="2" spans="2:18" ht="15.6">
      <c r="B2" s="176" t="str">
        <f>'Sun-Coord'!B7</f>
        <v>Lo=</v>
      </c>
      <c r="C2" s="176">
        <f>'Sun-Coord'!C7</f>
        <v>117.19548272535758</v>
      </c>
    </row>
    <row r="3" spans="2:18" ht="15.6">
      <c r="B3" s="176" t="str">
        <f>'Sun-Coord'!B8</f>
        <v>M=</v>
      </c>
      <c r="C3" s="176">
        <f>'Sun-Coord'!C8</f>
        <v>194.04238980474929</v>
      </c>
      <c r="P3" s="171" t="s">
        <v>1094</v>
      </c>
      <c r="Q3" s="171">
        <f>EQT!E54</f>
        <v>23.437537410051405</v>
      </c>
      <c r="R3">
        <f>Q3</f>
        <v>23.437537410051405</v>
      </c>
    </row>
    <row r="4" spans="2:18" ht="15.6">
      <c r="B4" s="176" t="str">
        <f>'Sun-Coord'!B9</f>
        <v>e=</v>
      </c>
      <c r="C4" s="176">
        <f>'Sun-Coord'!C9</f>
        <v>1.6703341007835527E-2</v>
      </c>
      <c r="Q4" s="171">
        <f>Q3+'si-eps'!P87</f>
        <v>23.436261184410871</v>
      </c>
      <c r="R4" s="173">
        <f>TRUNC(R3)</f>
        <v>23</v>
      </c>
    </row>
    <row r="5" spans="2:18" ht="15.6">
      <c r="B5" s="176" t="str">
        <f>'Sun-Coord'!B10</f>
        <v>c=</v>
      </c>
      <c r="C5" s="176">
        <f>'Sun-Coord'!C10</f>
        <v>-0.45500840581656921</v>
      </c>
      <c r="Q5" s="174">
        <f>TRUNC(Q4)</f>
        <v>23</v>
      </c>
      <c r="R5" s="173">
        <f>(R3-R4)*60</f>
        <v>26.252244603084307</v>
      </c>
    </row>
    <row r="6" spans="2:18" ht="15.6">
      <c r="B6" s="176">
        <f>'Sun-Coord'!B11</f>
        <v>0</v>
      </c>
      <c r="C6" s="176">
        <f>'Sun-Coord'!C11</f>
        <v>0</v>
      </c>
      <c r="Q6" s="174">
        <f>(Q4-Q5)*60</f>
        <v>26.175671064652235</v>
      </c>
      <c r="R6" s="173">
        <f>TRUNC(R5)</f>
        <v>26</v>
      </c>
    </row>
    <row r="7" spans="2:18" ht="15.6">
      <c r="B7" s="176" t="str">
        <f>'Sun-Coord'!B12</f>
        <v>theta-s=</v>
      </c>
      <c r="C7" s="176">
        <f>'Sun-Coord'!C12</f>
        <v>116.74047431954101</v>
      </c>
      <c r="Q7" s="174">
        <f>TRUNC(Q6)</f>
        <v>26</v>
      </c>
      <c r="R7" s="173">
        <f>(R5-R6)*60</f>
        <v>15.134676185058424</v>
      </c>
    </row>
    <row r="8" spans="2:18" ht="15.6">
      <c r="B8" s="176" t="str">
        <f>'Sun-Coord'!B13</f>
        <v>v=</v>
      </c>
      <c r="C8" s="176">
        <f>'Sun-Coord'!C13</f>
        <v>193.58738139893273</v>
      </c>
      <c r="Q8" s="174">
        <f>(Q6-Q7)*60</f>
        <v>10.540263879134102</v>
      </c>
      <c r="R8" s="174"/>
    </row>
    <row r="9" spans="2:18" ht="15.6">
      <c r="B9" s="176">
        <f>'Sun-Coord'!B14</f>
        <v>0</v>
      </c>
      <c r="C9" s="176">
        <f>'Sun-Coord'!C14</f>
        <v>0</v>
      </c>
    </row>
    <row r="10" spans="2:18" ht="15.6">
      <c r="B10" s="176">
        <f>'Sun-Coord'!B15</f>
        <v>0</v>
      </c>
      <c r="C10" s="176">
        <f>'Sun-Coord'!C15</f>
        <v>0</v>
      </c>
    </row>
    <row r="11" spans="2:18" ht="15.6">
      <c r="B11" s="176" t="str">
        <f>'Sun-Coord'!B16</f>
        <v>R=</v>
      </c>
      <c r="C11" s="176">
        <f>'Sun-Coord'!C16</f>
        <v>1.0162212426074826</v>
      </c>
    </row>
    <row r="12" spans="2:18" ht="15.6">
      <c r="B12" s="176">
        <f>'Sun-Coord'!B17</f>
        <v>0</v>
      </c>
      <c r="C12" s="176">
        <f>'Sun-Coord'!C17</f>
        <v>0</v>
      </c>
    </row>
    <row r="13" spans="2:18" s="170" customFormat="1" ht="15.6">
      <c r="B13" s="176">
        <f>'Sun-Coord'!B18</f>
        <v>0</v>
      </c>
      <c r="C13" s="176">
        <f>'Sun-Coord'!C18</f>
        <v>0</v>
      </c>
      <c r="D13" s="171"/>
      <c r="E13" s="171"/>
      <c r="F13" s="171"/>
      <c r="N13" s="171"/>
      <c r="O13" s="171"/>
      <c r="P13" s="171"/>
      <c r="Q13" s="171"/>
    </row>
    <row r="14" spans="2:18" s="170" customFormat="1" ht="15.6">
      <c r="B14" s="176">
        <f>'Sun-Coord'!B19</f>
        <v>0</v>
      </c>
      <c r="C14" s="176">
        <f>'Sun-Coord'!C19</f>
        <v>0</v>
      </c>
      <c r="D14" s="171"/>
      <c r="E14" s="171"/>
      <c r="F14" s="171"/>
      <c r="N14" s="171"/>
      <c r="O14" s="171"/>
      <c r="P14" s="171"/>
      <c r="Q14" s="171"/>
    </row>
    <row r="15" spans="2:18" s="170" customFormat="1" ht="18">
      <c r="B15" s="176">
        <f>'Sun-Coord'!B20</f>
        <v>0</v>
      </c>
      <c r="C15" s="176">
        <f>'Sun-Coord'!C20</f>
        <v>0</v>
      </c>
      <c r="D15" s="171"/>
      <c r="E15" s="171"/>
      <c r="F15" s="171"/>
      <c r="N15" s="171"/>
      <c r="O15" s="171"/>
      <c r="P15" s="178" t="s">
        <v>26</v>
      </c>
      <c r="Q15" s="181">
        <f>MOD(297.85036+445267.11148*C1-0.0019142*C1^2+C1^3/189474,360)</f>
        <v>1.9581562204111833</v>
      </c>
    </row>
    <row r="16" spans="2:18" s="170" customFormat="1" ht="18">
      <c r="B16" s="176" t="str">
        <f>'Sun-Coord'!B21</f>
        <v>Si=</v>
      </c>
      <c r="C16" s="176">
        <f>'Sun-Coord'!C21</f>
        <v>-117.62059466119096</v>
      </c>
      <c r="D16" s="171"/>
      <c r="E16" s="171"/>
      <c r="F16" s="171"/>
      <c r="N16" s="171"/>
      <c r="O16" s="171"/>
      <c r="P16" s="178" t="s">
        <v>74</v>
      </c>
      <c r="Q16" s="181">
        <f>MOD((357.52772+35999.05034*C1-0.0001603*C1^2-C1^3/300000),360)</f>
        <v>194.04101474738854</v>
      </c>
    </row>
    <row r="17" spans="2:17" s="170" customFormat="1" ht="18">
      <c r="B17" s="176" t="str">
        <f>'Sun-Coord'!B22</f>
        <v>Landa=</v>
      </c>
      <c r="C17" s="176">
        <f>'Sun-Coord'!C22</f>
        <v>116.73901957636615</v>
      </c>
      <c r="D17" s="171"/>
      <c r="E17" s="171"/>
      <c r="F17" s="171"/>
      <c r="N17" s="171"/>
      <c r="O17" s="171"/>
      <c r="P17" s="178" t="s">
        <v>1089</v>
      </c>
      <c r="Q17" s="181">
        <f>MOD(134.96298+477198.867398*C1+0.0086972*C1^2+C1^3/56250,360)</f>
        <v>245.29329766996671</v>
      </c>
    </row>
    <row r="18" spans="2:17" s="170" customFormat="1" ht="18">
      <c r="B18" s="176"/>
      <c r="C18" s="176"/>
      <c r="D18" s="171"/>
      <c r="E18" s="171"/>
      <c r="F18" s="171"/>
      <c r="N18" s="171"/>
      <c r="O18" s="171"/>
      <c r="P18" s="178" t="s">
        <v>1090</v>
      </c>
      <c r="Q18" s="181">
        <f>MOD(93.27191+483202.017538*C1-0.0036825*C1^2+C1^3/327270,360)</f>
        <v>236.7693296010184</v>
      </c>
    </row>
    <row r="19" spans="2:17" s="170" customFormat="1" ht="18">
      <c r="B19" s="176"/>
      <c r="C19" s="176"/>
      <c r="D19" s="171"/>
      <c r="E19" s="171"/>
      <c r="F19" s="171"/>
      <c r="N19" s="171"/>
      <c r="O19" s="171"/>
      <c r="P19" s="178" t="s">
        <v>1067</v>
      </c>
      <c r="Q19" s="181">
        <f>MOD(125.04452-1934.136261*C1-0.0020708*C1^2+C1^3/450000,360)</f>
        <v>242.38386000173654</v>
      </c>
    </row>
    <row r="22" spans="2:17" ht="18">
      <c r="B22" s="175" t="s">
        <v>1056</v>
      </c>
      <c r="C22" s="175" t="s">
        <v>605</v>
      </c>
      <c r="D22" s="175" t="s">
        <v>1079</v>
      </c>
      <c r="E22" s="175" t="s">
        <v>1080</v>
      </c>
      <c r="F22" s="175" t="s">
        <v>1081</v>
      </c>
      <c r="G22" s="175" t="s">
        <v>1082</v>
      </c>
      <c r="H22" s="175" t="s">
        <v>1083</v>
      </c>
      <c r="I22" s="175" t="s">
        <v>1086</v>
      </c>
      <c r="J22" s="175" t="s">
        <v>1084</v>
      </c>
      <c r="K22" s="175" t="s">
        <v>1085</v>
      </c>
      <c r="L22" s="175" t="s">
        <v>1087</v>
      </c>
      <c r="M22" s="175" t="s">
        <v>1092</v>
      </c>
      <c r="N22" s="175" t="s">
        <v>1093</v>
      </c>
      <c r="O22" s="182" t="s">
        <v>1088</v>
      </c>
      <c r="P22" s="182" t="s">
        <v>1091</v>
      </c>
    </row>
    <row r="23" spans="2:17">
      <c r="B23" s="171">
        <v>0</v>
      </c>
      <c r="C23" s="171">
        <v>0</v>
      </c>
      <c r="D23" s="171">
        <v>0</v>
      </c>
      <c r="E23" s="171">
        <v>0</v>
      </c>
      <c r="F23" s="171">
        <v>1</v>
      </c>
      <c r="G23" s="179">
        <v>-171996</v>
      </c>
      <c r="H23" s="171">
        <f>-174.2</f>
        <v>-174.2</v>
      </c>
      <c r="I23" s="179">
        <f t="shared" ref="I23:I54" si="0">H23*C$1</f>
        <v>-21.855482546201234</v>
      </c>
      <c r="J23" s="177">
        <v>92025</v>
      </c>
      <c r="K23" s="171">
        <v>8.9</v>
      </c>
      <c r="L23" s="177">
        <f t="shared" ref="L23:L54" si="1">K23*C$1</f>
        <v>1.1166119096509242</v>
      </c>
      <c r="M23" s="171">
        <f>G23+I23</f>
        <v>-172017.85548254621</v>
      </c>
      <c r="N23" s="171">
        <f>J23+L23</f>
        <v>92026.116611909645</v>
      </c>
      <c r="O23" s="171">
        <f>((M23)*SIN((B23*Q$15+C23*Q$16+D23*Q$17+E23*Q$18+F23*Q$19)*PI()/180))*0.0001</f>
        <v>15.242038334702951</v>
      </c>
      <c r="P23" s="171">
        <f>(N23*COS((B23*Q$15+C23*Q16+D23*Q$17+E23*Q$18+F23*Q$19)*PI()/180))*0.0001</f>
        <v>-4.2658306670975952</v>
      </c>
    </row>
    <row r="24" spans="2:17">
      <c r="B24" s="171">
        <v>-2</v>
      </c>
      <c r="C24" s="171">
        <v>0</v>
      </c>
      <c r="D24" s="171">
        <v>0</v>
      </c>
      <c r="E24" s="171">
        <v>2</v>
      </c>
      <c r="F24" s="171">
        <v>2</v>
      </c>
      <c r="G24" s="180">
        <v>-13187</v>
      </c>
      <c r="H24" s="171">
        <v>-1.6</v>
      </c>
      <c r="I24" s="180">
        <f t="shared" si="0"/>
        <v>-0.2007392197125257</v>
      </c>
      <c r="J24" s="177">
        <v>5736</v>
      </c>
      <c r="K24" s="171">
        <v>-3.1</v>
      </c>
      <c r="L24" s="177">
        <f t="shared" si="1"/>
        <v>-0.38893223819301853</v>
      </c>
      <c r="M24" s="171">
        <f t="shared" ref="M24:M85" si="2">G24+I24</f>
        <v>-13187.200739219712</v>
      </c>
      <c r="N24" s="171">
        <f t="shared" ref="N24:N85" si="3">J24+L24</f>
        <v>5735.6110677618071</v>
      </c>
      <c r="O24" s="171">
        <f t="shared" ref="O24:O85" si="4">((M24)*SIN((B24*Q$15+C24*Q$16+D24*Q$17+E24*Q$18+F24*Q$19)*PI()/180))*0.0001</f>
        <v>1.0721191926589455</v>
      </c>
      <c r="P24" s="171">
        <f t="shared" ref="P24:P85" si="5">(N24*COS((B24*Q$15+C24*Q17+D24*Q$17+E24*Q$18+F24*Q$19)*PI()/180))*0.0001</f>
        <v>-0.33396394228317205</v>
      </c>
    </row>
    <row r="25" spans="2:17">
      <c r="B25" s="171">
        <v>0</v>
      </c>
      <c r="C25" s="171">
        <v>0</v>
      </c>
      <c r="D25" s="171">
        <v>0</v>
      </c>
      <c r="E25" s="171">
        <v>2</v>
      </c>
      <c r="F25" s="171">
        <v>2</v>
      </c>
      <c r="G25" s="180">
        <v>-2274</v>
      </c>
      <c r="H25" s="171">
        <v>-0.2</v>
      </c>
      <c r="I25" s="180">
        <f t="shared" si="0"/>
        <v>-2.5092402464065713E-2</v>
      </c>
      <c r="J25" s="177">
        <v>977</v>
      </c>
      <c r="K25" s="171">
        <v>-0.5</v>
      </c>
      <c r="L25" s="177">
        <f t="shared" si="1"/>
        <v>-6.2731006160164277E-2</v>
      </c>
      <c r="M25" s="171">
        <f t="shared" si="2"/>
        <v>-2274.025092402464</v>
      </c>
      <c r="N25" s="171">
        <f t="shared" si="3"/>
        <v>976.93726899383978</v>
      </c>
      <c r="O25" s="171">
        <f t="shared" si="4"/>
        <v>0.19348988416531843</v>
      </c>
      <c r="P25" s="171">
        <f t="shared" si="5"/>
        <v>-5.1326029350442698E-2</v>
      </c>
    </row>
    <row r="26" spans="2:17">
      <c r="B26" s="171">
        <v>0</v>
      </c>
      <c r="C26" s="171">
        <v>0</v>
      </c>
      <c r="D26" s="171">
        <v>0</v>
      </c>
      <c r="E26" s="171">
        <v>0</v>
      </c>
      <c r="F26" s="171">
        <v>2</v>
      </c>
      <c r="G26" s="180">
        <v>2062</v>
      </c>
      <c r="H26" s="171">
        <v>0.2</v>
      </c>
      <c r="I26" s="180">
        <f t="shared" si="0"/>
        <v>2.5092402464065713E-2</v>
      </c>
      <c r="J26" s="177">
        <v>-895</v>
      </c>
      <c r="K26" s="171">
        <v>0.5</v>
      </c>
      <c r="L26" s="177">
        <f t="shared" si="1"/>
        <v>6.2731006160164277E-2</v>
      </c>
      <c r="M26" s="171">
        <f t="shared" si="2"/>
        <v>2062.025092402464</v>
      </c>
      <c r="N26" s="171">
        <f t="shared" si="3"/>
        <v>-894.93726899383978</v>
      </c>
      <c r="O26" s="171">
        <f t="shared" si="4"/>
        <v>0.16938930195246166</v>
      </c>
      <c r="P26" s="171">
        <f t="shared" si="5"/>
        <v>5.1033873660076258E-2</v>
      </c>
    </row>
    <row r="27" spans="2:17">
      <c r="B27" s="171">
        <v>0</v>
      </c>
      <c r="C27" s="171">
        <v>1</v>
      </c>
      <c r="D27" s="171">
        <v>0</v>
      </c>
      <c r="E27" s="171">
        <v>0</v>
      </c>
      <c r="F27" s="171">
        <v>0</v>
      </c>
      <c r="G27" s="180">
        <v>1426</v>
      </c>
      <c r="H27" s="171">
        <v>-3.4</v>
      </c>
      <c r="I27" s="180">
        <f t="shared" si="0"/>
        <v>-0.42657084188911709</v>
      </c>
      <c r="J27" s="177">
        <v>54</v>
      </c>
      <c r="K27" s="171">
        <v>-0.1</v>
      </c>
      <c r="L27" s="177">
        <f t="shared" si="1"/>
        <v>-1.2546201232032856E-2</v>
      </c>
      <c r="M27" s="171">
        <f t="shared" si="2"/>
        <v>1425.5734291581109</v>
      </c>
      <c r="N27" s="171">
        <f t="shared" si="3"/>
        <v>53.987453798767966</v>
      </c>
      <c r="O27" s="171">
        <f t="shared" si="4"/>
        <v>-3.4586751094091255E-2</v>
      </c>
      <c r="P27" s="171">
        <f t="shared" si="5"/>
        <v>5.3987453798767966E-3</v>
      </c>
    </row>
    <row r="28" spans="2:17">
      <c r="B28" s="171">
        <v>0</v>
      </c>
      <c r="C28" s="171">
        <v>0</v>
      </c>
      <c r="D28" s="171">
        <v>1</v>
      </c>
      <c r="E28" s="171">
        <v>0</v>
      </c>
      <c r="F28" s="171">
        <v>0</v>
      </c>
      <c r="G28" s="180">
        <v>712</v>
      </c>
      <c r="H28" s="171">
        <v>0.1</v>
      </c>
      <c r="I28" s="180">
        <f t="shared" si="0"/>
        <v>1.2546201232032856E-2</v>
      </c>
      <c r="J28" s="177">
        <v>-7</v>
      </c>
      <c r="K28" s="171">
        <v>0</v>
      </c>
      <c r="L28" s="177">
        <f t="shared" si="1"/>
        <v>0</v>
      </c>
      <c r="M28" s="171">
        <f t="shared" si="2"/>
        <v>712.012546201232</v>
      </c>
      <c r="N28" s="171">
        <f t="shared" si="3"/>
        <v>-7</v>
      </c>
      <c r="O28" s="171">
        <f t="shared" si="4"/>
        <v>-6.4683441231452338E-2</v>
      </c>
      <c r="P28" s="171">
        <f t="shared" si="5"/>
        <v>2.9258134231414901E-4</v>
      </c>
    </row>
    <row r="29" spans="2:17">
      <c r="B29" s="171">
        <v>-2</v>
      </c>
      <c r="C29" s="171">
        <v>1</v>
      </c>
      <c r="D29" s="171">
        <v>0</v>
      </c>
      <c r="E29" s="171">
        <v>2</v>
      </c>
      <c r="F29" s="171">
        <v>2</v>
      </c>
      <c r="G29" s="180">
        <v>-517</v>
      </c>
      <c r="H29" s="171">
        <v>1.2</v>
      </c>
      <c r="I29" s="180">
        <f t="shared" si="0"/>
        <v>0.15055441478439427</v>
      </c>
      <c r="J29" s="177">
        <v>224</v>
      </c>
      <c r="K29" s="171">
        <v>-0.6</v>
      </c>
      <c r="L29" s="177">
        <f t="shared" si="1"/>
        <v>-7.5277207392197135E-2</v>
      </c>
      <c r="M29" s="171">
        <f t="shared" si="2"/>
        <v>-516.84944558521556</v>
      </c>
      <c r="N29" s="171">
        <f t="shared" si="3"/>
        <v>223.92472279260781</v>
      </c>
      <c r="O29" s="171">
        <f t="shared" si="4"/>
        <v>-4.8065760447322303E-2</v>
      </c>
      <c r="P29" s="171">
        <f t="shared" si="5"/>
        <v>-1.3038328839767035E-2</v>
      </c>
    </row>
    <row r="30" spans="2:17">
      <c r="B30" s="171">
        <v>0</v>
      </c>
      <c r="C30" s="171">
        <v>0</v>
      </c>
      <c r="D30" s="171">
        <v>0</v>
      </c>
      <c r="E30" s="171">
        <v>2</v>
      </c>
      <c r="F30" s="171">
        <v>1</v>
      </c>
      <c r="G30" s="180">
        <v>-386</v>
      </c>
      <c r="H30" s="171">
        <v>-0.4</v>
      </c>
      <c r="I30" s="180">
        <f t="shared" si="0"/>
        <v>-5.0184804928131425E-2</v>
      </c>
      <c r="J30" s="177">
        <v>200</v>
      </c>
      <c r="K30" s="171">
        <v>0</v>
      </c>
      <c r="L30" s="177">
        <f t="shared" si="1"/>
        <v>0</v>
      </c>
      <c r="M30" s="171">
        <f t="shared" si="2"/>
        <v>-386.05018480492811</v>
      </c>
      <c r="N30" s="171">
        <f t="shared" si="3"/>
        <v>200</v>
      </c>
      <c r="O30" s="171">
        <f t="shared" si="4"/>
        <v>2.7450256836997937E-3</v>
      </c>
      <c r="P30" s="171">
        <f t="shared" si="5"/>
        <v>1.9949376136687888E-2</v>
      </c>
    </row>
    <row r="31" spans="2:17">
      <c r="B31" s="171">
        <v>0</v>
      </c>
      <c r="C31" s="171">
        <v>0</v>
      </c>
      <c r="D31" s="171">
        <v>1</v>
      </c>
      <c r="E31" s="171">
        <v>2</v>
      </c>
      <c r="F31" s="171">
        <v>2</v>
      </c>
      <c r="G31" s="180">
        <v>-301</v>
      </c>
      <c r="H31" s="171">
        <v>0</v>
      </c>
      <c r="I31" s="180">
        <f t="shared" si="0"/>
        <v>0</v>
      </c>
      <c r="J31" s="177">
        <v>129</v>
      </c>
      <c r="K31" s="171">
        <v>-0.1</v>
      </c>
      <c r="L31" s="177">
        <f t="shared" si="1"/>
        <v>-1.2546201232032856E-2</v>
      </c>
      <c r="M31" s="171">
        <f t="shared" si="2"/>
        <v>-301</v>
      </c>
      <c r="N31" s="171">
        <f t="shared" si="3"/>
        <v>128.98745379876797</v>
      </c>
      <c r="O31" s="171">
        <f t="shared" si="4"/>
        <v>-2.5071023284056027E-2</v>
      </c>
      <c r="P31" s="171">
        <f t="shared" si="5"/>
        <v>-7.1379960992669182E-3</v>
      </c>
    </row>
    <row r="32" spans="2:17">
      <c r="B32" s="171">
        <v>-2</v>
      </c>
      <c r="C32" s="171">
        <v>-1</v>
      </c>
      <c r="D32" s="171">
        <v>0</v>
      </c>
      <c r="E32" s="171">
        <v>2</v>
      </c>
      <c r="F32" s="171">
        <v>2</v>
      </c>
      <c r="G32" s="180">
        <v>217</v>
      </c>
      <c r="H32" s="171">
        <v>-0.5</v>
      </c>
      <c r="I32" s="180">
        <f t="shared" si="0"/>
        <v>-6.2731006160164277E-2</v>
      </c>
      <c r="J32" s="177">
        <v>-95</v>
      </c>
      <c r="K32" s="171">
        <v>0.3</v>
      </c>
      <c r="L32" s="177">
        <f t="shared" si="1"/>
        <v>3.7638603696098567E-2</v>
      </c>
      <c r="M32" s="171">
        <f t="shared" si="2"/>
        <v>216.93726899383984</v>
      </c>
      <c r="N32" s="171">
        <f t="shared" si="3"/>
        <v>-94.962361396303905</v>
      </c>
      <c r="O32" s="171">
        <f t="shared" si="4"/>
        <v>1.4045440287927154E-2</v>
      </c>
      <c r="P32" s="171">
        <f t="shared" si="5"/>
        <v>5.5293157443474699E-3</v>
      </c>
    </row>
    <row r="33" spans="2:16">
      <c r="B33" s="171">
        <v>-2</v>
      </c>
      <c r="C33" s="171">
        <v>0</v>
      </c>
      <c r="D33" s="171">
        <v>1</v>
      </c>
      <c r="E33" s="171">
        <v>0</v>
      </c>
      <c r="F33" s="171">
        <v>0</v>
      </c>
      <c r="G33" s="180">
        <v>-158</v>
      </c>
      <c r="H33" s="171">
        <v>0</v>
      </c>
      <c r="I33" s="180">
        <f t="shared" si="0"/>
        <v>0</v>
      </c>
      <c r="J33" s="177">
        <v>0</v>
      </c>
      <c r="K33" s="171">
        <v>0</v>
      </c>
      <c r="L33" s="177">
        <f t="shared" si="1"/>
        <v>0</v>
      </c>
      <c r="M33" s="171">
        <f t="shared" si="2"/>
        <v>-158</v>
      </c>
      <c r="N33" s="171">
        <f t="shared" si="3"/>
        <v>0</v>
      </c>
      <c r="O33" s="171">
        <f t="shared" si="4"/>
        <v>1.3869091827089543E-2</v>
      </c>
      <c r="P33" s="171">
        <f t="shared" si="5"/>
        <v>0</v>
      </c>
    </row>
    <row r="34" spans="2:16">
      <c r="B34" s="171">
        <v>-2</v>
      </c>
      <c r="C34" s="171">
        <v>0</v>
      </c>
      <c r="D34" s="171">
        <v>0</v>
      </c>
      <c r="E34" s="171">
        <v>2</v>
      </c>
      <c r="F34" s="171">
        <v>1</v>
      </c>
      <c r="G34" s="180">
        <v>129</v>
      </c>
      <c r="H34" s="171">
        <v>0.1</v>
      </c>
      <c r="I34" s="180">
        <f t="shared" si="0"/>
        <v>1.2546201232032856E-2</v>
      </c>
      <c r="J34" s="177">
        <v>-70</v>
      </c>
      <c r="K34" s="171">
        <v>0</v>
      </c>
      <c r="L34" s="177">
        <f t="shared" si="1"/>
        <v>0</v>
      </c>
      <c r="M34" s="171">
        <f t="shared" si="2"/>
        <v>129.01254620123203</v>
      </c>
      <c r="N34" s="171">
        <f t="shared" si="3"/>
        <v>-70</v>
      </c>
      <c r="O34" s="171">
        <f t="shared" si="4"/>
        <v>-1.7941236294007614E-3</v>
      </c>
      <c r="P34" s="171">
        <f t="shared" si="5"/>
        <v>-6.9319819753613813E-3</v>
      </c>
    </row>
    <row r="35" spans="2:16">
      <c r="B35" s="171">
        <v>0</v>
      </c>
      <c r="C35" s="171">
        <v>0</v>
      </c>
      <c r="D35" s="171">
        <v>-1</v>
      </c>
      <c r="E35" s="171">
        <v>2</v>
      </c>
      <c r="F35" s="171">
        <v>2</v>
      </c>
      <c r="G35" s="180">
        <v>123</v>
      </c>
      <c r="H35" s="171">
        <v>0</v>
      </c>
      <c r="I35" s="180">
        <f t="shared" si="0"/>
        <v>0</v>
      </c>
      <c r="J35" s="177">
        <v>-53</v>
      </c>
      <c r="K35" s="171">
        <v>0</v>
      </c>
      <c r="L35" s="177">
        <f t="shared" si="1"/>
        <v>0</v>
      </c>
      <c r="M35" s="171">
        <f t="shared" si="2"/>
        <v>123</v>
      </c>
      <c r="N35" s="171">
        <f t="shared" si="3"/>
        <v>-53</v>
      </c>
      <c r="O35" s="171">
        <f t="shared" si="4"/>
        <v>-1.4962055322121268E-3</v>
      </c>
      <c r="P35" s="171">
        <f t="shared" si="5"/>
        <v>-5.2606419375229229E-3</v>
      </c>
    </row>
    <row r="36" spans="2:16">
      <c r="B36" s="171">
        <v>2</v>
      </c>
      <c r="C36" s="171">
        <v>0</v>
      </c>
      <c r="D36" s="171">
        <v>0</v>
      </c>
      <c r="E36" s="171">
        <v>0</v>
      </c>
      <c r="F36" s="171">
        <v>0</v>
      </c>
      <c r="G36" s="180">
        <v>63</v>
      </c>
      <c r="H36" s="171">
        <v>0</v>
      </c>
      <c r="I36" s="180">
        <f t="shared" si="0"/>
        <v>0</v>
      </c>
      <c r="J36" s="177">
        <v>0</v>
      </c>
      <c r="K36" s="171">
        <v>0</v>
      </c>
      <c r="L36" s="177">
        <f t="shared" si="1"/>
        <v>0</v>
      </c>
      <c r="M36" s="171">
        <f t="shared" si="2"/>
        <v>63</v>
      </c>
      <c r="N36" s="171">
        <f t="shared" si="3"/>
        <v>0</v>
      </c>
      <c r="O36" s="171">
        <f t="shared" si="4"/>
        <v>4.3028580676395445E-4</v>
      </c>
      <c r="P36" s="171">
        <f t="shared" si="5"/>
        <v>0</v>
      </c>
    </row>
    <row r="37" spans="2:16">
      <c r="B37" s="171">
        <v>0</v>
      </c>
      <c r="C37" s="171">
        <v>0</v>
      </c>
      <c r="D37" s="171">
        <v>1</v>
      </c>
      <c r="E37" s="171">
        <v>0</v>
      </c>
      <c r="F37" s="171">
        <v>1</v>
      </c>
      <c r="G37" s="180">
        <v>63</v>
      </c>
      <c r="H37" s="171">
        <v>0.1</v>
      </c>
      <c r="I37" s="180">
        <f t="shared" si="0"/>
        <v>1.2546201232032856E-2</v>
      </c>
      <c r="J37" s="177">
        <v>-33</v>
      </c>
      <c r="K37" s="171">
        <v>0</v>
      </c>
      <c r="L37" s="177">
        <f t="shared" si="1"/>
        <v>0</v>
      </c>
      <c r="M37" s="171">
        <f t="shared" si="2"/>
        <v>63.012546201232034</v>
      </c>
      <c r="N37" s="171">
        <f t="shared" si="3"/>
        <v>-33</v>
      </c>
      <c r="O37" s="171">
        <f t="shared" si="4"/>
        <v>4.9872367912223792E-3</v>
      </c>
      <c r="P37" s="171">
        <f t="shared" si="5"/>
        <v>2.0169981198628569E-3</v>
      </c>
    </row>
    <row r="38" spans="2:16">
      <c r="B38" s="171">
        <v>2</v>
      </c>
      <c r="C38" s="171">
        <v>0</v>
      </c>
      <c r="D38" s="171">
        <v>-1</v>
      </c>
      <c r="E38" s="171">
        <v>2</v>
      </c>
      <c r="F38" s="171">
        <v>2</v>
      </c>
      <c r="G38" s="180">
        <v>-59</v>
      </c>
      <c r="H38" s="171">
        <v>0</v>
      </c>
      <c r="I38" s="180">
        <f t="shared" si="0"/>
        <v>0</v>
      </c>
      <c r="J38" s="177">
        <v>26</v>
      </c>
      <c r="K38" s="171">
        <v>0</v>
      </c>
      <c r="L38" s="177">
        <f t="shared" si="1"/>
        <v>0</v>
      </c>
      <c r="M38" s="171">
        <f t="shared" si="2"/>
        <v>-59</v>
      </c>
      <c r="N38" s="171">
        <f t="shared" si="3"/>
        <v>26</v>
      </c>
      <c r="O38" s="171">
        <f t="shared" si="4"/>
        <v>3.1604255616199135E-4</v>
      </c>
      <c r="P38" s="171">
        <f t="shared" si="5"/>
        <v>2.5962671345644318E-3</v>
      </c>
    </row>
    <row r="39" spans="2:16">
      <c r="B39" s="171">
        <v>0</v>
      </c>
      <c r="C39" s="171">
        <v>0</v>
      </c>
      <c r="D39" s="171">
        <v>-1</v>
      </c>
      <c r="E39" s="171">
        <v>0</v>
      </c>
      <c r="F39" s="171">
        <v>1</v>
      </c>
      <c r="G39" s="180">
        <v>-58</v>
      </c>
      <c r="H39" s="171">
        <v>-0.1</v>
      </c>
      <c r="I39" s="180">
        <f t="shared" si="0"/>
        <v>-1.2546201232032856E-2</v>
      </c>
      <c r="J39" s="177">
        <v>32</v>
      </c>
      <c r="K39" s="171">
        <v>0</v>
      </c>
      <c r="L39" s="177">
        <f t="shared" si="1"/>
        <v>0</v>
      </c>
      <c r="M39" s="171">
        <f t="shared" si="2"/>
        <v>-58.012546201232034</v>
      </c>
      <c r="N39" s="171">
        <f t="shared" si="3"/>
        <v>32</v>
      </c>
      <c r="O39" s="171">
        <f t="shared" si="4"/>
        <v>2.9445687291968886E-4</v>
      </c>
      <c r="P39" s="171">
        <f t="shared" si="5"/>
        <v>3.1958752321541643E-3</v>
      </c>
    </row>
    <row r="40" spans="2:16">
      <c r="B40" s="171">
        <v>0</v>
      </c>
      <c r="C40" s="171">
        <v>0</v>
      </c>
      <c r="D40" s="171">
        <v>1</v>
      </c>
      <c r="E40" s="171">
        <v>2</v>
      </c>
      <c r="F40" s="171">
        <v>1</v>
      </c>
      <c r="G40" s="180">
        <v>-51</v>
      </c>
      <c r="H40" s="171">
        <v>0</v>
      </c>
      <c r="I40" s="180">
        <f t="shared" si="0"/>
        <v>0</v>
      </c>
      <c r="J40" s="177">
        <v>27</v>
      </c>
      <c r="K40" s="171">
        <v>0</v>
      </c>
      <c r="L40" s="177">
        <f t="shared" si="1"/>
        <v>0</v>
      </c>
      <c r="M40" s="171">
        <f t="shared" si="2"/>
        <v>-51</v>
      </c>
      <c r="N40" s="171">
        <f t="shared" si="3"/>
        <v>27</v>
      </c>
      <c r="O40" s="171">
        <f t="shared" si="4"/>
        <v>4.4698421532721293E-3</v>
      </c>
      <c r="P40" s="171">
        <f t="shared" si="5"/>
        <v>-1.3000817130445815E-3</v>
      </c>
    </row>
    <row r="41" spans="2:16">
      <c r="B41" s="171">
        <v>-2</v>
      </c>
      <c r="C41" s="171">
        <v>0</v>
      </c>
      <c r="D41" s="171">
        <v>2</v>
      </c>
      <c r="E41" s="171">
        <v>0</v>
      </c>
      <c r="F41" s="171">
        <v>0</v>
      </c>
      <c r="G41" s="180">
        <v>48</v>
      </c>
      <c r="H41" s="171">
        <v>0</v>
      </c>
      <c r="I41" s="180">
        <f t="shared" si="0"/>
        <v>0</v>
      </c>
      <c r="J41" s="177">
        <v>0</v>
      </c>
      <c r="K41" s="171">
        <v>0</v>
      </c>
      <c r="L41" s="177">
        <f t="shared" si="1"/>
        <v>0</v>
      </c>
      <c r="M41" s="171">
        <f t="shared" si="2"/>
        <v>48</v>
      </c>
      <c r="N41" s="171">
        <f t="shared" si="3"/>
        <v>0</v>
      </c>
      <c r="O41" s="171">
        <f t="shared" si="4"/>
        <v>3.8500104066997195E-3</v>
      </c>
      <c r="P41" s="171">
        <f t="shared" si="5"/>
        <v>0</v>
      </c>
    </row>
    <row r="42" spans="2:16">
      <c r="B42" s="171">
        <v>0</v>
      </c>
      <c r="C42" s="171">
        <v>0</v>
      </c>
      <c r="D42" s="171">
        <v>-2</v>
      </c>
      <c r="E42" s="171">
        <v>2</v>
      </c>
      <c r="F42" s="171">
        <v>1</v>
      </c>
      <c r="G42" s="180">
        <v>46</v>
      </c>
      <c r="H42" s="171">
        <v>0</v>
      </c>
      <c r="I42" s="180">
        <f t="shared" si="0"/>
        <v>0</v>
      </c>
      <c r="J42" s="177">
        <v>-24</v>
      </c>
      <c r="K42" s="171">
        <v>0</v>
      </c>
      <c r="L42" s="177">
        <f t="shared" si="1"/>
        <v>0</v>
      </c>
      <c r="M42" s="171">
        <f t="shared" si="2"/>
        <v>46</v>
      </c>
      <c r="N42" s="171">
        <f t="shared" si="3"/>
        <v>-24</v>
      </c>
      <c r="O42" s="171">
        <f t="shared" si="4"/>
        <v>-3.2717056346895277E-3</v>
      </c>
      <c r="P42" s="171">
        <f t="shared" si="5"/>
        <v>1.6870773615121489E-3</v>
      </c>
    </row>
    <row r="43" spans="2:16">
      <c r="B43" s="171">
        <v>2</v>
      </c>
      <c r="C43" s="171">
        <v>0</v>
      </c>
      <c r="D43" s="171">
        <v>0</v>
      </c>
      <c r="E43" s="171">
        <v>2</v>
      </c>
      <c r="F43" s="171">
        <v>2</v>
      </c>
      <c r="G43" s="180">
        <v>-38</v>
      </c>
      <c r="H43" s="171">
        <v>0</v>
      </c>
      <c r="I43" s="180">
        <f t="shared" si="0"/>
        <v>0</v>
      </c>
      <c r="J43" s="177">
        <v>16</v>
      </c>
      <c r="K43" s="171">
        <v>0</v>
      </c>
      <c r="L43" s="177">
        <f t="shared" si="1"/>
        <v>0</v>
      </c>
      <c r="M43" s="171">
        <f t="shared" si="2"/>
        <v>-38</v>
      </c>
      <c r="N43" s="171">
        <f t="shared" si="3"/>
        <v>16</v>
      </c>
      <c r="O43" s="171">
        <f t="shared" si="4"/>
        <v>3.3621093386712389E-3</v>
      </c>
      <c r="P43" s="171">
        <f t="shared" si="5"/>
        <v>-7.4565803333881344E-4</v>
      </c>
    </row>
    <row r="44" spans="2:16">
      <c r="B44" s="171">
        <v>0</v>
      </c>
      <c r="C44" s="171">
        <v>0</v>
      </c>
      <c r="D44" s="171">
        <v>2</v>
      </c>
      <c r="E44" s="171">
        <v>2</v>
      </c>
      <c r="F44" s="171">
        <v>2</v>
      </c>
      <c r="G44" s="180">
        <v>-31</v>
      </c>
      <c r="H44" s="171">
        <v>0</v>
      </c>
      <c r="I44" s="180">
        <f t="shared" si="0"/>
        <v>0</v>
      </c>
      <c r="J44" s="177">
        <v>13</v>
      </c>
      <c r="K44" s="171">
        <v>0</v>
      </c>
      <c r="L44" s="177">
        <f t="shared" si="1"/>
        <v>0</v>
      </c>
      <c r="M44" s="171">
        <f t="shared" si="2"/>
        <v>-31</v>
      </c>
      <c r="N44" s="171">
        <f t="shared" si="3"/>
        <v>13</v>
      </c>
      <c r="O44" s="171">
        <f t="shared" si="4"/>
        <v>-4.7922665687178556E-4</v>
      </c>
      <c r="P44" s="171">
        <f t="shared" si="5"/>
        <v>1.284372477068568E-3</v>
      </c>
    </row>
    <row r="45" spans="2:16">
      <c r="B45" s="171">
        <v>0</v>
      </c>
      <c r="C45" s="171">
        <v>0</v>
      </c>
      <c r="D45" s="171">
        <v>2</v>
      </c>
      <c r="E45" s="171">
        <v>0</v>
      </c>
      <c r="F45" s="171">
        <v>0</v>
      </c>
      <c r="G45" s="180">
        <v>29</v>
      </c>
      <c r="H45" s="171">
        <v>0</v>
      </c>
      <c r="I45" s="180">
        <f t="shared" si="0"/>
        <v>0</v>
      </c>
      <c r="J45" s="177">
        <v>0</v>
      </c>
      <c r="K45" s="171">
        <v>0</v>
      </c>
      <c r="L45" s="177">
        <f t="shared" si="1"/>
        <v>0</v>
      </c>
      <c r="M45" s="171">
        <f t="shared" si="2"/>
        <v>29</v>
      </c>
      <c r="N45" s="171">
        <f t="shared" si="3"/>
        <v>0</v>
      </c>
      <c r="O45" s="171">
        <f t="shared" si="4"/>
        <v>2.2023282623200601E-3</v>
      </c>
      <c r="P45" s="171">
        <f t="shared" si="5"/>
        <v>0</v>
      </c>
    </row>
    <row r="46" spans="2:16">
      <c r="B46" s="171">
        <v>-2</v>
      </c>
      <c r="C46" s="171">
        <v>0</v>
      </c>
      <c r="D46" s="171">
        <v>1</v>
      </c>
      <c r="E46" s="171">
        <v>2</v>
      </c>
      <c r="F46" s="171">
        <v>2</v>
      </c>
      <c r="G46" s="180">
        <v>29</v>
      </c>
      <c r="H46" s="171">
        <v>0</v>
      </c>
      <c r="I46" s="180">
        <f t="shared" si="0"/>
        <v>0</v>
      </c>
      <c r="J46" s="177">
        <v>-12</v>
      </c>
      <c r="K46" s="171">
        <v>0</v>
      </c>
      <c r="L46" s="177">
        <f t="shared" si="1"/>
        <v>0</v>
      </c>
      <c r="M46" s="171">
        <f t="shared" si="2"/>
        <v>29</v>
      </c>
      <c r="N46" s="171">
        <f t="shared" si="3"/>
        <v>-12</v>
      </c>
      <c r="O46" s="171">
        <f t="shared" si="4"/>
        <v>2.5194484626915067E-3</v>
      </c>
      <c r="P46" s="171">
        <f t="shared" si="5"/>
        <v>5.9424773327758145E-4</v>
      </c>
    </row>
    <row r="47" spans="2:16">
      <c r="B47" s="171">
        <v>0</v>
      </c>
      <c r="C47" s="171">
        <v>0</v>
      </c>
      <c r="D47" s="171">
        <v>0</v>
      </c>
      <c r="E47" s="171">
        <v>2</v>
      </c>
      <c r="F47" s="171">
        <v>0</v>
      </c>
      <c r="G47" s="180">
        <v>26</v>
      </c>
      <c r="H47" s="171">
        <v>0</v>
      </c>
      <c r="I47" s="180">
        <f t="shared" si="0"/>
        <v>0</v>
      </c>
      <c r="J47" s="177">
        <v>0</v>
      </c>
      <c r="K47" s="171">
        <v>0</v>
      </c>
      <c r="L47" s="177">
        <f t="shared" si="1"/>
        <v>0</v>
      </c>
      <c r="M47" s="171">
        <f t="shared" si="2"/>
        <v>26</v>
      </c>
      <c r="N47" s="171">
        <f t="shared" si="3"/>
        <v>0</v>
      </c>
      <c r="O47" s="171">
        <f t="shared" si="4"/>
        <v>2.383656125633011E-3</v>
      </c>
      <c r="P47" s="171">
        <f t="shared" si="5"/>
        <v>0</v>
      </c>
    </row>
    <row r="48" spans="2:16">
      <c r="B48" s="171">
        <v>-2</v>
      </c>
      <c r="C48" s="171">
        <v>0</v>
      </c>
      <c r="D48" s="171">
        <v>0</v>
      </c>
      <c r="E48" s="171">
        <v>2</v>
      </c>
      <c r="F48" s="171">
        <v>0</v>
      </c>
      <c r="G48" s="180">
        <v>-22</v>
      </c>
      <c r="H48" s="171">
        <v>0</v>
      </c>
      <c r="I48" s="180">
        <f t="shared" si="0"/>
        <v>0</v>
      </c>
      <c r="J48" s="177">
        <v>0</v>
      </c>
      <c r="K48" s="171">
        <v>0</v>
      </c>
      <c r="L48" s="177">
        <f t="shared" si="1"/>
        <v>0</v>
      </c>
      <c r="M48" s="171">
        <f t="shared" si="2"/>
        <v>-22</v>
      </c>
      <c r="N48" s="171">
        <f t="shared" si="3"/>
        <v>0</v>
      </c>
      <c r="O48" s="171">
        <f t="shared" si="4"/>
        <v>-2.0722384029316465E-3</v>
      </c>
      <c r="P48" s="171">
        <f t="shared" si="5"/>
        <v>0</v>
      </c>
    </row>
    <row r="49" spans="2:16">
      <c r="B49" s="171">
        <v>0</v>
      </c>
      <c r="C49" s="171">
        <v>0</v>
      </c>
      <c r="D49" s="171">
        <v>-1</v>
      </c>
      <c r="E49" s="171">
        <v>2</v>
      </c>
      <c r="F49" s="171">
        <v>1</v>
      </c>
      <c r="G49" s="180">
        <v>21</v>
      </c>
      <c r="H49" s="171">
        <v>0</v>
      </c>
      <c r="I49" s="180">
        <f t="shared" si="0"/>
        <v>0</v>
      </c>
      <c r="J49" s="177">
        <v>-10</v>
      </c>
      <c r="K49" s="171">
        <v>0</v>
      </c>
      <c r="L49" s="177">
        <f t="shared" si="1"/>
        <v>0</v>
      </c>
      <c r="M49" s="171">
        <f t="shared" si="2"/>
        <v>21</v>
      </c>
      <c r="N49" s="171">
        <f t="shared" si="3"/>
        <v>-10</v>
      </c>
      <c r="O49" s="171">
        <f t="shared" si="4"/>
        <v>1.9653479381584803E-3</v>
      </c>
      <c r="P49" s="171">
        <f t="shared" si="5"/>
        <v>3.5231900419964489E-4</v>
      </c>
    </row>
    <row r="50" spans="2:16">
      <c r="B50" s="171">
        <v>0</v>
      </c>
      <c r="C50" s="171">
        <v>2</v>
      </c>
      <c r="D50" s="171">
        <v>0</v>
      </c>
      <c r="E50" s="171">
        <v>0</v>
      </c>
      <c r="F50" s="171">
        <v>0</v>
      </c>
      <c r="G50" s="180">
        <v>17</v>
      </c>
      <c r="H50" s="171">
        <v>-0.1</v>
      </c>
      <c r="I50" s="180">
        <f t="shared" si="0"/>
        <v>-1.2546201232032856E-2</v>
      </c>
      <c r="J50" s="177">
        <v>0</v>
      </c>
      <c r="K50" s="171">
        <v>0</v>
      </c>
      <c r="L50" s="177">
        <f t="shared" si="1"/>
        <v>0</v>
      </c>
      <c r="M50" s="171">
        <f t="shared" si="2"/>
        <v>16.987453798767966</v>
      </c>
      <c r="N50" s="171">
        <f t="shared" si="3"/>
        <v>0</v>
      </c>
      <c r="O50" s="171">
        <f t="shared" si="4"/>
        <v>7.9965921867751022E-4</v>
      </c>
      <c r="P50" s="171">
        <f t="shared" si="5"/>
        <v>0</v>
      </c>
    </row>
    <row r="51" spans="2:16">
      <c r="B51" s="171">
        <v>2</v>
      </c>
      <c r="C51" s="171">
        <v>0</v>
      </c>
      <c r="D51" s="171">
        <v>-1</v>
      </c>
      <c r="E51" s="171">
        <v>0</v>
      </c>
      <c r="F51" s="171">
        <v>1</v>
      </c>
      <c r="G51" s="180">
        <v>16</v>
      </c>
      <c r="H51" s="171">
        <v>0</v>
      </c>
      <c r="I51" s="180">
        <f t="shared" si="0"/>
        <v>0</v>
      </c>
      <c r="J51" s="177">
        <v>-8</v>
      </c>
      <c r="K51" s="171">
        <v>0</v>
      </c>
      <c r="L51" s="177">
        <f t="shared" si="1"/>
        <v>0</v>
      </c>
      <c r="M51" s="171">
        <f t="shared" si="2"/>
        <v>16</v>
      </c>
      <c r="N51" s="171">
        <f t="shared" si="3"/>
        <v>-8</v>
      </c>
      <c r="O51" s="171">
        <f t="shared" si="4"/>
        <v>2.8115800726015367E-5</v>
      </c>
      <c r="P51" s="171">
        <f t="shared" si="5"/>
        <v>-7.9987647511186612E-4</v>
      </c>
    </row>
    <row r="52" spans="2:16">
      <c r="B52" s="171">
        <v>-2</v>
      </c>
      <c r="C52" s="171">
        <v>2</v>
      </c>
      <c r="D52" s="171">
        <v>0</v>
      </c>
      <c r="E52" s="171">
        <v>2</v>
      </c>
      <c r="F52" s="171">
        <v>2</v>
      </c>
      <c r="G52" s="180">
        <v>-16</v>
      </c>
      <c r="H52" s="171">
        <v>0.1</v>
      </c>
      <c r="I52" s="180">
        <f t="shared" si="0"/>
        <v>1.2546201232032856E-2</v>
      </c>
      <c r="J52" s="177">
        <v>7</v>
      </c>
      <c r="K52" s="171">
        <v>0</v>
      </c>
      <c r="L52" s="177">
        <f t="shared" si="1"/>
        <v>0</v>
      </c>
      <c r="M52" s="171">
        <f t="shared" si="2"/>
        <v>-15.987453798767968</v>
      </c>
      <c r="N52" s="171">
        <f t="shared" si="3"/>
        <v>7</v>
      </c>
      <c r="O52" s="171">
        <f t="shared" si="4"/>
        <v>1.5849660747620602E-3</v>
      </c>
      <c r="P52" s="171">
        <f t="shared" si="5"/>
        <v>-4.0758474875013758E-4</v>
      </c>
    </row>
    <row r="53" spans="2:16">
      <c r="B53" s="171">
        <v>0</v>
      </c>
      <c r="C53" s="171">
        <v>1</v>
      </c>
      <c r="D53" s="171">
        <v>0</v>
      </c>
      <c r="E53" s="171">
        <v>0</v>
      </c>
      <c r="F53" s="171">
        <v>1</v>
      </c>
      <c r="G53" s="184">
        <v>-15</v>
      </c>
      <c r="H53" s="184">
        <v>0</v>
      </c>
      <c r="I53" s="184">
        <f t="shared" si="0"/>
        <v>0</v>
      </c>
      <c r="J53" s="184">
        <v>9</v>
      </c>
      <c r="K53" s="184">
        <v>0</v>
      </c>
      <c r="L53" s="177">
        <f t="shared" si="1"/>
        <v>0</v>
      </c>
      <c r="M53" s="171">
        <f t="shared" si="2"/>
        <v>-15</v>
      </c>
      <c r="N53" s="171">
        <f t="shared" si="3"/>
        <v>9</v>
      </c>
      <c r="O53" s="171">
        <f t="shared" si="4"/>
        <v>-1.4580944925724141E-3</v>
      </c>
      <c r="P53" s="171">
        <f t="shared" si="5"/>
        <v>-4.1719109115281042E-4</v>
      </c>
    </row>
    <row r="54" spans="2:16">
      <c r="B54" s="171">
        <v>-2</v>
      </c>
      <c r="C54" s="171">
        <v>0</v>
      </c>
      <c r="D54" s="171">
        <v>1</v>
      </c>
      <c r="E54" s="171">
        <v>0</v>
      </c>
      <c r="F54" s="171">
        <v>1</v>
      </c>
      <c r="G54" s="180">
        <v>-13</v>
      </c>
      <c r="H54" s="171">
        <v>0</v>
      </c>
      <c r="I54" s="180">
        <f t="shared" si="0"/>
        <v>0</v>
      </c>
      <c r="J54" s="177">
        <v>7</v>
      </c>
      <c r="K54" s="171">
        <v>0</v>
      </c>
      <c r="L54" s="177">
        <f t="shared" si="1"/>
        <v>0</v>
      </c>
      <c r="M54" s="171">
        <f t="shared" si="2"/>
        <v>-13</v>
      </c>
      <c r="N54" s="171">
        <f t="shared" si="3"/>
        <v>7</v>
      </c>
      <c r="O54" s="171">
        <f t="shared" si="4"/>
        <v>-1.0807737671946164E-3</v>
      </c>
      <c r="P54" s="171">
        <f t="shared" si="5"/>
        <v>-3.8900932544650211E-4</v>
      </c>
    </row>
    <row r="55" spans="2:16">
      <c r="B55" s="171">
        <v>0</v>
      </c>
      <c r="C55" s="171">
        <v>-1</v>
      </c>
      <c r="D55" s="171">
        <v>0</v>
      </c>
      <c r="E55" s="171">
        <v>0</v>
      </c>
      <c r="F55" s="171">
        <v>1</v>
      </c>
      <c r="G55" s="180">
        <v>-12</v>
      </c>
      <c r="H55" s="171">
        <v>0</v>
      </c>
      <c r="I55" s="180">
        <f t="shared" ref="I55:I85" si="6">H55*C$1</f>
        <v>0</v>
      </c>
      <c r="J55" s="177">
        <v>6</v>
      </c>
      <c r="K55" s="171">
        <v>0</v>
      </c>
      <c r="L55" s="177">
        <f t="shared" ref="L55:L85" si="7">K55*C$1</f>
        <v>0</v>
      </c>
      <c r="M55" s="171">
        <f t="shared" si="2"/>
        <v>-12</v>
      </c>
      <c r="N55" s="171">
        <f t="shared" si="3"/>
        <v>6</v>
      </c>
      <c r="O55" s="171">
        <f t="shared" si="4"/>
        <v>-8.9656251191159325E-4</v>
      </c>
      <c r="P55" s="171">
        <f t="shared" si="5"/>
        <v>-2.7812739410187361E-4</v>
      </c>
    </row>
    <row r="56" spans="2:16">
      <c r="B56" s="171">
        <v>0</v>
      </c>
      <c r="C56" s="171">
        <v>0</v>
      </c>
      <c r="D56" s="171">
        <v>2</v>
      </c>
      <c r="E56" s="171">
        <v>-2</v>
      </c>
      <c r="F56" s="171">
        <v>0</v>
      </c>
      <c r="G56" s="180">
        <v>11</v>
      </c>
      <c r="H56" s="171">
        <v>0</v>
      </c>
      <c r="I56" s="180">
        <f t="shared" si="6"/>
        <v>0</v>
      </c>
      <c r="J56" s="177">
        <v>0</v>
      </c>
      <c r="K56" s="171">
        <v>0</v>
      </c>
      <c r="L56" s="177">
        <f t="shared" si="7"/>
        <v>0</v>
      </c>
      <c r="M56" s="171">
        <f t="shared" si="2"/>
        <v>11</v>
      </c>
      <c r="N56" s="171">
        <f t="shared" si="3"/>
        <v>0</v>
      </c>
      <c r="O56" s="171">
        <f t="shared" si="4"/>
        <v>3.2248885724131922E-4</v>
      </c>
      <c r="P56" s="171">
        <f t="shared" si="5"/>
        <v>0</v>
      </c>
    </row>
    <row r="57" spans="2:16">
      <c r="B57" s="171">
        <v>2</v>
      </c>
      <c r="C57" s="171">
        <v>0</v>
      </c>
      <c r="D57" s="171">
        <v>-1</v>
      </c>
      <c r="E57" s="171">
        <v>2</v>
      </c>
      <c r="F57" s="171">
        <v>1</v>
      </c>
      <c r="G57" s="180">
        <v>-10</v>
      </c>
      <c r="H57" s="171">
        <v>0</v>
      </c>
      <c r="I57" s="180">
        <f t="shared" si="6"/>
        <v>0</v>
      </c>
      <c r="J57" s="177">
        <v>5</v>
      </c>
      <c r="K57" s="171">
        <v>0</v>
      </c>
      <c r="L57" s="177">
        <f t="shared" si="7"/>
        <v>0</v>
      </c>
      <c r="M57" s="171">
        <f t="shared" si="2"/>
        <v>-10</v>
      </c>
      <c r="N57" s="171">
        <f t="shared" si="3"/>
        <v>5</v>
      </c>
      <c r="O57" s="171">
        <f t="shared" si="4"/>
        <v>-9.0963141946355595E-4</v>
      </c>
      <c r="P57" s="171">
        <f t="shared" si="5"/>
        <v>-2.0770813701244137E-4</v>
      </c>
    </row>
    <row r="58" spans="2:16">
      <c r="B58" s="171">
        <v>2</v>
      </c>
      <c r="C58" s="171">
        <v>0</v>
      </c>
      <c r="D58" s="171">
        <v>1</v>
      </c>
      <c r="E58" s="171">
        <v>2</v>
      </c>
      <c r="F58" s="171">
        <v>2</v>
      </c>
      <c r="G58" s="180">
        <v>-8</v>
      </c>
      <c r="H58" s="171">
        <v>0</v>
      </c>
      <c r="I58" s="180">
        <f t="shared" si="6"/>
        <v>0</v>
      </c>
      <c r="J58" s="177">
        <v>3</v>
      </c>
      <c r="K58" s="171">
        <v>0</v>
      </c>
      <c r="L58" s="177">
        <f t="shared" si="7"/>
        <v>0</v>
      </c>
      <c r="M58" s="171">
        <f t="shared" si="2"/>
        <v>-8</v>
      </c>
      <c r="N58" s="171">
        <f t="shared" si="3"/>
        <v>3</v>
      </c>
      <c r="O58" s="171">
        <f t="shared" si="4"/>
        <v>-6.3454673972280758E-4</v>
      </c>
      <c r="P58" s="171">
        <f t="shared" si="5"/>
        <v>-1.8269484102443546E-4</v>
      </c>
    </row>
    <row r="59" spans="2:16">
      <c r="B59" s="171">
        <v>0</v>
      </c>
      <c r="C59" s="171">
        <v>1</v>
      </c>
      <c r="D59" s="171">
        <v>0</v>
      </c>
      <c r="E59" s="171">
        <v>2</v>
      </c>
      <c r="F59" s="171">
        <v>2</v>
      </c>
      <c r="G59" s="180">
        <v>7</v>
      </c>
      <c r="H59" s="171">
        <v>0</v>
      </c>
      <c r="I59" s="180">
        <f t="shared" si="6"/>
        <v>0</v>
      </c>
      <c r="J59" s="177">
        <v>-3</v>
      </c>
      <c r="K59" s="171">
        <v>0</v>
      </c>
      <c r="L59" s="177">
        <f t="shared" si="7"/>
        <v>0</v>
      </c>
      <c r="M59" s="171">
        <f t="shared" si="2"/>
        <v>7</v>
      </c>
      <c r="N59" s="171">
        <f t="shared" si="3"/>
        <v>-3</v>
      </c>
      <c r="O59" s="171">
        <f t="shared" si="4"/>
        <v>6.6703885187296692E-4</v>
      </c>
      <c r="P59" s="171">
        <f t="shared" si="5"/>
        <v>1.5761307602678737E-4</v>
      </c>
    </row>
    <row r="60" spans="2:16">
      <c r="B60" s="171">
        <v>-2</v>
      </c>
      <c r="C60" s="171">
        <v>1</v>
      </c>
      <c r="D60" s="171">
        <v>1</v>
      </c>
      <c r="E60" s="171">
        <v>0</v>
      </c>
      <c r="F60" s="171">
        <v>0</v>
      </c>
      <c r="G60" s="180">
        <v>-7</v>
      </c>
      <c r="H60" s="171">
        <v>0</v>
      </c>
      <c r="I60" s="180">
        <f t="shared" si="6"/>
        <v>0</v>
      </c>
      <c r="J60" s="177">
        <v>0</v>
      </c>
      <c r="K60" s="171">
        <v>0</v>
      </c>
      <c r="L60" s="177">
        <f t="shared" si="7"/>
        <v>0</v>
      </c>
      <c r="M60" s="171">
        <f t="shared" si="2"/>
        <v>-7</v>
      </c>
      <c r="N60" s="171">
        <f t="shared" si="3"/>
        <v>0</v>
      </c>
      <c r="O60" s="171">
        <f t="shared" si="4"/>
        <v>-6.7745181878319622E-4</v>
      </c>
      <c r="P60" s="171">
        <f t="shared" si="5"/>
        <v>0</v>
      </c>
    </row>
    <row r="61" spans="2:16">
      <c r="B61" s="171">
        <v>0</v>
      </c>
      <c r="C61" s="171">
        <v>-1</v>
      </c>
      <c r="D61" s="171">
        <v>0</v>
      </c>
      <c r="E61" s="171">
        <v>2</v>
      </c>
      <c r="F61" s="171">
        <v>2</v>
      </c>
      <c r="G61" s="180">
        <v>-7</v>
      </c>
      <c r="H61" s="171">
        <v>0</v>
      </c>
      <c r="I61" s="180">
        <f t="shared" si="6"/>
        <v>0</v>
      </c>
      <c r="J61" s="177">
        <v>3</v>
      </c>
      <c r="K61" s="171">
        <v>0</v>
      </c>
      <c r="L61" s="177">
        <f t="shared" si="7"/>
        <v>0</v>
      </c>
      <c r="M61" s="171">
        <f t="shared" si="2"/>
        <v>-7</v>
      </c>
      <c r="N61" s="171">
        <f t="shared" si="3"/>
        <v>3</v>
      </c>
      <c r="O61" s="171">
        <f t="shared" si="4"/>
        <v>-4.8858776298717189E-4</v>
      </c>
      <c r="P61" s="171">
        <f t="shared" si="5"/>
        <v>-1.5761307602678737E-4</v>
      </c>
    </row>
    <row r="62" spans="2:16">
      <c r="B62" s="171">
        <v>2</v>
      </c>
      <c r="C62" s="171">
        <v>0</v>
      </c>
      <c r="D62" s="171">
        <v>0</v>
      </c>
      <c r="E62" s="171">
        <v>2</v>
      </c>
      <c r="F62" s="171">
        <v>1</v>
      </c>
      <c r="G62" s="180">
        <v>-7</v>
      </c>
      <c r="H62" s="171">
        <v>0</v>
      </c>
      <c r="I62" s="180">
        <f t="shared" si="6"/>
        <v>0</v>
      </c>
      <c r="J62" s="177">
        <v>3</v>
      </c>
      <c r="K62" s="171">
        <v>0</v>
      </c>
      <c r="L62" s="177">
        <f t="shared" si="7"/>
        <v>0</v>
      </c>
      <c r="M62" s="171">
        <f t="shared" si="2"/>
        <v>-7</v>
      </c>
      <c r="N62" s="171">
        <f t="shared" si="3"/>
        <v>3</v>
      </c>
      <c r="O62" s="171">
        <f t="shared" si="4"/>
        <v>1.9690403196028663E-6</v>
      </c>
      <c r="P62" s="171">
        <f t="shared" si="5"/>
        <v>2.9999881312425011E-4</v>
      </c>
    </row>
    <row r="63" spans="2:16">
      <c r="B63" s="171">
        <v>2</v>
      </c>
      <c r="C63" s="171">
        <v>0</v>
      </c>
      <c r="D63" s="171">
        <v>1</v>
      </c>
      <c r="E63" s="171">
        <v>0</v>
      </c>
      <c r="F63" s="171">
        <v>0</v>
      </c>
      <c r="G63" s="180">
        <v>6</v>
      </c>
      <c r="H63" s="171">
        <v>0</v>
      </c>
      <c r="I63" s="180">
        <f t="shared" si="6"/>
        <v>0</v>
      </c>
      <c r="J63" s="177">
        <v>0</v>
      </c>
      <c r="K63" s="171">
        <v>0</v>
      </c>
      <c r="L63" s="177">
        <f t="shared" si="7"/>
        <v>0</v>
      </c>
      <c r="M63" s="171">
        <f t="shared" si="2"/>
        <v>6</v>
      </c>
      <c r="N63" s="171">
        <f t="shared" si="3"/>
        <v>0</v>
      </c>
      <c r="O63" s="171">
        <f t="shared" si="4"/>
        <v>-5.6093113479196912E-4</v>
      </c>
      <c r="P63" s="171">
        <f t="shared" si="5"/>
        <v>0</v>
      </c>
    </row>
    <row r="64" spans="2:16">
      <c r="B64" s="171">
        <v>-2</v>
      </c>
      <c r="C64" s="171">
        <v>0</v>
      </c>
      <c r="D64" s="171">
        <v>2</v>
      </c>
      <c r="E64" s="171">
        <v>2</v>
      </c>
      <c r="F64" s="171">
        <v>2</v>
      </c>
      <c r="G64" s="180">
        <v>6</v>
      </c>
      <c r="H64" s="171">
        <v>0</v>
      </c>
      <c r="I64" s="180">
        <f t="shared" si="6"/>
        <v>0</v>
      </c>
      <c r="J64" s="177">
        <v>-3</v>
      </c>
      <c r="K64" s="171">
        <v>0</v>
      </c>
      <c r="L64" s="177">
        <f t="shared" si="7"/>
        <v>0</v>
      </c>
      <c r="M64" s="171">
        <f t="shared" si="2"/>
        <v>6</v>
      </c>
      <c r="N64" s="171">
        <f t="shared" si="3"/>
        <v>-3</v>
      </c>
      <c r="O64" s="171">
        <f t="shared" si="4"/>
        <v>5.2049977440813288E-5</v>
      </c>
      <c r="P64" s="171">
        <f t="shared" si="5"/>
        <v>-2.9886903479969736E-4</v>
      </c>
    </row>
    <row r="65" spans="2:16">
      <c r="B65" s="171">
        <v>-2</v>
      </c>
      <c r="C65" s="171">
        <v>0</v>
      </c>
      <c r="D65" s="171">
        <v>1</v>
      </c>
      <c r="E65" s="171">
        <v>2</v>
      </c>
      <c r="F65" s="171">
        <v>1</v>
      </c>
      <c r="G65" s="180">
        <v>6</v>
      </c>
      <c r="H65" s="171">
        <v>0</v>
      </c>
      <c r="I65" s="180">
        <f t="shared" si="6"/>
        <v>0</v>
      </c>
      <c r="J65" s="177">
        <v>-3</v>
      </c>
      <c r="K65" s="171">
        <v>0</v>
      </c>
      <c r="L65" s="177">
        <f t="shared" si="7"/>
        <v>0</v>
      </c>
      <c r="M65" s="171">
        <f t="shared" si="2"/>
        <v>6</v>
      </c>
      <c r="N65" s="171">
        <f t="shared" si="3"/>
        <v>-3</v>
      </c>
      <c r="O65" s="171">
        <f t="shared" si="4"/>
        <v>-5.0490366553530884E-4</v>
      </c>
      <c r="P65" s="171">
        <f t="shared" si="5"/>
        <v>1.6207427967525337E-4</v>
      </c>
    </row>
    <row r="66" spans="2:16">
      <c r="B66" s="171">
        <v>2</v>
      </c>
      <c r="C66" s="171">
        <v>0</v>
      </c>
      <c r="D66" s="171">
        <v>-2</v>
      </c>
      <c r="E66" s="171">
        <v>0</v>
      </c>
      <c r="F66" s="171">
        <v>1</v>
      </c>
      <c r="G66" s="180">
        <v>-6</v>
      </c>
      <c r="H66" s="171">
        <v>0</v>
      </c>
      <c r="I66" s="180">
        <f t="shared" si="6"/>
        <v>0</v>
      </c>
      <c r="J66" s="177">
        <v>3</v>
      </c>
      <c r="K66" s="171">
        <v>0</v>
      </c>
      <c r="L66" s="177">
        <f t="shared" si="7"/>
        <v>0</v>
      </c>
      <c r="M66" s="171">
        <f t="shared" si="2"/>
        <v>-6</v>
      </c>
      <c r="N66" s="171">
        <f t="shared" si="3"/>
        <v>3</v>
      </c>
      <c r="O66" s="171">
        <f t="shared" si="4"/>
        <v>-5.4058454036214271E-4</v>
      </c>
      <c r="P66" s="171">
        <f t="shared" si="5"/>
        <v>-1.3016177887676067E-4</v>
      </c>
    </row>
    <row r="67" spans="2:16">
      <c r="B67" s="171">
        <v>2</v>
      </c>
      <c r="C67" s="171">
        <v>0</v>
      </c>
      <c r="D67" s="171">
        <v>0</v>
      </c>
      <c r="E67" s="171">
        <v>0</v>
      </c>
      <c r="F67" s="171">
        <v>1</v>
      </c>
      <c r="G67" s="180">
        <v>-6</v>
      </c>
      <c r="H67" s="171">
        <v>0</v>
      </c>
      <c r="I67" s="180">
        <f t="shared" si="6"/>
        <v>0</v>
      </c>
      <c r="J67" s="177">
        <v>3</v>
      </c>
      <c r="K67" s="171">
        <v>0</v>
      </c>
      <c r="L67" s="177">
        <f t="shared" si="7"/>
        <v>0</v>
      </c>
      <c r="M67" s="171">
        <f t="shared" si="2"/>
        <v>-6</v>
      </c>
      <c r="N67" s="171">
        <f t="shared" si="3"/>
        <v>3</v>
      </c>
      <c r="O67" s="171">
        <f t="shared" si="4"/>
        <v>5.4939828184427273E-4</v>
      </c>
      <c r="P67" s="171">
        <f t="shared" si="5"/>
        <v>-1.2058350623796058E-4</v>
      </c>
    </row>
    <row r="68" spans="2:16">
      <c r="B68" s="171">
        <v>0</v>
      </c>
      <c r="C68" s="171">
        <v>-1</v>
      </c>
      <c r="D68" s="171">
        <v>1</v>
      </c>
      <c r="E68" s="171">
        <v>0</v>
      </c>
      <c r="F68" s="171">
        <v>0</v>
      </c>
      <c r="G68" s="180">
        <v>5</v>
      </c>
      <c r="H68" s="171">
        <v>0</v>
      </c>
      <c r="I68" s="180">
        <f t="shared" si="6"/>
        <v>0</v>
      </c>
      <c r="J68" s="177">
        <v>0</v>
      </c>
      <c r="K68" s="171">
        <v>0</v>
      </c>
      <c r="L68" s="177">
        <f t="shared" si="7"/>
        <v>0</v>
      </c>
      <c r="M68" s="171">
        <f t="shared" si="2"/>
        <v>5</v>
      </c>
      <c r="N68" s="171">
        <f t="shared" si="3"/>
        <v>0</v>
      </c>
      <c r="O68" s="171">
        <f t="shared" si="4"/>
        <v>3.8995471104566676E-4</v>
      </c>
      <c r="P68" s="171">
        <f t="shared" si="5"/>
        <v>0</v>
      </c>
    </row>
    <row r="69" spans="2:16">
      <c r="B69" s="171">
        <v>-2</v>
      </c>
      <c r="C69" s="171">
        <v>-1</v>
      </c>
      <c r="D69" s="171">
        <v>0</v>
      </c>
      <c r="E69" s="171">
        <v>2</v>
      </c>
      <c r="F69" s="171">
        <v>1</v>
      </c>
      <c r="G69" s="180">
        <v>-5</v>
      </c>
      <c r="H69" s="171">
        <v>0</v>
      </c>
      <c r="I69" s="180">
        <f t="shared" si="6"/>
        <v>0</v>
      </c>
      <c r="J69" s="177">
        <v>3</v>
      </c>
      <c r="K69" s="171">
        <v>0</v>
      </c>
      <c r="L69" s="177">
        <f t="shared" si="7"/>
        <v>0</v>
      </c>
      <c r="M69" s="171">
        <f t="shared" si="2"/>
        <v>-5</v>
      </c>
      <c r="N69" s="171">
        <f t="shared" si="3"/>
        <v>3</v>
      </c>
      <c r="O69" s="171">
        <f t="shared" si="4"/>
        <v>-1.875849006820298E-4</v>
      </c>
      <c r="P69" s="171">
        <f t="shared" si="5"/>
        <v>2.9708494180120205E-4</v>
      </c>
    </row>
    <row r="70" spans="2:16">
      <c r="B70" s="171">
        <v>-2</v>
      </c>
      <c r="C70" s="171">
        <v>0</v>
      </c>
      <c r="D70" s="171">
        <v>0</v>
      </c>
      <c r="E70" s="171">
        <v>0</v>
      </c>
      <c r="F70" s="171">
        <v>1</v>
      </c>
      <c r="G70" s="180">
        <v>-5</v>
      </c>
      <c r="H70" s="171">
        <v>0</v>
      </c>
      <c r="I70" s="180">
        <f t="shared" si="6"/>
        <v>0</v>
      </c>
      <c r="J70" s="177">
        <v>3</v>
      </c>
      <c r="K70" s="171">
        <v>0</v>
      </c>
      <c r="L70" s="177">
        <f t="shared" si="7"/>
        <v>0</v>
      </c>
      <c r="M70" s="171">
        <f t="shared" si="2"/>
        <v>-5</v>
      </c>
      <c r="N70" s="171">
        <f t="shared" si="3"/>
        <v>3</v>
      </c>
      <c r="O70" s="171">
        <f t="shared" si="4"/>
        <v>4.2617204170771904E-4</v>
      </c>
      <c r="P70" s="171">
        <f t="shared" si="5"/>
        <v>-1.5689442536942708E-4</v>
      </c>
    </row>
    <row r="71" spans="2:16">
      <c r="B71" s="171">
        <v>0</v>
      </c>
      <c r="C71" s="171">
        <v>0</v>
      </c>
      <c r="D71" s="171">
        <v>2</v>
      </c>
      <c r="E71" s="171">
        <v>2</v>
      </c>
      <c r="F71" s="171">
        <v>1</v>
      </c>
      <c r="G71" s="180">
        <v>-5</v>
      </c>
      <c r="H71" s="171">
        <v>0</v>
      </c>
      <c r="I71" s="180">
        <f t="shared" si="6"/>
        <v>0</v>
      </c>
      <c r="J71" s="177">
        <v>3</v>
      </c>
      <c r="K71" s="171">
        <v>0</v>
      </c>
      <c r="L71" s="177">
        <f t="shared" si="7"/>
        <v>0</v>
      </c>
      <c r="M71" s="171">
        <f t="shared" si="2"/>
        <v>-5</v>
      </c>
      <c r="N71" s="171">
        <f t="shared" si="3"/>
        <v>3</v>
      </c>
      <c r="O71" s="171">
        <f t="shared" si="4"/>
        <v>-4.0188111337637386E-4</v>
      </c>
      <c r="P71" s="171">
        <f t="shared" si="5"/>
        <v>-1.7848519674217193E-4</v>
      </c>
    </row>
    <row r="72" spans="2:16">
      <c r="B72" s="171">
        <v>-2</v>
      </c>
      <c r="C72" s="171">
        <v>0</v>
      </c>
      <c r="D72" s="171">
        <v>2</v>
      </c>
      <c r="E72" s="171">
        <v>0</v>
      </c>
      <c r="F72" s="171">
        <v>1</v>
      </c>
      <c r="G72" s="180">
        <v>4</v>
      </c>
      <c r="H72" s="171">
        <v>0</v>
      </c>
      <c r="I72" s="180">
        <f t="shared" si="6"/>
        <v>0</v>
      </c>
      <c r="J72" s="177">
        <v>0</v>
      </c>
      <c r="K72" s="171">
        <v>0</v>
      </c>
      <c r="L72" s="177">
        <f t="shared" si="7"/>
        <v>0</v>
      </c>
      <c r="M72" s="171">
        <f t="shared" si="2"/>
        <v>4</v>
      </c>
      <c r="N72" s="171">
        <f t="shared" si="3"/>
        <v>0</v>
      </c>
      <c r="O72" s="171">
        <f t="shared" si="4"/>
        <v>6.2947093107959933E-5</v>
      </c>
      <c r="P72" s="171">
        <f t="shared" si="5"/>
        <v>0</v>
      </c>
    </row>
    <row r="73" spans="2:16">
      <c r="B73" s="171">
        <v>-2</v>
      </c>
      <c r="C73" s="171">
        <v>1</v>
      </c>
      <c r="D73" s="171">
        <v>0</v>
      </c>
      <c r="E73" s="171">
        <v>2</v>
      </c>
      <c r="F73" s="171">
        <v>1</v>
      </c>
      <c r="G73" s="180">
        <v>4</v>
      </c>
      <c r="H73" s="171">
        <v>0</v>
      </c>
      <c r="I73" s="180">
        <f t="shared" si="6"/>
        <v>0</v>
      </c>
      <c r="J73" s="177">
        <v>0</v>
      </c>
      <c r="K73" s="171">
        <v>0</v>
      </c>
      <c r="L73" s="177">
        <f t="shared" si="7"/>
        <v>0</v>
      </c>
      <c r="M73" s="171">
        <f t="shared" si="2"/>
        <v>4</v>
      </c>
      <c r="N73" s="171">
        <f t="shared" si="3"/>
        <v>0</v>
      </c>
      <c r="O73" s="171">
        <f t="shared" si="4"/>
        <v>-4.2139233445248075E-5</v>
      </c>
      <c r="P73" s="171">
        <f t="shared" si="5"/>
        <v>0</v>
      </c>
    </row>
    <row r="74" spans="2:16">
      <c r="B74" s="171">
        <v>0</v>
      </c>
      <c r="C74" s="171">
        <v>0</v>
      </c>
      <c r="D74" s="171">
        <v>1</v>
      </c>
      <c r="E74" s="171">
        <v>-2</v>
      </c>
      <c r="F74" s="171">
        <v>0</v>
      </c>
      <c r="G74" s="180">
        <v>4</v>
      </c>
      <c r="H74" s="171">
        <v>0</v>
      </c>
      <c r="I74" s="180">
        <f t="shared" si="6"/>
        <v>0</v>
      </c>
      <c r="J74" s="177">
        <v>0</v>
      </c>
      <c r="K74" s="171">
        <v>0</v>
      </c>
      <c r="L74" s="177">
        <f t="shared" si="7"/>
        <v>0</v>
      </c>
      <c r="M74" s="171">
        <f t="shared" si="2"/>
        <v>4</v>
      </c>
      <c r="N74" s="171">
        <f t="shared" si="3"/>
        <v>0</v>
      </c>
      <c r="O74" s="171">
        <f t="shared" si="4"/>
        <v>2.9840138605711824E-4</v>
      </c>
      <c r="P74" s="171">
        <f t="shared" si="5"/>
        <v>0</v>
      </c>
    </row>
    <row r="75" spans="2:16">
      <c r="B75" s="171">
        <v>-1</v>
      </c>
      <c r="C75" s="171">
        <v>0</v>
      </c>
      <c r="D75" s="171">
        <v>1</v>
      </c>
      <c r="E75" s="171">
        <v>0</v>
      </c>
      <c r="F75" s="171">
        <v>0</v>
      </c>
      <c r="G75" s="180">
        <v>-4</v>
      </c>
      <c r="H75" s="171">
        <v>0</v>
      </c>
      <c r="I75" s="180">
        <f t="shared" si="6"/>
        <v>0</v>
      </c>
      <c r="J75" s="177">
        <v>0</v>
      </c>
      <c r="K75" s="171">
        <v>0</v>
      </c>
      <c r="L75" s="177">
        <f t="shared" si="7"/>
        <v>0</v>
      </c>
      <c r="M75" s="171">
        <f t="shared" si="2"/>
        <v>-4</v>
      </c>
      <c r="N75" s="171">
        <f t="shared" si="3"/>
        <v>0</v>
      </c>
      <c r="O75" s="171">
        <f t="shared" si="4"/>
        <v>3.5745872115802658E-4</v>
      </c>
      <c r="P75" s="171">
        <f t="shared" si="5"/>
        <v>0</v>
      </c>
    </row>
    <row r="76" spans="2:16">
      <c r="B76" s="171">
        <v>-2</v>
      </c>
      <c r="C76" s="171">
        <v>1</v>
      </c>
      <c r="D76" s="171">
        <v>0</v>
      </c>
      <c r="E76" s="171">
        <v>0</v>
      </c>
      <c r="F76" s="171">
        <v>0</v>
      </c>
      <c r="G76" s="180">
        <v>-4</v>
      </c>
      <c r="H76" s="171">
        <v>0</v>
      </c>
      <c r="I76" s="180">
        <f t="shared" si="6"/>
        <v>0</v>
      </c>
      <c r="J76" s="177">
        <v>0</v>
      </c>
      <c r="K76" s="171">
        <v>0</v>
      </c>
      <c r="L76" s="177">
        <f t="shared" si="7"/>
        <v>0</v>
      </c>
      <c r="M76" s="171">
        <f t="shared" si="2"/>
        <v>-4</v>
      </c>
      <c r="N76" s="171">
        <f t="shared" si="3"/>
        <v>0</v>
      </c>
      <c r="O76" s="171">
        <f t="shared" si="4"/>
        <v>7.0316466046702527E-5</v>
      </c>
      <c r="P76" s="171">
        <f t="shared" si="5"/>
        <v>0</v>
      </c>
    </row>
    <row r="77" spans="2:16">
      <c r="B77" s="171">
        <v>1</v>
      </c>
      <c r="C77" s="171">
        <v>0</v>
      </c>
      <c r="D77" s="171">
        <v>0</v>
      </c>
      <c r="E77" s="171">
        <v>0</v>
      </c>
      <c r="F77" s="171">
        <v>0</v>
      </c>
      <c r="G77" s="180">
        <v>-4</v>
      </c>
      <c r="H77" s="171">
        <v>0</v>
      </c>
      <c r="I77" s="180">
        <f t="shared" si="6"/>
        <v>0</v>
      </c>
      <c r="J77" s="177">
        <v>0</v>
      </c>
      <c r="K77" s="171">
        <v>0</v>
      </c>
      <c r="L77" s="177">
        <f t="shared" si="7"/>
        <v>0</v>
      </c>
      <c r="M77" s="171">
        <f t="shared" si="2"/>
        <v>-4</v>
      </c>
      <c r="N77" s="171">
        <f t="shared" si="3"/>
        <v>0</v>
      </c>
      <c r="O77" s="171">
        <f t="shared" si="4"/>
        <v>-1.3667848248533535E-5</v>
      </c>
      <c r="P77" s="171">
        <f t="shared" si="5"/>
        <v>0</v>
      </c>
    </row>
    <row r="78" spans="2:16">
      <c r="B78" s="171">
        <v>0</v>
      </c>
      <c r="C78" s="171">
        <v>0</v>
      </c>
      <c r="D78" s="171">
        <v>1</v>
      </c>
      <c r="E78" s="171">
        <v>2</v>
      </c>
      <c r="F78" s="171">
        <v>0</v>
      </c>
      <c r="G78" s="180">
        <v>3</v>
      </c>
      <c r="H78" s="171">
        <v>0</v>
      </c>
      <c r="I78" s="180">
        <f t="shared" si="6"/>
        <v>0</v>
      </c>
      <c r="J78" s="177">
        <v>0</v>
      </c>
      <c r="K78" s="171">
        <v>0</v>
      </c>
      <c r="L78" s="177">
        <f t="shared" si="7"/>
        <v>0</v>
      </c>
      <c r="M78" s="171">
        <f t="shared" si="2"/>
        <v>3</v>
      </c>
      <c r="N78" s="171">
        <f t="shared" si="3"/>
        <v>0</v>
      </c>
      <c r="O78" s="171">
        <f t="shared" si="4"/>
        <v>-6.115435903221706E-6</v>
      </c>
      <c r="P78" s="171">
        <f t="shared" si="5"/>
        <v>0</v>
      </c>
    </row>
    <row r="79" spans="2:16">
      <c r="B79" s="171">
        <v>0</v>
      </c>
      <c r="C79" s="171">
        <v>0</v>
      </c>
      <c r="D79" s="171">
        <v>-2</v>
      </c>
      <c r="E79" s="171">
        <v>2</v>
      </c>
      <c r="F79" s="171">
        <v>2</v>
      </c>
      <c r="G79" s="180">
        <v>-3</v>
      </c>
      <c r="H79" s="171">
        <v>0</v>
      </c>
      <c r="I79" s="180">
        <f t="shared" si="6"/>
        <v>0</v>
      </c>
      <c r="J79" s="177">
        <v>0</v>
      </c>
      <c r="K79" s="171">
        <v>0</v>
      </c>
      <c r="L79" s="177">
        <f t="shared" si="7"/>
        <v>0</v>
      </c>
      <c r="M79" s="171">
        <f t="shared" si="2"/>
        <v>-3</v>
      </c>
      <c r="N79" s="171">
        <f t="shared" si="3"/>
        <v>0</v>
      </c>
      <c r="O79" s="171">
        <f t="shared" si="4"/>
        <v>-2.8576693313875465E-4</v>
      </c>
      <c r="P79" s="171">
        <f t="shared" si="5"/>
        <v>0</v>
      </c>
    </row>
    <row r="80" spans="2:16">
      <c r="B80" s="171">
        <v>-1</v>
      </c>
      <c r="C80" s="171">
        <v>-1</v>
      </c>
      <c r="D80" s="171">
        <v>1</v>
      </c>
      <c r="E80" s="171">
        <v>0</v>
      </c>
      <c r="F80" s="171">
        <v>0</v>
      </c>
      <c r="G80" s="180">
        <v>-3</v>
      </c>
      <c r="H80" s="171">
        <v>0</v>
      </c>
      <c r="I80" s="180">
        <f t="shared" si="6"/>
        <v>0</v>
      </c>
      <c r="J80" s="177">
        <v>0</v>
      </c>
      <c r="K80" s="171">
        <v>0</v>
      </c>
      <c r="L80" s="177">
        <f t="shared" si="7"/>
        <v>0</v>
      </c>
      <c r="M80" s="171">
        <f t="shared" si="2"/>
        <v>-3</v>
      </c>
      <c r="N80" s="171">
        <f t="shared" si="3"/>
        <v>0</v>
      </c>
      <c r="O80" s="171">
        <f t="shared" si="4"/>
        <v>-2.2742024599806495E-4</v>
      </c>
      <c r="P80" s="171">
        <f t="shared" si="5"/>
        <v>0</v>
      </c>
    </row>
    <row r="81" spans="2:16">
      <c r="B81" s="171">
        <v>0</v>
      </c>
      <c r="C81" s="171">
        <v>1</v>
      </c>
      <c r="D81" s="171">
        <v>1</v>
      </c>
      <c r="E81" s="171">
        <v>0</v>
      </c>
      <c r="F81" s="171">
        <v>0</v>
      </c>
      <c r="G81" s="180">
        <v>-3</v>
      </c>
      <c r="H81" s="171">
        <v>0</v>
      </c>
      <c r="I81" s="180">
        <f t="shared" si="6"/>
        <v>0</v>
      </c>
      <c r="J81" s="177">
        <v>0</v>
      </c>
      <c r="K81" s="171">
        <v>0</v>
      </c>
      <c r="L81" s="177">
        <f t="shared" si="7"/>
        <v>0</v>
      </c>
      <c r="M81" s="171">
        <f t="shared" si="2"/>
        <v>-3</v>
      </c>
      <c r="N81" s="171">
        <f t="shared" si="3"/>
        <v>0</v>
      </c>
      <c r="O81" s="171">
        <f t="shared" si="4"/>
        <v>-2.9481714285281086E-4</v>
      </c>
      <c r="P81" s="171">
        <f t="shared" si="5"/>
        <v>0</v>
      </c>
    </row>
    <row r="82" spans="2:16">
      <c r="B82" s="171">
        <v>0</v>
      </c>
      <c r="C82" s="171">
        <v>-1</v>
      </c>
      <c r="D82" s="171">
        <v>1</v>
      </c>
      <c r="E82" s="171">
        <v>2</v>
      </c>
      <c r="F82" s="171">
        <v>2</v>
      </c>
      <c r="G82" s="180">
        <v>-3</v>
      </c>
      <c r="H82" s="171">
        <v>0</v>
      </c>
      <c r="I82" s="180">
        <f t="shared" si="6"/>
        <v>0</v>
      </c>
      <c r="J82" s="177">
        <v>0</v>
      </c>
      <c r="K82" s="171">
        <v>0</v>
      </c>
      <c r="L82" s="177">
        <f t="shared" si="7"/>
        <v>0</v>
      </c>
      <c r="M82" s="171">
        <f t="shared" si="2"/>
        <v>-3</v>
      </c>
      <c r="N82" s="171">
        <f t="shared" si="3"/>
        <v>0</v>
      </c>
      <c r="O82" s="171">
        <f t="shared" si="4"/>
        <v>2.8268976895151583E-4</v>
      </c>
      <c r="P82" s="171">
        <f t="shared" si="5"/>
        <v>0</v>
      </c>
    </row>
    <row r="83" spans="2:16">
      <c r="B83" s="171">
        <v>2</v>
      </c>
      <c r="C83" s="171">
        <v>-1</v>
      </c>
      <c r="D83" s="171">
        <v>-1</v>
      </c>
      <c r="E83" s="171">
        <v>2</v>
      </c>
      <c r="F83" s="171">
        <v>2</v>
      </c>
      <c r="G83" s="180">
        <v>-3</v>
      </c>
      <c r="H83" s="171">
        <v>0</v>
      </c>
      <c r="I83" s="180">
        <f t="shared" si="6"/>
        <v>0</v>
      </c>
      <c r="J83" s="177">
        <v>0</v>
      </c>
      <c r="K83" s="171">
        <v>0</v>
      </c>
      <c r="L83" s="177">
        <f t="shared" si="7"/>
        <v>0</v>
      </c>
      <c r="M83" s="171">
        <f t="shared" si="2"/>
        <v>-3</v>
      </c>
      <c r="N83" s="171">
        <f t="shared" si="3"/>
        <v>0</v>
      </c>
      <c r="O83" s="171">
        <f t="shared" si="4"/>
        <v>-8.8270252142010308E-5</v>
      </c>
      <c r="P83" s="171">
        <f t="shared" si="5"/>
        <v>0</v>
      </c>
    </row>
    <row r="84" spans="2:16">
      <c r="B84" s="171">
        <v>0</v>
      </c>
      <c r="C84" s="171">
        <v>0</v>
      </c>
      <c r="D84" s="171">
        <v>3</v>
      </c>
      <c r="E84" s="171">
        <v>2</v>
      </c>
      <c r="F84" s="171">
        <v>2</v>
      </c>
      <c r="G84" s="180">
        <v>-3</v>
      </c>
      <c r="H84" s="171">
        <v>0</v>
      </c>
      <c r="I84" s="180">
        <f t="shared" si="6"/>
        <v>0</v>
      </c>
      <c r="J84" s="177">
        <v>0</v>
      </c>
      <c r="K84" s="171">
        <v>0</v>
      </c>
      <c r="L84" s="177">
        <f t="shared" si="7"/>
        <v>0</v>
      </c>
      <c r="M84" s="171">
        <f t="shared" si="2"/>
        <v>-3</v>
      </c>
      <c r="N84" s="171">
        <f t="shared" si="3"/>
        <v>0</v>
      </c>
      <c r="O84" s="171">
        <f t="shared" si="4"/>
        <v>2.8864581867442889E-4</v>
      </c>
      <c r="P84" s="171">
        <f t="shared" si="5"/>
        <v>0</v>
      </c>
    </row>
    <row r="85" spans="2:16">
      <c r="B85" s="171">
        <v>2</v>
      </c>
      <c r="C85" s="171">
        <v>-1</v>
      </c>
      <c r="D85" s="171">
        <v>0</v>
      </c>
      <c r="E85" s="171">
        <v>2</v>
      </c>
      <c r="F85" s="171">
        <v>2</v>
      </c>
      <c r="G85" s="180">
        <v>-3</v>
      </c>
      <c r="H85" s="171">
        <v>0</v>
      </c>
      <c r="I85" s="180">
        <f t="shared" si="6"/>
        <v>0</v>
      </c>
      <c r="J85" s="177">
        <v>0</v>
      </c>
      <c r="K85" s="171">
        <v>0</v>
      </c>
      <c r="L85" s="177">
        <f t="shared" si="7"/>
        <v>0</v>
      </c>
      <c r="M85" s="171">
        <f t="shared" si="2"/>
        <v>-3</v>
      </c>
      <c r="N85" s="171">
        <f t="shared" si="3"/>
        <v>0</v>
      </c>
      <c r="O85" s="171">
        <f t="shared" si="4"/>
        <v>-2.2357884165607729E-4</v>
      </c>
      <c r="P85" s="171">
        <f t="shared" si="5"/>
        <v>0</v>
      </c>
    </row>
    <row r="86" spans="2:16">
      <c r="O86" s="171">
        <f>SUM(O23:O85)</f>
        <v>16.549615522388745</v>
      </c>
      <c r="P86" s="171">
        <f>SUM(P23:P85)</f>
        <v>-4.5944123059235977</v>
      </c>
    </row>
    <row r="87" spans="2:16">
      <c r="O87" s="171">
        <f>O86/3600</f>
        <v>4.5971154228857626E-3</v>
      </c>
      <c r="P87" s="171">
        <f>P86/3600</f>
        <v>-1.2762256405343328E-3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D5:D10"/>
  <sheetViews>
    <sheetView topLeftCell="A7" workbookViewId="0">
      <selection activeCell="G10" sqref="G10"/>
    </sheetView>
  </sheetViews>
  <sheetFormatPr defaultRowHeight="14.4"/>
  <cols>
    <col min="4" max="4" width="78.33203125" customWidth="1"/>
  </cols>
  <sheetData>
    <row r="5" spans="4:4" ht="28.95" customHeight="1" thickBot="1">
      <c r="D5" s="17" t="s">
        <v>109</v>
      </c>
    </row>
    <row r="6" spans="4:4" ht="37.200000000000003" customHeight="1">
      <c r="D6" s="2" t="s">
        <v>113</v>
      </c>
    </row>
    <row r="7" spans="4:4" ht="37.200000000000003" customHeight="1">
      <c r="D7" s="18"/>
    </row>
    <row r="8" spans="4:4" ht="47.4" customHeight="1">
      <c r="D8" s="2" t="s">
        <v>110</v>
      </c>
    </row>
    <row r="9" spans="4:4" ht="30.6" customHeight="1">
      <c r="D9" s="3" t="s">
        <v>111</v>
      </c>
    </row>
    <row r="10" spans="4:4" ht="54.6" customHeight="1">
      <c r="D10" s="18" t="s">
        <v>112</v>
      </c>
    </row>
  </sheetData>
  <hyperlinks>
    <hyperlink ref="D9" r:id="rId1" tooltip="Universal Time" display="http://en.wikipedia.org/wiki/Universal_Time"/>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dimension ref="G13:H18"/>
  <sheetViews>
    <sheetView workbookViewId="0">
      <selection activeCell="H19" sqref="H19"/>
    </sheetView>
  </sheetViews>
  <sheetFormatPr defaultRowHeight="14.4"/>
  <cols>
    <col min="8" max="8" width="17" customWidth="1"/>
  </cols>
  <sheetData>
    <row r="13" spans="7:8">
      <c r="H13">
        <v>46515</v>
      </c>
    </row>
    <row r="14" spans="7:8">
      <c r="G14">
        <v>44023</v>
      </c>
      <c r="H14">
        <f>G14*0.75</f>
        <v>33017.25</v>
      </c>
    </row>
    <row r="15" spans="7:8">
      <c r="H15">
        <f>SUM(H13:H14)</f>
        <v>79532.25</v>
      </c>
    </row>
    <row r="16" spans="7:8">
      <c r="H16">
        <v>48765</v>
      </c>
    </row>
    <row r="17" spans="8:8" ht="15.6">
      <c r="H17" s="25">
        <f>H16+H15</f>
        <v>128297.25</v>
      </c>
    </row>
    <row r="18" spans="8:8">
      <c r="H18">
        <f>H17+1500</f>
        <v>129797.25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3:AG156"/>
  <sheetViews>
    <sheetView topLeftCell="W111" workbookViewId="0">
      <selection activeCell="AD91" sqref="AD91"/>
    </sheetView>
  </sheetViews>
  <sheetFormatPr defaultRowHeight="14.4"/>
  <sheetData>
    <row r="3" spans="3:32" ht="15.6">
      <c r="AF3" s="29" t="s">
        <v>229</v>
      </c>
    </row>
    <row r="4" spans="3:32" ht="15.6">
      <c r="AF4" s="30" t="s">
        <v>230</v>
      </c>
    </row>
    <row r="5" spans="3:32" ht="22.8">
      <c r="C5" s="27" t="s">
        <v>157</v>
      </c>
      <c r="AF5" s="30" t="s">
        <v>231</v>
      </c>
    </row>
    <row r="6" spans="3:32" ht="15.6">
      <c r="AF6" s="30" t="s">
        <v>47</v>
      </c>
    </row>
    <row r="7" spans="3:32" ht="15.6">
      <c r="D7" s="10" t="s">
        <v>158</v>
      </c>
      <c r="AF7" s="30" t="s">
        <v>48</v>
      </c>
    </row>
    <row r="8" spans="3:32" ht="18">
      <c r="D8" s="12" t="s">
        <v>159</v>
      </c>
      <c r="AF8" s="30" t="s">
        <v>49</v>
      </c>
    </row>
    <row r="9" spans="3:32" ht="15.6">
      <c r="D9" s="10" t="s">
        <v>160</v>
      </c>
      <c r="AF9" s="30" t="s">
        <v>50</v>
      </c>
    </row>
    <row r="10" spans="3:32" ht="18">
      <c r="D10" s="12" t="s">
        <v>161</v>
      </c>
      <c r="AF10" s="30" t="s">
        <v>51</v>
      </c>
    </row>
    <row r="11" spans="3:32" ht="15.6">
      <c r="AF11" s="30" t="s">
        <v>52</v>
      </c>
    </row>
    <row r="12" spans="3:32" ht="18">
      <c r="D12" s="12" t="s">
        <v>162</v>
      </c>
      <c r="AF12" s="30" t="s">
        <v>53</v>
      </c>
    </row>
    <row r="13" spans="3:32" ht="15.6">
      <c r="D13" s="10" t="s">
        <v>163</v>
      </c>
      <c r="AF13" s="30" t="s">
        <v>54</v>
      </c>
    </row>
    <row r="14" spans="3:32" ht="15.6">
      <c r="D14" s="10" t="s">
        <v>42</v>
      </c>
      <c r="AF14" s="30" t="s">
        <v>55</v>
      </c>
    </row>
    <row r="15" spans="3:32" ht="15.6">
      <c r="D15" s="10"/>
      <c r="AF15" s="30" t="s">
        <v>56</v>
      </c>
    </row>
    <row r="16" spans="3:32" ht="15.6">
      <c r="D16" s="10" t="s">
        <v>43</v>
      </c>
      <c r="AF16" s="30" t="s">
        <v>57</v>
      </c>
    </row>
    <row r="17" spans="4:33" ht="15.6">
      <c r="D17" s="10" t="s">
        <v>44</v>
      </c>
      <c r="AF17" s="30" t="s">
        <v>232</v>
      </c>
    </row>
    <row r="18" spans="4:33" ht="15.6">
      <c r="D18" s="28" t="s">
        <v>164</v>
      </c>
      <c r="AF18" s="30" t="s">
        <v>59</v>
      </c>
    </row>
    <row r="20" spans="4:33" ht="18">
      <c r="D20" s="12" t="s">
        <v>165</v>
      </c>
    </row>
    <row r="21" spans="4:33" ht="15.6">
      <c r="AG21" s="30" t="s">
        <v>233</v>
      </c>
    </row>
    <row r="22" spans="4:33">
      <c r="D22" s="10" t="s">
        <v>166</v>
      </c>
    </row>
    <row r="23" spans="4:33" ht="15.6">
      <c r="D23" s="10" t="s">
        <v>167</v>
      </c>
      <c r="AG23" s="30" t="s">
        <v>45</v>
      </c>
    </row>
    <row r="24" spans="4:33">
      <c r="D24" s="10" t="s">
        <v>168</v>
      </c>
    </row>
    <row r="25" spans="4:33" ht="18">
      <c r="D25" s="12" t="s">
        <v>169</v>
      </c>
    </row>
    <row r="26" spans="4:33" ht="15.6">
      <c r="AG26" s="30" t="s">
        <v>62</v>
      </c>
    </row>
    <row r="27" spans="4:33" ht="18">
      <c r="D27" s="12" t="s">
        <v>170</v>
      </c>
      <c r="AG27" s="30" t="s">
        <v>63</v>
      </c>
    </row>
    <row r="28" spans="4:33" ht="15.6">
      <c r="AG28" s="30" t="s">
        <v>64</v>
      </c>
    </row>
    <row r="29" spans="4:33" ht="15.6">
      <c r="D29" s="10" t="s">
        <v>171</v>
      </c>
      <c r="AG29" s="30" t="s">
        <v>65</v>
      </c>
    </row>
    <row r="30" spans="4:33" ht="18">
      <c r="D30" s="12" t="s">
        <v>172</v>
      </c>
      <c r="AG30" s="30" t="s">
        <v>234</v>
      </c>
    </row>
    <row r="31" spans="4:33" ht="15.6">
      <c r="AG31" s="30" t="s">
        <v>67</v>
      </c>
    </row>
    <row r="32" spans="4:33" ht="15.6">
      <c r="D32" s="10" t="s">
        <v>38</v>
      </c>
      <c r="AG32" s="30" t="s">
        <v>68</v>
      </c>
    </row>
    <row r="33" spans="4:33" ht="15.6">
      <c r="D33" s="10" t="s">
        <v>39</v>
      </c>
      <c r="AG33" s="30" t="s">
        <v>235</v>
      </c>
    </row>
    <row r="34" spans="4:33" ht="18">
      <c r="D34" s="12" t="s">
        <v>173</v>
      </c>
      <c r="AG34" s="30" t="s">
        <v>236</v>
      </c>
    </row>
    <row r="35" spans="4:33" ht="15.6">
      <c r="AG35" s="30" t="s">
        <v>237</v>
      </c>
    </row>
    <row r="36" spans="4:33" ht="15.6">
      <c r="D36" s="10" t="s">
        <v>36</v>
      </c>
      <c r="AG36" s="30" t="s">
        <v>238</v>
      </c>
    </row>
    <row r="37" spans="4:33" ht="15.6">
      <c r="D37" s="10" t="s">
        <v>37</v>
      </c>
      <c r="AG37" s="30" t="s">
        <v>239</v>
      </c>
    </row>
    <row r="38" spans="4:33" ht="15.6">
      <c r="D38" s="10" t="s">
        <v>174</v>
      </c>
      <c r="AG38" s="30" t="s">
        <v>240</v>
      </c>
    </row>
    <row r="39" spans="4:33" ht="18">
      <c r="D39" s="12" t="s">
        <v>175</v>
      </c>
      <c r="AG39" s="30" t="s">
        <v>241</v>
      </c>
    </row>
    <row r="41" spans="4:33">
      <c r="D41" s="10" t="s">
        <v>35</v>
      </c>
    </row>
    <row r="42" spans="4:33">
      <c r="D42" s="10" t="s">
        <v>176</v>
      </c>
    </row>
    <row r="43" spans="4:33" ht="15.6">
      <c r="AF43" s="30" t="s">
        <v>242</v>
      </c>
    </row>
    <row r="44" spans="4:33" ht="15.6">
      <c r="AF44" s="30" t="s">
        <v>179</v>
      </c>
    </row>
    <row r="45" spans="4:33" ht="15.6">
      <c r="AF45" s="30" t="s">
        <v>159</v>
      </c>
    </row>
    <row r="46" spans="4:33" ht="15.6">
      <c r="AF46" s="30" t="s">
        <v>160</v>
      </c>
    </row>
    <row r="47" spans="4:33" ht="15.6">
      <c r="AF47" s="30" t="s">
        <v>161</v>
      </c>
    </row>
    <row r="49" spans="32:32" ht="15.6">
      <c r="AF49" s="30" t="s">
        <v>162</v>
      </c>
    </row>
    <row r="50" spans="32:32" ht="15.6">
      <c r="AF50" s="30" t="s">
        <v>163</v>
      </c>
    </row>
    <row r="51" spans="32:32" ht="15.6">
      <c r="AF51" s="30" t="s">
        <v>42</v>
      </c>
    </row>
    <row r="52" spans="32:32" ht="15.6">
      <c r="AF52" s="30"/>
    </row>
    <row r="53" spans="32:32" ht="15.6">
      <c r="AF53" s="30" t="s">
        <v>43</v>
      </c>
    </row>
    <row r="54" spans="32:32" ht="15.6">
      <c r="AF54" s="30" t="s">
        <v>44</v>
      </c>
    </row>
    <row r="55" spans="32:32">
      <c r="AF55" s="28" t="s">
        <v>164</v>
      </c>
    </row>
    <row r="57" spans="32:32" ht="15.6">
      <c r="AF57" s="30" t="s">
        <v>165</v>
      </c>
    </row>
    <row r="59" spans="32:32" ht="15.6">
      <c r="AF59" s="30" t="s">
        <v>243</v>
      </c>
    </row>
    <row r="60" spans="32:32" ht="15.6">
      <c r="AF60" s="30" t="s">
        <v>244</v>
      </c>
    </row>
    <row r="61" spans="32:32" ht="15.6">
      <c r="AF61" s="30" t="s">
        <v>245</v>
      </c>
    </row>
    <row r="62" spans="32:32" ht="15.6">
      <c r="AF62" s="30" t="s">
        <v>246</v>
      </c>
    </row>
    <row r="64" spans="32:32" ht="15.6">
      <c r="AF64" s="30" t="s">
        <v>170</v>
      </c>
    </row>
    <row r="66" spans="32:32" ht="15.6">
      <c r="AF66" s="30" t="s">
        <v>171</v>
      </c>
    </row>
    <row r="67" spans="32:32" ht="15.6">
      <c r="AF67" s="30" t="s">
        <v>172</v>
      </c>
    </row>
    <row r="69" spans="32:32" ht="15.6">
      <c r="AF69" s="30" t="s">
        <v>38</v>
      </c>
    </row>
    <row r="70" spans="32:32" ht="15.6">
      <c r="AF70" s="30" t="s">
        <v>39</v>
      </c>
    </row>
    <row r="71" spans="32:32" ht="15.6">
      <c r="AF71" s="30" t="s">
        <v>173</v>
      </c>
    </row>
    <row r="73" spans="32:32" ht="15.6">
      <c r="AF73" s="30" t="s">
        <v>36</v>
      </c>
    </row>
    <row r="74" spans="32:32" ht="15.6">
      <c r="AF74" s="30" t="s">
        <v>37</v>
      </c>
    </row>
    <row r="75" spans="32:32" ht="15.6">
      <c r="AF75" s="30" t="s">
        <v>174</v>
      </c>
    </row>
    <row r="76" spans="32:32" ht="15.6">
      <c r="AF76" s="30" t="s">
        <v>175</v>
      </c>
    </row>
    <row r="78" spans="32:32" ht="15.6">
      <c r="AF78" s="30" t="s">
        <v>35</v>
      </c>
    </row>
    <row r="79" spans="32:32" ht="15.6">
      <c r="AF79" s="30" t="s">
        <v>176</v>
      </c>
    </row>
    <row r="83" spans="32:32" ht="22.8">
      <c r="AF83" s="31" t="s">
        <v>267</v>
      </c>
    </row>
    <row r="84" spans="32:32" ht="17.399999999999999">
      <c r="AF84" s="32" t="s">
        <v>268</v>
      </c>
    </row>
    <row r="85" spans="32:32">
      <c r="AF85" s="33" t="s">
        <v>269</v>
      </c>
    </row>
    <row r="86" spans="32:32">
      <c r="AF86" s="33" t="s">
        <v>270</v>
      </c>
    </row>
    <row r="87" spans="32:32">
      <c r="AF87" s="33" t="s">
        <v>271</v>
      </c>
    </row>
    <row r="88" spans="32:32">
      <c r="AF88" s="33" t="s">
        <v>272</v>
      </c>
    </row>
    <row r="89" spans="32:32" ht="17.399999999999999">
      <c r="AF89" s="32" t="s">
        <v>273</v>
      </c>
    </row>
    <row r="90" spans="32:32">
      <c r="AF90" s="33" t="s">
        <v>274</v>
      </c>
    </row>
    <row r="91" spans="32:32" ht="17.399999999999999">
      <c r="AF91" s="32" t="s">
        <v>275</v>
      </c>
    </row>
    <row r="92" spans="32:32">
      <c r="AF92" s="33" t="s">
        <v>276</v>
      </c>
    </row>
    <row r="93" spans="32:32" ht="17.399999999999999">
      <c r="AF93" s="32" t="s">
        <v>277</v>
      </c>
    </row>
    <row r="95" spans="32:32" ht="17.399999999999999">
      <c r="AF95" s="32" t="s">
        <v>278</v>
      </c>
    </row>
    <row r="96" spans="32:32">
      <c r="AF96" s="33" t="s">
        <v>279</v>
      </c>
    </row>
    <row r="97" spans="32:32">
      <c r="AF97" s="33" t="s">
        <v>280</v>
      </c>
    </row>
    <row r="98" spans="32:32">
      <c r="AF98" s="33" t="s">
        <v>281</v>
      </c>
    </row>
    <row r="99" spans="32:32">
      <c r="AF99" s="33" t="s">
        <v>282</v>
      </c>
    </row>
    <row r="100" spans="32:32" ht="17.399999999999999">
      <c r="AF100" s="32" t="s">
        <v>283</v>
      </c>
    </row>
    <row r="101" spans="32:32">
      <c r="AF101" s="33" t="s">
        <v>284</v>
      </c>
    </row>
    <row r="102" spans="32:32" ht="17.399999999999999">
      <c r="AF102" s="32" t="s">
        <v>285</v>
      </c>
    </row>
    <row r="103" spans="32:32">
      <c r="AF103" s="33" t="s">
        <v>286</v>
      </c>
    </row>
    <row r="104" spans="32:32">
      <c r="AF104" s="33"/>
    </row>
    <row r="105" spans="32:32">
      <c r="AF105" s="33" t="s">
        <v>287</v>
      </c>
    </row>
    <row r="106" spans="32:32" ht="17.399999999999999">
      <c r="AF106" s="32" t="s">
        <v>288</v>
      </c>
    </row>
    <row r="107" spans="32:32">
      <c r="AF107" s="33" t="s">
        <v>289</v>
      </c>
    </row>
    <row r="108" spans="32:32" ht="17.399999999999999">
      <c r="AF108" s="32" t="s">
        <v>290</v>
      </c>
    </row>
    <row r="109" spans="32:32">
      <c r="AF109" s="33" t="s">
        <v>291</v>
      </c>
    </row>
    <row r="110" spans="32:32" ht="17.399999999999999">
      <c r="AF110" s="32" t="s">
        <v>292</v>
      </c>
    </row>
    <row r="111" spans="32:32">
      <c r="AF111" s="33" t="s">
        <v>293</v>
      </c>
    </row>
    <row r="112" spans="32:32">
      <c r="AF112" s="33" t="s">
        <v>294</v>
      </c>
    </row>
    <row r="113" spans="32:32" ht="17.399999999999999">
      <c r="AF113" s="32" t="s">
        <v>295</v>
      </c>
    </row>
    <row r="114" spans="32:32">
      <c r="AF114" s="33" t="s">
        <v>296</v>
      </c>
    </row>
    <row r="115" spans="32:32">
      <c r="AF115" s="33" t="s">
        <v>297</v>
      </c>
    </row>
    <row r="116" spans="32:32" ht="17.399999999999999">
      <c r="AF116" s="32" t="s">
        <v>298</v>
      </c>
    </row>
    <row r="117" spans="32:32">
      <c r="AF117" s="33" t="s">
        <v>299</v>
      </c>
    </row>
    <row r="118" spans="32:32">
      <c r="AF118" s="33" t="s">
        <v>300</v>
      </c>
    </row>
    <row r="119" spans="32:32" ht="17.399999999999999">
      <c r="AF119" s="32" t="s">
        <v>301</v>
      </c>
    </row>
    <row r="120" spans="32:32">
      <c r="AF120" s="33" t="s">
        <v>302</v>
      </c>
    </row>
    <row r="121" spans="32:32">
      <c r="AF121" s="33" t="s">
        <v>303</v>
      </c>
    </row>
    <row r="122" spans="32:32" ht="17.399999999999999">
      <c r="AF122" s="32" t="s">
        <v>304</v>
      </c>
    </row>
    <row r="123" spans="32:32">
      <c r="AF123" s="33" t="s">
        <v>305</v>
      </c>
    </row>
    <row r="124" spans="32:32">
      <c r="AF124" s="33"/>
    </row>
    <row r="125" spans="32:32">
      <c r="AF125" s="33" t="s">
        <v>306</v>
      </c>
    </row>
    <row r="126" spans="32:32" ht="17.399999999999999">
      <c r="AF126" s="32" t="s">
        <v>307</v>
      </c>
    </row>
    <row r="128" spans="32:32" ht="17.399999999999999">
      <c r="AF128" s="32" t="s">
        <v>308</v>
      </c>
    </row>
    <row r="129" spans="32:32">
      <c r="AF129" s="33" t="s">
        <v>309</v>
      </c>
    </row>
    <row r="130" spans="32:32">
      <c r="AF130" s="33"/>
    </row>
    <row r="131" spans="32:32">
      <c r="AF131" s="33" t="s">
        <v>310</v>
      </c>
    </row>
    <row r="132" spans="32:32">
      <c r="AF132" s="33" t="s">
        <v>311</v>
      </c>
    </row>
    <row r="133" spans="32:32" ht="17.399999999999999">
      <c r="AF133" s="32" t="s">
        <v>312</v>
      </c>
    </row>
    <row r="135" spans="32:32" ht="17.399999999999999">
      <c r="AF135" s="32" t="s">
        <v>313</v>
      </c>
    </row>
    <row r="136" spans="32:32">
      <c r="AF136" s="33" t="s">
        <v>314</v>
      </c>
    </row>
    <row r="137" spans="32:32">
      <c r="AF137" s="33" t="s">
        <v>315</v>
      </c>
    </row>
    <row r="138" spans="32:32">
      <c r="AF138" s="33" t="s">
        <v>316</v>
      </c>
    </row>
    <row r="139" spans="32:32" ht="17.399999999999999">
      <c r="AF139" s="32" t="s">
        <v>317</v>
      </c>
    </row>
    <row r="140" spans="32:32">
      <c r="AF140" s="33" t="s">
        <v>318</v>
      </c>
    </row>
    <row r="141" spans="32:32">
      <c r="AF141" s="33" t="s">
        <v>319</v>
      </c>
    </row>
    <row r="142" spans="32:32">
      <c r="AF142" s="33" t="s">
        <v>316</v>
      </c>
    </row>
    <row r="143" spans="32:32" ht="17.399999999999999">
      <c r="AF143" s="32" t="s">
        <v>320</v>
      </c>
    </row>
    <row r="144" spans="32:32">
      <c r="AF144" s="33" t="s">
        <v>321</v>
      </c>
    </row>
    <row r="145" spans="32:32">
      <c r="AF145" s="33" t="s">
        <v>322</v>
      </c>
    </row>
    <row r="146" spans="32:32">
      <c r="AF146" s="33" t="s">
        <v>323</v>
      </c>
    </row>
    <row r="147" spans="32:32" ht="17.399999999999999">
      <c r="AF147" s="32" t="s">
        <v>324</v>
      </c>
    </row>
    <row r="148" spans="32:32">
      <c r="AF148" s="33" t="s">
        <v>321</v>
      </c>
    </row>
    <row r="149" spans="32:32">
      <c r="AF149" s="33" t="s">
        <v>325</v>
      </c>
    </row>
    <row r="150" spans="32:32">
      <c r="AF150" s="33" t="s">
        <v>326</v>
      </c>
    </row>
    <row r="151" spans="32:32" ht="17.399999999999999">
      <c r="AF151" s="32" t="s">
        <v>327</v>
      </c>
    </row>
    <row r="152" spans="32:32">
      <c r="AF152" s="33" t="s">
        <v>328</v>
      </c>
    </row>
    <row r="153" spans="32:32">
      <c r="AF153" s="33" t="s">
        <v>329</v>
      </c>
    </row>
    <row r="154" spans="32:32">
      <c r="AF154" s="33" t="s">
        <v>330</v>
      </c>
    </row>
    <row r="155" spans="32:32" ht="17.399999999999999">
      <c r="AF155" s="32" t="s">
        <v>331</v>
      </c>
    </row>
    <row r="156" spans="32:32">
      <c r="AF156" s="33" t="s">
        <v>332</v>
      </c>
    </row>
  </sheetData>
  <hyperlinks>
    <hyperlink ref="D18" r:id="rId1" location="11a" display="http://www.stjarnhimlen.se/comp/ppcomp.html - 11a"/>
    <hyperlink ref="AF55" r:id="rId2" location="11a" display="http://www.stjarnhimlen.se/comp/ppcomp.html - 11a"/>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4:D145"/>
  <sheetViews>
    <sheetView topLeftCell="A90" workbookViewId="0">
      <selection activeCell="D73" sqref="D73:D145"/>
    </sheetView>
  </sheetViews>
  <sheetFormatPr defaultRowHeight="14.4"/>
  <sheetData>
    <row r="4" spans="4:4" ht="22.8">
      <c r="D4" s="27" t="s">
        <v>177</v>
      </c>
    </row>
    <row r="6" spans="4:4" ht="18">
      <c r="D6" s="12" t="s">
        <v>178</v>
      </c>
    </row>
    <row r="7" spans="4:4">
      <c r="D7" s="10" t="s">
        <v>179</v>
      </c>
    </row>
    <row r="8" spans="4:4" ht="18">
      <c r="D8" s="12" t="s">
        <v>180</v>
      </c>
    </row>
    <row r="9" spans="4:4">
      <c r="D9" s="10" t="s">
        <v>160</v>
      </c>
    </row>
    <row r="10" spans="4:4" ht="18">
      <c r="D10" s="12" t="s">
        <v>181</v>
      </c>
    </row>
    <row r="11" spans="4:4">
      <c r="D11" s="10" t="s">
        <v>182</v>
      </c>
    </row>
    <row r="12" spans="4:4" ht="18">
      <c r="D12" s="12" t="s">
        <v>183</v>
      </c>
    </row>
    <row r="13" spans="4:4">
      <c r="D13" s="10" t="s">
        <v>184</v>
      </c>
    </row>
    <row r="14" spans="4:4" ht="18">
      <c r="D14" s="12" t="s">
        <v>185</v>
      </c>
    </row>
    <row r="16" spans="4:4" ht="18">
      <c r="D16" s="12" t="s">
        <v>186</v>
      </c>
    </row>
    <row r="18" spans="4:4" ht="18">
      <c r="D18" s="12" t="s">
        <v>187</v>
      </c>
    </row>
    <row r="20" spans="4:4">
      <c r="D20" s="10" t="s">
        <v>188</v>
      </c>
    </row>
    <row r="21" spans="4:4">
      <c r="D21" s="10" t="s">
        <v>189</v>
      </c>
    </row>
    <row r="22" spans="4:4">
      <c r="D22" s="10"/>
    </row>
    <row r="23" spans="4:4">
      <c r="D23" s="10" t="s">
        <v>43</v>
      </c>
    </row>
    <row r="24" spans="4:4">
      <c r="D24" s="10" t="s">
        <v>44</v>
      </c>
    </row>
    <row r="26" spans="4:4" ht="22.8">
      <c r="D26" s="27" t="s">
        <v>190</v>
      </c>
    </row>
    <row r="28" spans="4:4" ht="18">
      <c r="D28" s="12" t="s">
        <v>191</v>
      </c>
    </row>
    <row r="29" spans="4:4">
      <c r="D29" s="10" t="s">
        <v>192</v>
      </c>
    </row>
    <row r="30" spans="4:4">
      <c r="D30" s="10" t="s">
        <v>193</v>
      </c>
    </row>
    <row r="31" spans="4:4">
      <c r="D31" s="10" t="s">
        <v>194</v>
      </c>
    </row>
    <row r="32" spans="4:4" ht="18">
      <c r="D32" s="12" t="s">
        <v>195</v>
      </c>
    </row>
    <row r="33" spans="4:4">
      <c r="D33" s="10" t="s">
        <v>196</v>
      </c>
    </row>
    <row r="34" spans="4:4">
      <c r="D34" s="10" t="s">
        <v>197</v>
      </c>
    </row>
    <row r="35" spans="4:4" ht="18">
      <c r="D35" s="12" t="s">
        <v>198</v>
      </c>
    </row>
    <row r="38" spans="4:4" ht="18">
      <c r="D38" s="12" t="s">
        <v>199</v>
      </c>
    </row>
    <row r="39" spans="4:4">
      <c r="D39" s="10" t="s">
        <v>200</v>
      </c>
    </row>
    <row r="40" spans="4:4">
      <c r="D40" s="10" t="s">
        <v>201</v>
      </c>
    </row>
    <row r="41" spans="4:4">
      <c r="D41" s="10" t="s">
        <v>202</v>
      </c>
    </row>
    <row r="42" spans="4:4">
      <c r="D42" s="10" t="s">
        <v>203</v>
      </c>
    </row>
    <row r="43" spans="4:4">
      <c r="D43" s="10" t="s">
        <v>204</v>
      </c>
    </row>
    <row r="44" spans="4:4">
      <c r="D44" s="10" t="s">
        <v>205</v>
      </c>
    </row>
    <row r="45" spans="4:4">
      <c r="D45" s="10" t="s">
        <v>206</v>
      </c>
    </row>
    <row r="46" spans="4:4" ht="18">
      <c r="D46" s="12" t="s">
        <v>207</v>
      </c>
    </row>
    <row r="47" spans="4:4">
      <c r="D47" s="10" t="s">
        <v>208</v>
      </c>
    </row>
    <row r="48" spans="4:4">
      <c r="D48" s="10" t="s">
        <v>209</v>
      </c>
    </row>
    <row r="49" spans="4:4">
      <c r="D49" s="10" t="s">
        <v>210</v>
      </c>
    </row>
    <row r="50" spans="4:4">
      <c r="D50" s="10" t="s">
        <v>211</v>
      </c>
    </row>
    <row r="51" spans="4:4">
      <c r="D51" s="10" t="s">
        <v>212</v>
      </c>
    </row>
    <row r="52" spans="4:4">
      <c r="D52" s="10" t="s">
        <v>213</v>
      </c>
    </row>
    <row r="53" spans="4:4">
      <c r="D53" s="10" t="s">
        <v>214</v>
      </c>
    </row>
    <row r="54" spans="4:4">
      <c r="D54" s="10" t="s">
        <v>215</v>
      </c>
    </row>
    <row r="55" spans="4:4">
      <c r="D55" s="10" t="s">
        <v>216</v>
      </c>
    </row>
    <row r="56" spans="4:4">
      <c r="D56" s="10" t="s">
        <v>217</v>
      </c>
    </row>
    <row r="57" spans="4:4">
      <c r="D57" s="10" t="s">
        <v>218</v>
      </c>
    </row>
    <row r="58" spans="4:4">
      <c r="D58" s="10" t="s">
        <v>219</v>
      </c>
    </row>
    <row r="59" spans="4:4" ht="18">
      <c r="D59" s="12" t="s">
        <v>220</v>
      </c>
    </row>
    <row r="60" spans="4:4">
      <c r="D60" s="10" t="s">
        <v>221</v>
      </c>
    </row>
    <row r="61" spans="4:4">
      <c r="D61" s="10" t="s">
        <v>222</v>
      </c>
    </row>
    <row r="62" spans="4:4">
      <c r="D62" s="10" t="s">
        <v>223</v>
      </c>
    </row>
    <row r="63" spans="4:4">
      <c r="D63" s="10" t="s">
        <v>224</v>
      </c>
    </row>
    <row r="64" spans="4:4">
      <c r="D64" s="10" t="s">
        <v>225</v>
      </c>
    </row>
    <row r="65" spans="4:4" ht="18">
      <c r="D65" s="12" t="s">
        <v>226</v>
      </c>
    </row>
    <row r="66" spans="4:4">
      <c r="D66" s="10" t="s">
        <v>227</v>
      </c>
    </row>
    <row r="67" spans="4:4">
      <c r="D67" s="10" t="s">
        <v>228</v>
      </c>
    </row>
    <row r="73" spans="4:4" ht="15.6">
      <c r="D73" s="29" t="s">
        <v>177</v>
      </c>
    </row>
    <row r="74" spans="4:4" ht="15.6">
      <c r="D74" s="30" t="s">
        <v>178</v>
      </c>
    </row>
    <row r="75" spans="4:4" ht="15.6">
      <c r="D75" s="30" t="s">
        <v>179</v>
      </c>
    </row>
    <row r="76" spans="4:4" ht="15.6">
      <c r="D76" s="30" t="s">
        <v>180</v>
      </c>
    </row>
    <row r="77" spans="4:4" ht="15.6">
      <c r="D77" s="30" t="s">
        <v>160</v>
      </c>
    </row>
    <row r="78" spans="4:4" ht="15.6">
      <c r="D78" s="30" t="s">
        <v>181</v>
      </c>
    </row>
    <row r="79" spans="4:4" ht="15.6">
      <c r="D79" s="30" t="s">
        <v>182</v>
      </c>
    </row>
    <row r="80" spans="4:4" ht="15.6">
      <c r="D80" s="30" t="s">
        <v>183</v>
      </c>
    </row>
    <row r="81" spans="4:4" ht="15.6">
      <c r="D81" s="30" t="s">
        <v>184</v>
      </c>
    </row>
    <row r="82" spans="4:4" ht="15.6">
      <c r="D82" s="30" t="s">
        <v>185</v>
      </c>
    </row>
    <row r="84" spans="4:4" ht="15.6">
      <c r="D84" s="30" t="s">
        <v>247</v>
      </c>
    </row>
    <row r="86" spans="4:4" ht="15.6">
      <c r="D86" s="30" t="s">
        <v>187</v>
      </c>
    </row>
    <row r="88" spans="4:4" ht="15.6">
      <c r="D88" s="30" t="s">
        <v>188</v>
      </c>
    </row>
    <row r="89" spans="4:4" ht="15.6">
      <c r="D89" s="30" t="s">
        <v>189</v>
      </c>
    </row>
    <row r="90" spans="4:4" ht="15.6">
      <c r="D90" s="30"/>
    </row>
    <row r="91" spans="4:4" ht="15.6">
      <c r="D91" s="30" t="s">
        <v>43</v>
      </c>
    </row>
    <row r="92" spans="4:4" ht="15.6">
      <c r="D92" s="30" t="s">
        <v>44</v>
      </c>
    </row>
    <row r="93" spans="4:4" ht="15.6">
      <c r="D93" s="29" t="s">
        <v>190</v>
      </c>
    </row>
    <row r="94" spans="4:4" ht="15.6">
      <c r="D94" s="30" t="s">
        <v>191</v>
      </c>
    </row>
    <row r="95" spans="4:4" ht="15.6">
      <c r="D95" s="30" t="s">
        <v>192</v>
      </c>
    </row>
    <row r="96" spans="4:4" ht="15.6">
      <c r="D96" s="30" t="s">
        <v>193</v>
      </c>
    </row>
    <row r="97" spans="4:4" ht="15.6">
      <c r="D97" s="30" t="s">
        <v>194</v>
      </c>
    </row>
    <row r="98" spans="4:4" ht="15.6">
      <c r="D98" s="30" t="s">
        <v>195</v>
      </c>
    </row>
    <row r="99" spans="4:4" ht="15.6">
      <c r="D99" s="30" t="s">
        <v>196</v>
      </c>
    </row>
    <row r="100" spans="4:4" ht="15.6">
      <c r="D100" s="30" t="s">
        <v>197</v>
      </c>
    </row>
    <row r="101" spans="4:4" ht="15.6">
      <c r="D101" s="30" t="s">
        <v>198</v>
      </c>
    </row>
    <row r="104" spans="4:4" ht="15.6">
      <c r="D104" s="29" t="s">
        <v>248</v>
      </c>
    </row>
    <row r="105" spans="4:4" ht="15.6">
      <c r="D105" s="30" t="s">
        <v>249</v>
      </c>
    </row>
    <row r="106" spans="4:4" ht="15.6">
      <c r="D106" s="30" t="s">
        <v>250</v>
      </c>
    </row>
    <row r="107" spans="4:4" ht="15.6">
      <c r="D107" s="30" t="s">
        <v>251</v>
      </c>
    </row>
    <row r="110" spans="4:4" ht="15.6">
      <c r="D110" s="29" t="s">
        <v>252</v>
      </c>
    </row>
    <row r="111" spans="4:4" ht="15.6">
      <c r="D111" s="30" t="s">
        <v>253</v>
      </c>
    </row>
    <row r="113" spans="4:4" ht="15.6">
      <c r="D113" s="30" t="s">
        <v>199</v>
      </c>
    </row>
    <row r="114" spans="4:4" ht="15.6">
      <c r="D114" s="30" t="s">
        <v>254</v>
      </c>
    </row>
    <row r="115" spans="4:4" ht="15.6">
      <c r="D115" s="30" t="s">
        <v>255</v>
      </c>
    </row>
    <row r="116" spans="4:4" ht="15.6">
      <c r="D116" s="30" t="s">
        <v>256</v>
      </c>
    </row>
    <row r="117" spans="4:4" ht="15.6">
      <c r="D117" s="30" t="s">
        <v>257</v>
      </c>
    </row>
    <row r="118" spans="4:4" ht="15.6">
      <c r="D118" s="30" t="s">
        <v>258</v>
      </c>
    </row>
    <row r="119" spans="4:4" ht="15.6">
      <c r="D119" s="30" t="s">
        <v>259</v>
      </c>
    </row>
    <row r="120" spans="4:4" ht="15.6">
      <c r="D120" s="30" t="s">
        <v>260</v>
      </c>
    </row>
    <row r="121" spans="4:4" ht="15.6">
      <c r="D121" s="30" t="s">
        <v>207</v>
      </c>
    </row>
    <row r="122" spans="4:4" ht="15.6">
      <c r="D122" s="30" t="s">
        <v>261</v>
      </c>
    </row>
    <row r="123" spans="4:4" ht="15.6">
      <c r="D123" s="30" t="s">
        <v>262</v>
      </c>
    </row>
    <row r="124" spans="4:4" ht="15.6">
      <c r="D124" s="30" t="s">
        <v>263</v>
      </c>
    </row>
    <row r="125" spans="4:4" ht="15.6">
      <c r="D125" s="30" t="s">
        <v>211</v>
      </c>
    </row>
    <row r="126" spans="4:4" ht="15.6">
      <c r="D126" s="30" t="s">
        <v>212</v>
      </c>
    </row>
    <row r="127" spans="4:4" ht="15.6">
      <c r="D127" s="30" t="s">
        <v>213</v>
      </c>
    </row>
    <row r="128" spans="4:4" ht="15.6">
      <c r="D128" s="30" t="s">
        <v>214</v>
      </c>
    </row>
    <row r="129" spans="4:4" ht="15.6">
      <c r="D129" s="30" t="s">
        <v>215</v>
      </c>
    </row>
    <row r="130" spans="4:4" ht="15.6">
      <c r="D130" s="30" t="s">
        <v>264</v>
      </c>
    </row>
    <row r="131" spans="4:4" ht="15.6">
      <c r="D131" s="30" t="s">
        <v>217</v>
      </c>
    </row>
    <row r="132" spans="4:4" ht="15.6">
      <c r="D132" s="30" t="s">
        <v>218</v>
      </c>
    </row>
    <row r="133" spans="4:4" ht="15.6">
      <c r="D133" s="30" t="s">
        <v>219</v>
      </c>
    </row>
    <row r="134" spans="4:4" ht="15.6">
      <c r="D134" s="30" t="s">
        <v>220</v>
      </c>
    </row>
    <row r="135" spans="4:4" ht="15.6">
      <c r="D135" s="30" t="s">
        <v>221</v>
      </c>
    </row>
    <row r="136" spans="4:4" ht="15.6">
      <c r="D136" s="30" t="s">
        <v>222</v>
      </c>
    </row>
    <row r="137" spans="4:4" ht="15.6">
      <c r="D137" s="30" t="s">
        <v>223</v>
      </c>
    </row>
    <row r="138" spans="4:4" ht="15.6">
      <c r="D138" s="30" t="s">
        <v>224</v>
      </c>
    </row>
    <row r="139" spans="4:4" ht="15.6">
      <c r="D139" s="30" t="s">
        <v>225</v>
      </c>
    </row>
    <row r="140" spans="4:4" ht="15.6">
      <c r="D140" s="30" t="s">
        <v>226</v>
      </c>
    </row>
    <row r="141" spans="4:4" ht="15.6">
      <c r="D141" s="30" t="s">
        <v>227</v>
      </c>
    </row>
    <row r="142" spans="4:4" ht="15.6">
      <c r="D142" s="30" t="s">
        <v>228</v>
      </c>
    </row>
    <row r="143" spans="4:4" ht="15.6">
      <c r="D143" s="30" t="s">
        <v>265</v>
      </c>
    </row>
    <row r="145" spans="4:4" ht="15.6">
      <c r="D145" s="30" t="s">
        <v>266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19"/>
  <sheetViews>
    <sheetView workbookViewId="0">
      <selection activeCell="I18" sqref="I18"/>
    </sheetView>
  </sheetViews>
  <sheetFormatPr defaultRowHeight="14.4"/>
  <cols>
    <col min="2" max="2" width="15.88671875" customWidth="1"/>
    <col min="3" max="3" width="14.6640625" customWidth="1"/>
    <col min="4" max="4" width="15.33203125" customWidth="1"/>
    <col min="6" max="6" width="22.6640625" customWidth="1"/>
  </cols>
  <sheetData>
    <row r="2" spans="1:8" ht="15.6">
      <c r="A2">
        <v>108001</v>
      </c>
      <c r="B2" s="34">
        <f>DATE(YEAR("01/01/"&amp;TEXT(1900+INT(A2/1000),0)),MONTH("01/01/"&amp;TEXT(1900+INT(A2/1000),0)),DAY("01/01/"&amp;TEXT(1900+INT(A2/1000),0)))+MOD(A2,1000)-1</f>
        <v>39448</v>
      </c>
      <c r="C2" s="34">
        <f>DATE(1900+INT(A2/1000),1,MOD(A2,1000))</f>
        <v>39448</v>
      </c>
      <c r="D2" s="35">
        <f>DATEVALUE(CONCATENATE("01/01/",1900+INT(A2/1000)))+INT(RIGHT(A2,3)-1)</f>
        <v>39448</v>
      </c>
      <c r="F2">
        <v>2012</v>
      </c>
      <c r="G2">
        <v>4</v>
      </c>
      <c r="H2">
        <v>19</v>
      </c>
    </row>
    <row r="3" spans="1:8" ht="15.6">
      <c r="A3">
        <v>108002</v>
      </c>
      <c r="B3" s="34">
        <f t="shared" ref="B3:B17" si="0">DATE(YEAR("01/01/"&amp;TEXT(1900+INT(A3/1000),0)),MONTH("01/01/"&amp;TEXT(1900+INT(A3/1000),0)),DAY("01/01/"&amp;TEXT(1900+INT(A3/1000),0)))+MOD(A3,1000)-1</f>
        <v>39449</v>
      </c>
      <c r="C3" s="34">
        <f t="shared" ref="C3:C17" si="1">DATE(1900+INT(A3/1000),1,MOD(A3,1000))</f>
        <v>39449</v>
      </c>
      <c r="D3" s="35">
        <f t="shared" ref="D3:D17" si="2">DATEVALUE(CONCATENATE("01/01/",1900+INT(A3/1000)))+INT(RIGHT(A3,3)-1)</f>
        <v>39449</v>
      </c>
      <c r="F3" s="4">
        <f>DATE(F2,G2,H2)</f>
        <v>41018</v>
      </c>
    </row>
    <row r="4" spans="1:8" ht="15.6">
      <c r="A4">
        <v>108003</v>
      </c>
      <c r="B4" s="34">
        <f t="shared" si="0"/>
        <v>39450</v>
      </c>
      <c r="C4" s="34">
        <f t="shared" si="1"/>
        <v>39450</v>
      </c>
      <c r="D4" s="35">
        <f t="shared" si="2"/>
        <v>39450</v>
      </c>
    </row>
    <row r="5" spans="1:8" ht="15.6">
      <c r="A5">
        <v>108004</v>
      </c>
      <c r="B5" s="34">
        <f t="shared" si="0"/>
        <v>39451</v>
      </c>
      <c r="C5" s="34">
        <f t="shared" si="1"/>
        <v>39451</v>
      </c>
      <c r="D5" s="35">
        <f t="shared" si="2"/>
        <v>39451</v>
      </c>
    </row>
    <row r="6" spans="1:8" ht="15.6">
      <c r="A6">
        <v>108005</v>
      </c>
      <c r="B6" s="34">
        <f t="shared" si="0"/>
        <v>39452</v>
      </c>
      <c r="C6" s="34">
        <f t="shared" si="1"/>
        <v>39452</v>
      </c>
      <c r="D6" s="35">
        <f t="shared" si="2"/>
        <v>39452</v>
      </c>
      <c r="F6">
        <f>DATEVALUE("19-APR-2012")</f>
        <v>41018</v>
      </c>
    </row>
    <row r="7" spans="1:8" ht="15.6">
      <c r="A7">
        <v>108006</v>
      </c>
      <c r="B7" s="34">
        <f t="shared" si="0"/>
        <v>39453</v>
      </c>
      <c r="C7" s="34">
        <f t="shared" si="1"/>
        <v>39453</v>
      </c>
      <c r="D7" s="35">
        <f t="shared" si="2"/>
        <v>39453</v>
      </c>
    </row>
    <row r="8" spans="1:8" ht="15.6">
      <c r="A8">
        <v>108007</v>
      </c>
      <c r="B8" s="34">
        <f t="shared" si="0"/>
        <v>39454</v>
      </c>
      <c r="C8" s="34">
        <f t="shared" si="1"/>
        <v>39454</v>
      </c>
      <c r="D8" s="35">
        <f t="shared" si="2"/>
        <v>39454</v>
      </c>
    </row>
    <row r="9" spans="1:8" ht="15.6">
      <c r="A9">
        <v>108008</v>
      </c>
      <c r="B9" s="34">
        <f t="shared" si="0"/>
        <v>39455</v>
      </c>
      <c r="C9" s="34">
        <f t="shared" si="1"/>
        <v>39455</v>
      </c>
      <c r="D9" s="35">
        <f t="shared" si="2"/>
        <v>39455</v>
      </c>
    </row>
    <row r="10" spans="1:8" ht="15.6">
      <c r="A10">
        <v>108009</v>
      </c>
      <c r="B10" s="34">
        <f t="shared" si="0"/>
        <v>39456</v>
      </c>
      <c r="C10" s="34">
        <f t="shared" si="1"/>
        <v>39456</v>
      </c>
      <c r="D10" s="35">
        <f t="shared" si="2"/>
        <v>39456</v>
      </c>
    </row>
    <row r="11" spans="1:8" ht="15.6">
      <c r="A11">
        <v>108010</v>
      </c>
      <c r="B11" s="34">
        <f t="shared" si="0"/>
        <v>39457</v>
      </c>
      <c r="C11" s="34">
        <f t="shared" si="1"/>
        <v>39457</v>
      </c>
      <c r="D11" s="35">
        <f t="shared" si="2"/>
        <v>39457</v>
      </c>
    </row>
    <row r="12" spans="1:8" ht="15.6">
      <c r="A12">
        <v>108011</v>
      </c>
      <c r="B12" s="34">
        <f t="shared" si="0"/>
        <v>39458</v>
      </c>
      <c r="C12" s="34">
        <f t="shared" si="1"/>
        <v>39458</v>
      </c>
      <c r="D12" s="35">
        <f t="shared" si="2"/>
        <v>39458</v>
      </c>
      <c r="F12">
        <f>TIMEVALUE("22-Aug-2008 0:00 AM")</f>
        <v>0</v>
      </c>
    </row>
    <row r="13" spans="1:8" ht="15.6">
      <c r="A13">
        <v>108012</v>
      </c>
      <c r="B13" s="34">
        <f t="shared" si="0"/>
        <v>39459</v>
      </c>
      <c r="C13" s="34">
        <f t="shared" si="1"/>
        <v>39459</v>
      </c>
      <c r="D13" s="35">
        <f t="shared" si="2"/>
        <v>39459</v>
      </c>
      <c r="F13">
        <f>TIMEVALUE("2:24 AM")</f>
        <v>9.9999999999999992E-2</v>
      </c>
    </row>
    <row r="14" spans="1:8" ht="15.6">
      <c r="A14">
        <v>108013</v>
      </c>
      <c r="B14" s="34">
        <f t="shared" si="0"/>
        <v>39460</v>
      </c>
      <c r="C14" s="34">
        <f t="shared" si="1"/>
        <v>39460</v>
      </c>
      <c r="D14" s="35">
        <f t="shared" si="2"/>
        <v>39460</v>
      </c>
      <c r="F14">
        <f>DATEVALUE("8/22/2008")</f>
        <v>39682</v>
      </c>
    </row>
    <row r="15" spans="1:8" ht="15.6">
      <c r="A15">
        <v>108014</v>
      </c>
      <c r="B15" s="34">
        <f t="shared" si="0"/>
        <v>39461</v>
      </c>
      <c r="C15" s="34">
        <f t="shared" si="1"/>
        <v>39461</v>
      </c>
      <c r="D15" s="35">
        <f t="shared" si="2"/>
        <v>39461</v>
      </c>
      <c r="F15">
        <f>DATEVALUE("22-AUG-2008")</f>
        <v>39682</v>
      </c>
    </row>
    <row r="16" spans="1:8" ht="15.6">
      <c r="A16">
        <v>108015</v>
      </c>
      <c r="B16" s="34">
        <f t="shared" si="0"/>
        <v>39462</v>
      </c>
      <c r="C16" s="34">
        <f t="shared" si="1"/>
        <v>39462</v>
      </c>
      <c r="D16" s="35">
        <f t="shared" si="2"/>
        <v>39462</v>
      </c>
      <c r="F16">
        <f>DATEVALUE("2008/02/23")</f>
        <v>39501</v>
      </c>
    </row>
    <row r="17" spans="1:6" ht="15.6">
      <c r="A17">
        <v>202512</v>
      </c>
      <c r="B17" s="34">
        <f t="shared" si="0"/>
        <v>74292</v>
      </c>
      <c r="C17" s="34">
        <f t="shared" si="1"/>
        <v>74292</v>
      </c>
      <c r="D17" s="35">
        <f t="shared" si="2"/>
        <v>74292</v>
      </c>
      <c r="F17">
        <f>DATEVALUE("5-JUL")</f>
        <v>41095</v>
      </c>
    </row>
    <row r="18" spans="1:6">
      <c r="F18" s="4">
        <f ca="1">TODAY()</f>
        <v>41196</v>
      </c>
    </row>
    <row r="19" spans="1:6">
      <c r="F19" s="37">
        <f ca="1">NOW()</f>
        <v>41196.577273726849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E3:F151"/>
  <sheetViews>
    <sheetView topLeftCell="C1" workbookViewId="0">
      <selection activeCell="E11" sqref="E11"/>
    </sheetView>
  </sheetViews>
  <sheetFormatPr defaultRowHeight="14.4"/>
  <cols>
    <col min="5" max="5" width="73.6640625" customWidth="1"/>
    <col min="6" max="6" width="31.109375" customWidth="1"/>
  </cols>
  <sheetData>
    <row r="3" spans="5:6" ht="15">
      <c r="E3" s="24" t="s">
        <v>492</v>
      </c>
      <c r="F3" s="24" t="s">
        <v>643</v>
      </c>
    </row>
    <row r="4" spans="5:6" ht="15">
      <c r="E4" s="24" t="s">
        <v>493</v>
      </c>
      <c r="F4" s="24" t="s">
        <v>644</v>
      </c>
    </row>
    <row r="5" spans="5:6" ht="15">
      <c r="E5" s="24" t="s">
        <v>494</v>
      </c>
      <c r="F5" s="24" t="s">
        <v>645</v>
      </c>
    </row>
    <row r="6" spans="5:6" ht="15">
      <c r="E6" s="24" t="s">
        <v>495</v>
      </c>
      <c r="F6" s="24" t="s">
        <v>369</v>
      </c>
    </row>
    <row r="7" spans="5:6" ht="15">
      <c r="E7" s="24" t="s">
        <v>496</v>
      </c>
      <c r="F7" s="24" t="s">
        <v>646</v>
      </c>
    </row>
    <row r="8" spans="5:6" ht="15">
      <c r="E8" s="24" t="s">
        <v>497</v>
      </c>
      <c r="F8" s="24" t="s">
        <v>647</v>
      </c>
    </row>
    <row r="9" spans="5:6" ht="15">
      <c r="E9" s="24" t="s">
        <v>498</v>
      </c>
      <c r="F9" s="24" t="s">
        <v>369</v>
      </c>
    </row>
    <row r="10" spans="5:6" ht="15">
      <c r="E10" s="24" t="s">
        <v>495</v>
      </c>
      <c r="F10" s="24" t="s">
        <v>648</v>
      </c>
    </row>
    <row r="11" spans="5:6" ht="15">
      <c r="E11" s="24" t="s">
        <v>499</v>
      </c>
    </row>
    <row r="12" spans="5:6" ht="15">
      <c r="E12" s="24" t="s">
        <v>500</v>
      </c>
      <c r="F12" s="24" t="s">
        <v>649</v>
      </c>
    </row>
    <row r="13" spans="5:6" ht="15">
      <c r="E13" s="24" t="s">
        <v>501</v>
      </c>
      <c r="F13" s="24" t="s">
        <v>650</v>
      </c>
    </row>
    <row r="14" spans="5:6" ht="15">
      <c r="F14" s="24" t="s">
        <v>369</v>
      </c>
    </row>
    <row r="15" spans="5:6" ht="15">
      <c r="E15" s="24" t="s">
        <v>502</v>
      </c>
      <c r="F15" s="24" t="s">
        <v>651</v>
      </c>
    </row>
    <row r="16" spans="5:6" ht="15">
      <c r="E16" s="24" t="s">
        <v>503</v>
      </c>
    </row>
    <row r="17" spans="5:6" ht="15">
      <c r="E17" s="24" t="s">
        <v>504</v>
      </c>
      <c r="F17" s="24" t="s">
        <v>652</v>
      </c>
    </row>
    <row r="19" spans="5:6" ht="15">
      <c r="E19" s="24" t="s">
        <v>505</v>
      </c>
      <c r="F19" s="24" t="s">
        <v>653</v>
      </c>
    </row>
    <row r="20" spans="5:6" ht="15">
      <c r="E20" s="24" t="s">
        <v>506</v>
      </c>
    </row>
    <row r="21" spans="5:6" ht="15">
      <c r="E21" s="24" t="s">
        <v>507</v>
      </c>
      <c r="F21" s="24" t="s">
        <v>654</v>
      </c>
    </row>
    <row r="22" spans="5:6" ht="15">
      <c r="E22" s="24" t="s">
        <v>495</v>
      </c>
    </row>
    <row r="23" spans="5:6" ht="15">
      <c r="E23" s="24" t="s">
        <v>508</v>
      </c>
      <c r="F23" s="24" t="s">
        <v>655</v>
      </c>
    </row>
    <row r="25" spans="5:6" ht="15">
      <c r="E25" s="24" t="s">
        <v>509</v>
      </c>
    </row>
    <row r="26" spans="5:6" ht="15">
      <c r="E26" s="24" t="s">
        <v>510</v>
      </c>
    </row>
    <row r="28" spans="5:6" ht="15">
      <c r="E28" s="24" t="s">
        <v>511</v>
      </c>
    </row>
    <row r="29" spans="5:6" ht="15">
      <c r="E29" s="24" t="s">
        <v>512</v>
      </c>
    </row>
    <row r="31" spans="5:6" ht="15">
      <c r="E31" s="24" t="s">
        <v>513</v>
      </c>
    </row>
    <row r="32" spans="5:6" ht="15">
      <c r="E32" s="24" t="s">
        <v>514</v>
      </c>
    </row>
    <row r="34" spans="5:5" ht="15">
      <c r="E34" s="24" t="s">
        <v>515</v>
      </c>
    </row>
    <row r="35" spans="5:5" ht="15">
      <c r="E35" s="24" t="s">
        <v>516</v>
      </c>
    </row>
    <row r="36" spans="5:5" ht="15">
      <c r="E36" s="24" t="s">
        <v>517</v>
      </c>
    </row>
    <row r="37" spans="5:5" ht="15">
      <c r="E37" s="24" t="s">
        <v>518</v>
      </c>
    </row>
    <row r="38" spans="5:5" ht="15">
      <c r="E38" s="24" t="s">
        <v>519</v>
      </c>
    </row>
    <row r="40" spans="5:5" ht="17.399999999999999">
      <c r="E40" s="57" t="s">
        <v>520</v>
      </c>
    </row>
    <row r="42" spans="5:5">
      <c r="E42" s="28" t="s">
        <v>521</v>
      </c>
    </row>
    <row r="44" spans="5:5" ht="18">
      <c r="E44" s="59" t="s">
        <v>522</v>
      </c>
    </row>
    <row r="46" spans="5:5" ht="15">
      <c r="E46" s="24" t="s">
        <v>523</v>
      </c>
    </row>
    <row r="47" spans="5:5" ht="15">
      <c r="E47" s="24" t="s">
        <v>524</v>
      </c>
    </row>
    <row r="48" spans="5:5" ht="15">
      <c r="E48" s="24" t="s">
        <v>524</v>
      </c>
    </row>
    <row r="49" spans="5:5" ht="15">
      <c r="E49" s="24" t="s">
        <v>525</v>
      </c>
    </row>
    <row r="50" spans="5:5" ht="15">
      <c r="E50" s="24" t="s">
        <v>526</v>
      </c>
    </row>
    <row r="51" spans="5:5" ht="15">
      <c r="E51" s="24" t="s">
        <v>527</v>
      </c>
    </row>
    <row r="52" spans="5:5" ht="15">
      <c r="E52" s="24" t="s">
        <v>528</v>
      </c>
    </row>
    <row r="53" spans="5:5" ht="15">
      <c r="E53" s="24" t="s">
        <v>529</v>
      </c>
    </row>
    <row r="54" spans="5:5" ht="15">
      <c r="E54" s="24" t="s">
        <v>530</v>
      </c>
    </row>
    <row r="55" spans="5:5" ht="15">
      <c r="E55" s="24" t="s">
        <v>531</v>
      </c>
    </row>
    <row r="56" spans="5:5" ht="15">
      <c r="E56" s="24" t="s">
        <v>530</v>
      </c>
    </row>
    <row r="57" spans="5:5" ht="15">
      <c r="E57" s="24" t="s">
        <v>532</v>
      </c>
    </row>
    <row r="58" spans="5:5" ht="15">
      <c r="E58" s="24" t="s">
        <v>524</v>
      </c>
    </row>
    <row r="60" spans="5:5" ht="18">
      <c r="E60" s="58" t="s">
        <v>533</v>
      </c>
    </row>
    <row r="62" spans="5:5" ht="36">
      <c r="E62" s="59" t="s">
        <v>534</v>
      </c>
    </row>
    <row r="64" spans="5:5" ht="15">
      <c r="E64" s="24" t="s">
        <v>535</v>
      </c>
    </row>
    <row r="66" spans="5:5" ht="18">
      <c r="E66" s="58" t="s">
        <v>536</v>
      </c>
    </row>
    <row r="68" spans="5:5" ht="36">
      <c r="E68" s="59" t="s">
        <v>537</v>
      </c>
    </row>
    <row r="70" spans="5:5" ht="15">
      <c r="E70" s="24" t="s">
        <v>524</v>
      </c>
    </row>
    <row r="71" spans="5:5" ht="15">
      <c r="E71" s="24" t="s">
        <v>525</v>
      </c>
    </row>
    <row r="72" spans="5:5" ht="15">
      <c r="E72" s="24" t="s">
        <v>538</v>
      </c>
    </row>
    <row r="73" spans="5:5" ht="15">
      <c r="E73" s="24" t="s">
        <v>527</v>
      </c>
    </row>
    <row r="74" spans="5:5" ht="15">
      <c r="E74" s="24" t="s">
        <v>528</v>
      </c>
    </row>
    <row r="75" spans="5:5" ht="15">
      <c r="E75" s="24" t="s">
        <v>528</v>
      </c>
    </row>
    <row r="76" spans="5:5" ht="15">
      <c r="E76" s="24" t="s">
        <v>539</v>
      </c>
    </row>
    <row r="77" spans="5:5" ht="15">
      <c r="E77" s="24" t="s">
        <v>540</v>
      </c>
    </row>
    <row r="78" spans="5:5" ht="15">
      <c r="E78" s="24" t="s">
        <v>541</v>
      </c>
    </row>
    <row r="79" spans="5:5" ht="15">
      <c r="E79" s="24" t="s">
        <v>528</v>
      </c>
    </row>
    <row r="80" spans="5:5" ht="15">
      <c r="E80" s="24" t="s">
        <v>542</v>
      </c>
    </row>
    <row r="81" spans="5:5" ht="15">
      <c r="E81" s="24" t="s">
        <v>543</v>
      </c>
    </row>
    <row r="82" spans="5:5" ht="15">
      <c r="E82" s="24">
        <v>0.59556542000000001</v>
      </c>
    </row>
    <row r="83" spans="5:5" ht="15">
      <c r="E83" s="24" t="s">
        <v>544</v>
      </c>
    </row>
    <row r="84" spans="5:5" ht="15">
      <c r="E84" s="24" t="s">
        <v>545</v>
      </c>
    </row>
    <row r="86" spans="5:5" ht="18">
      <c r="E86" s="58" t="s">
        <v>546</v>
      </c>
    </row>
    <row r="88" spans="5:5" ht="15">
      <c r="E88" s="24" t="s">
        <v>523</v>
      </c>
    </row>
    <row r="89" spans="5:5" ht="15">
      <c r="E89" s="24" t="s">
        <v>547</v>
      </c>
    </row>
    <row r="90" spans="5:5" ht="15">
      <c r="E90" s="24" t="s">
        <v>548</v>
      </c>
    </row>
    <row r="91" spans="5:5" ht="15">
      <c r="E91" s="24" t="s">
        <v>547</v>
      </c>
    </row>
    <row r="92" spans="5:5" ht="15">
      <c r="E92" s="24" t="s">
        <v>549</v>
      </c>
    </row>
    <row r="93" spans="5:5" ht="15">
      <c r="E93" s="24" t="s">
        <v>550</v>
      </c>
    </row>
    <row r="95" spans="5:5" ht="17.399999999999999">
      <c r="E95" s="57" t="s">
        <v>551</v>
      </c>
    </row>
    <row r="97" spans="5:5">
      <c r="E97" s="28" t="s">
        <v>521</v>
      </c>
    </row>
    <row r="99" spans="5:5" ht="36">
      <c r="E99" s="59" t="s">
        <v>552</v>
      </c>
    </row>
    <row r="100" spans="5:5">
      <c r="E100" s="60"/>
    </row>
    <row r="101" spans="5:5" ht="36">
      <c r="E101" s="61" t="s">
        <v>553</v>
      </c>
    </row>
    <row r="102" spans="5:5" ht="18">
      <c r="E102" s="61" t="s">
        <v>554</v>
      </c>
    </row>
    <row r="103" spans="5:5" ht="18">
      <c r="E103" s="61" t="s">
        <v>555</v>
      </c>
    </row>
    <row r="104" spans="5:5" ht="18">
      <c r="E104" s="61" t="s">
        <v>556</v>
      </c>
    </row>
    <row r="106" spans="5:5" ht="18">
      <c r="E106" s="58" t="s">
        <v>557</v>
      </c>
    </row>
    <row r="108" spans="5:5" ht="15">
      <c r="E108" s="24" t="s">
        <v>558</v>
      </c>
    </row>
    <row r="110" spans="5:5" ht="15">
      <c r="E110" s="24" t="s">
        <v>559</v>
      </c>
    </row>
    <row r="111" spans="5:5" ht="15">
      <c r="E111" s="24" t="s">
        <v>560</v>
      </c>
    </row>
    <row r="113" spans="5:5" ht="15">
      <c r="E113" s="24" t="s">
        <v>561</v>
      </c>
    </row>
    <row r="115" spans="5:5" ht="15">
      <c r="E115" s="24" t="s">
        <v>562</v>
      </c>
    </row>
    <row r="116" spans="5:5" ht="15">
      <c r="E116" s="24" t="s">
        <v>563</v>
      </c>
    </row>
    <row r="117" spans="5:5" ht="15">
      <c r="E117" s="24" t="s">
        <v>564</v>
      </c>
    </row>
    <row r="118" spans="5:5" ht="15">
      <c r="E118" s="24" t="s">
        <v>565</v>
      </c>
    </row>
    <row r="120" spans="5:5" ht="15">
      <c r="E120" s="24" t="s">
        <v>566</v>
      </c>
    </row>
    <row r="121" spans="5:5" ht="15">
      <c r="E121" s="24" t="s">
        <v>567</v>
      </c>
    </row>
    <row r="122" spans="5:5" ht="15">
      <c r="E122" s="24" t="s">
        <v>524</v>
      </c>
    </row>
    <row r="123" spans="5:5" ht="15">
      <c r="E123" s="24" t="s">
        <v>568</v>
      </c>
    </row>
    <row r="124" spans="5:5" ht="15">
      <c r="E124" s="24" t="s">
        <v>569</v>
      </c>
    </row>
    <row r="125" spans="5:5" ht="15">
      <c r="E125" s="24" t="s">
        <v>570</v>
      </c>
    </row>
    <row r="127" spans="5:5" ht="15">
      <c r="E127" s="24" t="s">
        <v>571</v>
      </c>
    </row>
    <row r="129" spans="5:5" ht="15">
      <c r="E129" s="24" t="s">
        <v>572</v>
      </c>
    </row>
    <row r="130" spans="5:5" ht="15">
      <c r="E130" s="24" t="s">
        <v>573</v>
      </c>
    </row>
    <row r="131" spans="5:5" ht="15">
      <c r="E131" s="24" t="s">
        <v>574</v>
      </c>
    </row>
    <row r="132" spans="5:5" ht="15">
      <c r="E132" s="24" t="s">
        <v>575</v>
      </c>
    </row>
    <row r="134" spans="5:5" ht="15">
      <c r="E134" s="24" t="s">
        <v>576</v>
      </c>
    </row>
    <row r="135" spans="5:5" ht="15">
      <c r="E135" s="24" t="s">
        <v>540</v>
      </c>
    </row>
    <row r="136" spans="5:5" ht="15">
      <c r="E136" s="24" t="s">
        <v>577</v>
      </c>
    </row>
    <row r="137" spans="5:5" ht="15">
      <c r="E137" s="24" t="s">
        <v>528</v>
      </c>
    </row>
    <row r="138" spans="5:5" ht="15">
      <c r="E138" s="24" t="s">
        <v>578</v>
      </c>
    </row>
    <row r="139" spans="5:5" ht="15">
      <c r="E139" s="24" t="s">
        <v>579</v>
      </c>
    </row>
    <row r="140" spans="5:5" ht="15">
      <c r="E140" s="24" t="s">
        <v>580</v>
      </c>
    </row>
    <row r="141" spans="5:5" ht="15">
      <c r="E141" s="24" t="s">
        <v>581</v>
      </c>
    </row>
    <row r="142" spans="5:5" ht="15">
      <c r="E142" s="24" t="s">
        <v>580</v>
      </c>
    </row>
    <row r="143" spans="5:5" ht="15">
      <c r="E143" s="24" t="s">
        <v>582</v>
      </c>
    </row>
    <row r="145" spans="5:5" ht="15">
      <c r="E145" s="24" t="s">
        <v>583</v>
      </c>
    </row>
    <row r="146" spans="5:5" ht="15">
      <c r="E146" s="24" t="s">
        <v>584</v>
      </c>
    </row>
    <row r="147" spans="5:5" ht="15">
      <c r="E147" s="24" t="s">
        <v>585</v>
      </c>
    </row>
    <row r="148" spans="5:5" ht="15">
      <c r="E148" s="24" t="s">
        <v>586</v>
      </c>
    </row>
    <row r="149" spans="5:5" ht="15">
      <c r="E149" s="24" t="s">
        <v>587</v>
      </c>
    </row>
    <row r="151" spans="5:5" ht="54">
      <c r="E151" s="59" t="s">
        <v>588</v>
      </c>
    </row>
  </sheetData>
  <hyperlinks>
    <hyperlink ref="E42" r:id="rId1" location="twig00" display="http://www.stargazing.net/kepler/sunrise.html - twig00"/>
    <hyperlink ref="E97" r:id="rId2" location="twig00" display="http://www.stargazing.net/kepler/sunrise.html - twig00"/>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dimension ref="E6:F38"/>
  <sheetViews>
    <sheetView topLeftCell="A19" workbookViewId="0">
      <selection activeCell="I14" sqref="I14"/>
    </sheetView>
  </sheetViews>
  <sheetFormatPr defaultRowHeight="14.4"/>
  <cols>
    <col min="5" max="5" width="8.88671875" style="67"/>
    <col min="6" max="6" width="30" style="67" customWidth="1"/>
  </cols>
  <sheetData>
    <row r="6" spans="5:6" ht="15.6" customHeight="1">
      <c r="E6" s="186" t="s">
        <v>589</v>
      </c>
      <c r="F6" s="186"/>
    </row>
    <row r="7" spans="5:6">
      <c r="E7" s="65"/>
      <c r="F7" s="66" t="s">
        <v>590</v>
      </c>
    </row>
    <row r="8" spans="5:6">
      <c r="E8" s="65" t="s">
        <v>591</v>
      </c>
      <c r="F8" s="66" t="s">
        <v>592</v>
      </c>
    </row>
    <row r="9" spans="5:6">
      <c r="E9" s="65" t="s">
        <v>593</v>
      </c>
      <c r="F9" s="66" t="s">
        <v>594</v>
      </c>
    </row>
    <row r="10" spans="5:6" ht="15">
      <c r="E10" s="65" t="s">
        <v>595</v>
      </c>
      <c r="F10" s="66" t="s">
        <v>596</v>
      </c>
    </row>
    <row r="11" spans="5:6" ht="15">
      <c r="E11" s="65" t="s">
        <v>597</v>
      </c>
      <c r="F11" s="66" t="s">
        <v>598</v>
      </c>
    </row>
    <row r="12" spans="5:6">
      <c r="E12" s="65" t="s">
        <v>599</v>
      </c>
      <c r="F12" s="66" t="s">
        <v>600</v>
      </c>
    </row>
    <row r="13" spans="5:6" ht="15">
      <c r="E13" s="65" t="s">
        <v>601</v>
      </c>
      <c r="F13" s="66" t="s">
        <v>602</v>
      </c>
    </row>
    <row r="14" spans="5:6">
      <c r="E14" s="65"/>
      <c r="F14" s="66" t="s">
        <v>603</v>
      </c>
    </row>
    <row r="15" spans="5:6">
      <c r="E15" s="65"/>
      <c r="F15" s="66" t="s">
        <v>604</v>
      </c>
    </row>
    <row r="16" spans="5:6">
      <c r="E16" s="65" t="s">
        <v>605</v>
      </c>
      <c r="F16" s="66" t="s">
        <v>606</v>
      </c>
    </row>
    <row r="17" spans="5:6">
      <c r="E17" s="65" t="s">
        <v>607</v>
      </c>
      <c r="F17" s="66" t="s">
        <v>608</v>
      </c>
    </row>
    <row r="18" spans="5:6">
      <c r="E18" s="65" t="s">
        <v>609</v>
      </c>
      <c r="F18" s="66" t="s">
        <v>610</v>
      </c>
    </row>
    <row r="19" spans="5:6">
      <c r="E19" s="65" t="s">
        <v>611</v>
      </c>
      <c r="F19" s="66" t="s">
        <v>612</v>
      </c>
    </row>
    <row r="20" spans="5:6">
      <c r="E20" s="65" t="s">
        <v>613</v>
      </c>
      <c r="F20" s="66" t="s">
        <v>614</v>
      </c>
    </row>
    <row r="21" spans="5:6">
      <c r="E21" s="65" t="s">
        <v>615</v>
      </c>
      <c r="F21" s="66" t="s">
        <v>616</v>
      </c>
    </row>
    <row r="22" spans="5:6">
      <c r="E22" s="65"/>
      <c r="F22" s="66" t="s">
        <v>617</v>
      </c>
    </row>
    <row r="23" spans="5:6">
      <c r="E23" s="65"/>
      <c r="F23" s="66" t="s">
        <v>618</v>
      </c>
    </row>
    <row r="24" spans="5:6">
      <c r="E24" s="65"/>
      <c r="F24" s="66" t="s">
        <v>619</v>
      </c>
    </row>
    <row r="25" spans="5:6">
      <c r="E25" s="65"/>
      <c r="F25" s="66" t="s">
        <v>620</v>
      </c>
    </row>
    <row r="26" spans="5:6">
      <c r="E26" s="65" t="s">
        <v>621</v>
      </c>
      <c r="F26" s="66" t="s">
        <v>622</v>
      </c>
    </row>
    <row r="27" spans="5:6">
      <c r="E27" s="65" t="s">
        <v>623</v>
      </c>
      <c r="F27" s="66" t="s">
        <v>624</v>
      </c>
    </row>
    <row r="28" spans="5:6">
      <c r="E28" s="65" t="s">
        <v>625</v>
      </c>
      <c r="F28" s="66" t="s">
        <v>626</v>
      </c>
    </row>
    <row r="29" spans="5:6" ht="15">
      <c r="E29" s="65" t="s">
        <v>627</v>
      </c>
      <c r="F29" s="66" t="s">
        <v>628</v>
      </c>
    </row>
    <row r="30" spans="5:6">
      <c r="E30" s="65" t="s">
        <v>629</v>
      </c>
      <c r="F30" s="66" t="s">
        <v>630</v>
      </c>
    </row>
    <row r="31" spans="5:6">
      <c r="E31" s="65" t="s">
        <v>631</v>
      </c>
      <c r="F31" s="66" t="s">
        <v>632</v>
      </c>
    </row>
    <row r="32" spans="5:6">
      <c r="E32" s="65" t="s">
        <v>633</v>
      </c>
      <c r="F32" s="66" t="s">
        <v>634</v>
      </c>
    </row>
    <row r="33" spans="5:6">
      <c r="E33" s="65" t="s">
        <v>635</v>
      </c>
      <c r="F33" s="66" t="s">
        <v>636</v>
      </c>
    </row>
    <row r="34" spans="5:6">
      <c r="E34" s="65" t="s">
        <v>637</v>
      </c>
      <c r="F34" s="66" t="s">
        <v>638</v>
      </c>
    </row>
    <row r="35" spans="5:6">
      <c r="E35" s="65" t="s">
        <v>639</v>
      </c>
      <c r="F35" s="66" t="s">
        <v>640</v>
      </c>
    </row>
    <row r="36" spans="5:6">
      <c r="E36" s="65" t="s">
        <v>641</v>
      </c>
      <c r="F36" s="66" t="s">
        <v>642</v>
      </c>
    </row>
    <row r="38" spans="5:6" ht="18">
      <c r="E38" s="68"/>
    </row>
  </sheetData>
  <mergeCells count="1">
    <mergeCell ref="E6:F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Sheet3</vt:lpstr>
      <vt:lpstr>Sheet4</vt:lpstr>
      <vt:lpstr>Sheet5</vt:lpstr>
      <vt:lpstr>Sheet6</vt:lpstr>
      <vt:lpstr>Sun</vt:lpstr>
      <vt:lpstr>moon</vt:lpstr>
      <vt:lpstr>Jul-Geor</vt:lpstr>
      <vt:lpstr>Sheet1</vt:lpstr>
      <vt:lpstr>Sheet7</vt:lpstr>
      <vt:lpstr>Sheet8</vt:lpstr>
      <vt:lpstr>Sheet9</vt:lpstr>
      <vt:lpstr>Sheet12</vt:lpstr>
      <vt:lpstr>Sheet11</vt:lpstr>
      <vt:lpstr>Sheet13</vt:lpstr>
      <vt:lpstr>formulas</vt:lpstr>
      <vt:lpstr>Geor-Jul</vt:lpstr>
      <vt:lpstr>sunrise2</vt:lpstr>
      <vt:lpstr>NEW</vt:lpstr>
      <vt:lpstr>NEW2</vt:lpstr>
      <vt:lpstr>Algorithm</vt:lpstr>
      <vt:lpstr>alg2</vt:lpstr>
      <vt:lpstr>alg3</vt:lpstr>
      <vt:lpstr>sun rise</vt:lpstr>
      <vt:lpstr>Meeus</vt:lpstr>
      <vt:lpstr>Sidereal</vt:lpstr>
      <vt:lpstr>Sun-Coord</vt:lpstr>
      <vt:lpstr>EQT</vt:lpstr>
      <vt:lpstr>Summary</vt:lpstr>
      <vt:lpstr>si-eps</vt:lpstr>
      <vt:lpstr>Sheet11!azimutwinkel</vt:lpstr>
      <vt:lpstr>Sheet11!berechnen</vt:lpstr>
      <vt:lpstr>Sheet11!declination</vt:lpstr>
      <vt:lpstr>Sheet8!Description</vt:lpstr>
      <vt:lpstr>Sheet11!flaeche</vt:lpstr>
      <vt:lpstr>Sheet8!Formulas</vt:lpstr>
      <vt:lpstr>Sheet11!hohenwinkel</vt:lpstr>
      <vt:lpstr>Sheet8!Iteration</vt:lpstr>
      <vt:lpstr>Sheet11!ort</vt:lpstr>
      <vt:lpstr>Sheet11!sonnenaufgang</vt:lpstr>
      <vt:lpstr>Sheet11!sonnenzeit</vt:lpstr>
      <vt:lpstr>Sheet11!stundenwinkel</vt:lpstr>
      <vt:lpstr>Sheet9!twig02a</vt:lpstr>
      <vt:lpstr>Sheet9!twig02b</vt:lpstr>
      <vt:lpstr>Sheet1!twig02c</vt:lpstr>
      <vt:lpstr>Sheet1!twig02e</vt:lpstr>
      <vt:lpstr>Sheet11!zeit</vt:lpstr>
      <vt:lpstr>Sheet11!zeitgleichung</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abdul-latif</dc:creator>
  <cp:lastModifiedBy>abdul-latif</cp:lastModifiedBy>
  <dcterms:created xsi:type="dcterms:W3CDTF">2012-03-18T09:04:06Z</dcterms:created>
  <dcterms:modified xsi:type="dcterms:W3CDTF">2012-10-14T11:54:58Z</dcterms:modified>
</cp:coreProperties>
</file>