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30" windowWidth="11550" windowHeight="4035"/>
  </bookViews>
  <sheets>
    <sheet name="Energy Intensity TOE" sheetId="12" r:id="rId1"/>
    <sheet name="Total Imports" sheetId="28" r:id="rId2"/>
    <sheet name="Total by Product &amp; year" sheetId="29" r:id="rId3"/>
    <sheet name="Total by Product and Year 2" sheetId="30" r:id="rId4"/>
    <sheet name="Prices RT &amp; WS (UK Gal)" sheetId="32" r:id="rId5"/>
    <sheet name="Prices RT &amp; WS (Ltr)" sheetId="31" r:id="rId6"/>
    <sheet name="Oil Consumption by Product" sheetId="14" r:id="rId7"/>
    <sheet name="Cost VS GDP" sheetId="17" r:id="rId8"/>
  </sheets>
  <externalReferences>
    <externalReference r:id="rId9"/>
    <externalReference r:id="rId10"/>
  </externalReferences>
  <definedNames>
    <definedName name="_xlnm.Print_Area" localSheetId="7">'Cost VS GDP'!$A$1:$O$36</definedName>
    <definedName name="_xlnm.Print_Area" localSheetId="6">'Oil Consumption by Product'!$A$1:$R$44</definedName>
    <definedName name="_xlnm.Print_Area" localSheetId="2">'Total by Product &amp; year'!$A$1:$M$212</definedName>
  </definedNames>
  <calcPr calcId="144525"/>
</workbook>
</file>

<file path=xl/calcChain.xml><?xml version="1.0" encoding="utf-8"?>
<calcChain xmlns="http://schemas.openxmlformats.org/spreadsheetml/2006/main">
  <c r="F329" i="29" l="1"/>
  <c r="H260" i="29" l="1"/>
  <c r="I260" i="29"/>
  <c r="B293" i="29" l="1"/>
  <c r="B292" i="29"/>
  <c r="B291" i="29"/>
  <c r="B290" i="29"/>
  <c r="B289" i="29"/>
  <c r="B288" i="29"/>
  <c r="B287" i="29"/>
  <c r="C294" i="29"/>
  <c r="D294" i="29"/>
  <c r="G259" i="29"/>
  <c r="G258" i="29"/>
  <c r="G257" i="29"/>
  <c r="G256" i="29"/>
  <c r="G255" i="29"/>
  <c r="G254" i="29"/>
  <c r="G253" i="29"/>
  <c r="B259" i="29"/>
  <c r="B258" i="29"/>
  <c r="B257" i="29"/>
  <c r="B256" i="29"/>
  <c r="B255" i="29"/>
  <c r="B254" i="29"/>
  <c r="B253" i="29"/>
  <c r="B218" i="29"/>
  <c r="B219" i="29"/>
  <c r="B220" i="29"/>
  <c r="B221" i="29"/>
  <c r="B222" i="29"/>
  <c r="G223" i="29"/>
  <c r="G222" i="29"/>
  <c r="G221" i="29"/>
  <c r="G220" i="29"/>
  <c r="G219" i="29"/>
  <c r="G218" i="29"/>
  <c r="G217" i="29"/>
  <c r="B217" i="29"/>
  <c r="G192" i="29"/>
  <c r="G191" i="29"/>
  <c r="G190" i="29"/>
  <c r="G189" i="29"/>
  <c r="G188" i="29"/>
  <c r="G187" i="29"/>
  <c r="B188" i="29"/>
  <c r="B189" i="29"/>
  <c r="B190" i="29"/>
  <c r="B191" i="29"/>
  <c r="B192" i="29"/>
  <c r="B187" i="29"/>
  <c r="C260" i="29"/>
  <c r="D260" i="29"/>
  <c r="H224" i="29"/>
  <c r="I224" i="29"/>
  <c r="G260" i="29" l="1"/>
  <c r="B260" i="29"/>
  <c r="G224" i="29"/>
  <c r="B294" i="29"/>
  <c r="B223" i="29"/>
  <c r="C223" i="29"/>
  <c r="D223" i="29"/>
  <c r="G193" i="29"/>
  <c r="H193" i="29"/>
  <c r="I193" i="29"/>
  <c r="B193" i="29"/>
  <c r="C193" i="29"/>
  <c r="D193" i="29"/>
  <c r="P34" i="17" l="1"/>
  <c r="D28" i="17" l="1"/>
  <c r="V7" i="14" l="1"/>
  <c r="V11" i="14" l="1"/>
  <c r="V10" i="32"/>
  <c r="W8" i="32"/>
  <c r="U7" i="32"/>
  <c r="W7" i="32" s="1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U6" i="32"/>
  <c r="W6" i="32" s="1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W5" i="32"/>
  <c r="U5" i="32"/>
  <c r="U10" i="32" s="1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V8" i="31"/>
  <c r="V7" i="31"/>
  <c r="V6" i="31"/>
  <c r="V5" i="31"/>
  <c r="AS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V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BP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BP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BP7" i="30"/>
  <c r="BL7" i="30"/>
  <c r="BK7" i="30"/>
  <c r="BJ7" i="30"/>
  <c r="BI7" i="30"/>
  <c r="BH7" i="30"/>
  <c r="BG7" i="30"/>
  <c r="BF7" i="30"/>
  <c r="BE7" i="30"/>
  <c r="BD7" i="30"/>
  <c r="BC7" i="30"/>
  <c r="BB7" i="30"/>
  <c r="BA7" i="30"/>
  <c r="AZ7" i="30"/>
  <c r="AY7" i="30"/>
  <c r="AX7" i="30"/>
  <c r="AW7" i="30"/>
  <c r="AV7" i="30"/>
  <c r="BP6" i="30"/>
  <c r="BM6" i="30"/>
  <c r="BL6" i="30"/>
  <c r="BK6" i="30"/>
  <c r="BJ6" i="30"/>
  <c r="BI6" i="30"/>
  <c r="BH6" i="30"/>
  <c r="BG6" i="30"/>
  <c r="BF6" i="30"/>
  <c r="BE6" i="30"/>
  <c r="BD6" i="30"/>
  <c r="BC6" i="30"/>
  <c r="BB6" i="30"/>
  <c r="BA6" i="30"/>
  <c r="AZ6" i="30"/>
  <c r="AY6" i="30"/>
  <c r="AX6" i="30"/>
  <c r="AW6" i="30"/>
  <c r="AV6" i="30"/>
  <c r="BP5" i="30"/>
  <c r="BL5" i="30"/>
  <c r="BK5" i="30"/>
  <c r="BJ5" i="30"/>
  <c r="BI5" i="30"/>
  <c r="BH5" i="30"/>
  <c r="BG5" i="30"/>
  <c r="BF5" i="30"/>
  <c r="BE5" i="30"/>
  <c r="BD5" i="30"/>
  <c r="BC5" i="30"/>
  <c r="BB5" i="30"/>
  <c r="BA5" i="30"/>
  <c r="AZ5" i="30"/>
  <c r="AY5" i="30"/>
  <c r="AX5" i="30"/>
  <c r="AW5" i="30"/>
  <c r="AV5" i="30"/>
  <c r="BP4" i="30"/>
  <c r="BM4" i="30"/>
  <c r="BL4" i="30"/>
  <c r="BK4" i="30"/>
  <c r="BJ4" i="30"/>
  <c r="BI4" i="30"/>
  <c r="BH4" i="30"/>
  <c r="BG4" i="30"/>
  <c r="BF4" i="30"/>
  <c r="BE4" i="30"/>
  <c r="BD4" i="30"/>
  <c r="BC4" i="30"/>
  <c r="BB4" i="30"/>
  <c r="BA4" i="30"/>
  <c r="AZ4" i="30"/>
  <c r="AY4" i="30"/>
  <c r="AX4" i="30"/>
  <c r="AW4" i="30"/>
  <c r="AV4" i="30"/>
  <c r="C328" i="29"/>
  <c r="B327" i="29"/>
  <c r="B326" i="29"/>
  <c r="B325" i="29"/>
  <c r="D324" i="29"/>
  <c r="B324" i="29"/>
  <c r="D323" i="29"/>
  <c r="B323" i="29"/>
  <c r="B322" i="29"/>
  <c r="B321" i="29"/>
  <c r="E291" i="29"/>
  <c r="G293" i="29"/>
  <c r="G292" i="29"/>
  <c r="E292" i="29"/>
  <c r="G291" i="29"/>
  <c r="G290" i="29"/>
  <c r="G289" i="29"/>
  <c r="G288" i="29"/>
  <c r="E288" i="29"/>
  <c r="E287" i="29"/>
  <c r="A7" i="28"/>
  <c r="B7" i="28"/>
  <c r="B26" i="28"/>
  <c r="D26" i="28"/>
  <c r="B25" i="28"/>
  <c r="B24" i="28"/>
  <c r="E24" i="28"/>
  <c r="E27" i="28" s="1"/>
  <c r="J23" i="28"/>
  <c r="B23" i="28"/>
  <c r="A23" i="28"/>
  <c r="B22" i="28"/>
  <c r="A22" i="28"/>
  <c r="B21" i="28"/>
  <c r="A21" i="28"/>
  <c r="B20" i="28"/>
  <c r="A20" i="28"/>
  <c r="B19" i="28"/>
  <c r="A19" i="28"/>
  <c r="B18" i="28"/>
  <c r="A18" i="28"/>
  <c r="B17" i="28"/>
  <c r="A17" i="28"/>
  <c r="B16" i="28"/>
  <c r="A16" i="28"/>
  <c r="B15" i="28"/>
  <c r="A15" i="28"/>
  <c r="B14" i="28"/>
  <c r="A14" i="28"/>
  <c r="B13" i="28"/>
  <c r="A13" i="28"/>
  <c r="B12" i="28"/>
  <c r="A12" i="28"/>
  <c r="B11" i="28"/>
  <c r="A11" i="28"/>
  <c r="B10" i="28"/>
  <c r="A10" i="28"/>
  <c r="B9" i="28"/>
  <c r="A9" i="28"/>
  <c r="B8" i="28"/>
  <c r="A8" i="28"/>
  <c r="E26" i="28" l="1"/>
  <c r="BP10" i="30"/>
  <c r="W10" i="32"/>
  <c r="B328" i="29"/>
  <c r="BM7" i="30"/>
  <c r="AP10" i="30"/>
  <c r="BM10" i="30" s="1"/>
  <c r="BO6" i="30"/>
  <c r="BO7" i="30"/>
  <c r="BN9" i="30"/>
  <c r="BN5" i="30"/>
  <c r="U10" i="30"/>
  <c r="BO9" i="30"/>
  <c r="H294" i="29"/>
  <c r="I294" i="29"/>
  <c r="J288" i="29" s="1"/>
  <c r="BN4" i="30"/>
  <c r="V12" i="14"/>
  <c r="BO4" i="30"/>
  <c r="AR10" i="30"/>
  <c r="G287" i="29"/>
  <c r="G294" i="29" s="1"/>
  <c r="D328" i="29"/>
  <c r="E321" i="29" s="1"/>
  <c r="T10" i="30"/>
  <c r="BN6" i="30"/>
  <c r="BN7" i="30"/>
  <c r="BM5" i="30"/>
  <c r="BN8" i="30"/>
  <c r="BO8" i="30"/>
  <c r="AQ10" i="30"/>
  <c r="BO5" i="30"/>
  <c r="E326" i="29"/>
  <c r="E289" i="29"/>
  <c r="E293" i="29"/>
  <c r="E290" i="29"/>
  <c r="D27" i="28"/>
  <c r="F27" i="28"/>
  <c r="A24" i="28"/>
  <c r="A26" i="28"/>
  <c r="E323" i="29" l="1"/>
  <c r="E325" i="29"/>
  <c r="E327" i="29"/>
  <c r="J292" i="29"/>
  <c r="BN10" i="30"/>
  <c r="BO10" i="30"/>
  <c r="J289" i="29"/>
  <c r="J290" i="29"/>
  <c r="J287" i="29"/>
  <c r="J293" i="29"/>
  <c r="J291" i="29"/>
  <c r="E322" i="29"/>
  <c r="E324" i="29"/>
  <c r="E15" i="12"/>
  <c r="G15" i="12" s="1"/>
  <c r="F15" i="12"/>
  <c r="F14" i="12" l="1"/>
  <c r="F13" i="12"/>
  <c r="F12" i="12"/>
  <c r="F11" i="12"/>
  <c r="F10" i="12"/>
  <c r="F9" i="12"/>
  <c r="F8" i="12"/>
  <c r="F7" i="12"/>
  <c r="F6" i="12"/>
  <c r="F5" i="12"/>
  <c r="E5" i="12"/>
  <c r="G5" i="12" s="1"/>
  <c r="E6" i="12"/>
  <c r="G6" i="12" s="1"/>
  <c r="E7" i="12"/>
  <c r="G7" i="12" s="1"/>
  <c r="E8" i="12"/>
  <c r="G8" i="12" s="1"/>
  <c r="E9" i="12"/>
  <c r="G9" i="12" s="1"/>
  <c r="E10" i="12"/>
  <c r="G10" i="12" s="1"/>
  <c r="E11" i="12"/>
  <c r="G11" i="12" s="1"/>
  <c r="E12" i="12"/>
  <c r="G12" i="12" s="1"/>
  <c r="E13" i="12"/>
  <c r="G13" i="12" s="1"/>
  <c r="E14" i="12"/>
  <c r="G14" i="12" s="1"/>
  <c r="C27" i="17" l="1"/>
  <c r="D27" i="17" s="1"/>
  <c r="C26" i="17"/>
  <c r="B26" i="17"/>
  <c r="C25" i="17"/>
  <c r="D25" i="17" s="1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26" i="17" l="1"/>
  <c r="C11" i="14" l="1"/>
  <c r="D11" i="14"/>
  <c r="D12" i="14" s="1"/>
  <c r="E11" i="14"/>
  <c r="F11" i="14"/>
  <c r="G11" i="14"/>
  <c r="H11" i="14"/>
  <c r="H12" i="14" s="1"/>
  <c r="I11" i="14"/>
  <c r="J11" i="14"/>
  <c r="K11" i="14"/>
  <c r="L11" i="14"/>
  <c r="L12" i="14" s="1"/>
  <c r="M11" i="14"/>
  <c r="N11" i="14"/>
  <c r="O11" i="14"/>
  <c r="P11" i="14"/>
  <c r="P12" i="14" s="1"/>
  <c r="Q11" i="14"/>
  <c r="R11" i="14"/>
  <c r="S11" i="14"/>
  <c r="T11" i="14"/>
  <c r="U11" i="14"/>
  <c r="U12" i="14" s="1"/>
  <c r="B11" i="14"/>
  <c r="T12" i="14" l="1"/>
  <c r="S12" i="14"/>
  <c r="R12" i="14"/>
  <c r="Q12" i="14"/>
  <c r="O12" i="14"/>
  <c r="N12" i="14"/>
  <c r="M12" i="14"/>
  <c r="K12" i="14"/>
  <c r="J12" i="14"/>
  <c r="I12" i="14"/>
  <c r="G12" i="14"/>
  <c r="F12" i="14"/>
  <c r="E12" i="14"/>
  <c r="C12" i="14"/>
  <c r="B12" i="14"/>
  <c r="F4" i="12" l="1"/>
  <c r="E4" i="12"/>
  <c r="G4" i="12" l="1"/>
</calcChain>
</file>

<file path=xl/comments1.xml><?xml version="1.0" encoding="utf-8"?>
<comments xmlns="http://schemas.openxmlformats.org/spreadsheetml/2006/main">
  <authors>
    <author>USER</author>
    <author>User</author>
    <author>Private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Base yr = 2006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review</t>
        </r>
      </text>
    </comment>
    <comment ref="G3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review</t>
        </r>
      </text>
    </comment>
    <comment ref="C15" authorId="2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G$555,837M @206.5</t>
        </r>
      </text>
    </comment>
  </commentList>
</comments>
</file>

<file path=xl/comments2.xml><?xml version="1.0" encoding="utf-8"?>
<comments xmlns="http://schemas.openxmlformats.org/spreadsheetml/2006/main">
  <authors>
    <author>Private</author>
  </authors>
  <commentList>
    <comment ref="F23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548264213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Private:</t>
        </r>
        <r>
          <rPr>
            <sz val="9"/>
            <color indexed="81"/>
            <rFont val="Tahoma"/>
            <family val="2"/>
          </rPr>
          <t xml:space="preserve">
549,807,036</t>
        </r>
      </text>
    </comment>
  </commentList>
</comments>
</file>

<file path=xl/sharedStrings.xml><?xml version="1.0" encoding="utf-8"?>
<sst xmlns="http://schemas.openxmlformats.org/spreadsheetml/2006/main" count="475" uniqueCount="97">
  <si>
    <t>TOTAL IMPORTS OF PETROLEUM PRODUCTS FOR</t>
  </si>
  <si>
    <t>VOLUME</t>
  </si>
  <si>
    <t>CIF VALUE</t>
  </si>
  <si>
    <t>BBLS</t>
  </si>
  <si>
    <t>LTRS</t>
  </si>
  <si>
    <t>US$</t>
  </si>
  <si>
    <t>TOTAL</t>
  </si>
  <si>
    <r>
      <t xml:space="preserve">                </t>
    </r>
    <r>
      <rPr>
        <b/>
        <u/>
        <sz val="11"/>
        <rFont val="Bodoni MT"/>
        <family val="1"/>
      </rPr>
      <t>TOTAL IMPORTS BY PRODUCTS FOR THE YEAR</t>
    </r>
  </si>
  <si>
    <r>
      <t xml:space="preserve">      </t>
    </r>
    <r>
      <rPr>
        <b/>
        <u/>
        <sz val="11"/>
        <rFont val="Bodoni MT"/>
        <family val="1"/>
      </rPr>
      <t>TOTAL IMPORTS BY PRODUCTS FOR THE YEAR</t>
    </r>
  </si>
  <si>
    <t>PRODUCTS</t>
  </si>
  <si>
    <t>C.I.F VALUE</t>
  </si>
  <si>
    <t xml:space="preserve">               VOLUME</t>
  </si>
  <si>
    <t xml:space="preserve">       US$</t>
  </si>
  <si>
    <t>MOGAS: LEADED</t>
  </si>
  <si>
    <t xml:space="preserve">MOGAS: LEADED          </t>
  </si>
  <si>
    <t>GASOIL (0.5S)/DIESEL</t>
  </si>
  <si>
    <t>JET A-1/KERO</t>
  </si>
  <si>
    <t>FUELOIL</t>
  </si>
  <si>
    <t>AVGAS</t>
  </si>
  <si>
    <t>L.P.G</t>
  </si>
  <si>
    <t>SOURCE: G.E.A, OIL COMPANIES &amp; OTHER COMPANIES</t>
  </si>
  <si>
    <r>
      <t xml:space="preserve">    </t>
    </r>
    <r>
      <rPr>
        <b/>
        <u/>
        <sz val="11"/>
        <rFont val="Bodoni MT"/>
        <family val="1"/>
      </rPr>
      <t>TOTAL IMPORTS BY PRODUCTS FOR THE YEAR</t>
    </r>
  </si>
  <si>
    <t xml:space="preserve">                 VOLUME</t>
  </si>
  <si>
    <t xml:space="preserve">                VOLUME</t>
  </si>
  <si>
    <t xml:space="preserve">MOGAS: </t>
  </si>
  <si>
    <t xml:space="preserve">             LEADED</t>
  </si>
  <si>
    <t xml:space="preserve">        UNLEADED          </t>
  </si>
  <si>
    <t>MOGAS TOTAL</t>
  </si>
  <si>
    <r>
      <t xml:space="preserve">       </t>
    </r>
    <r>
      <rPr>
        <b/>
        <u/>
        <sz val="11"/>
        <rFont val="Bodoni MT"/>
        <family val="1"/>
      </rPr>
      <t>TOTAL IMPORTS BY PRODUCTS FOR THE YEAR</t>
    </r>
  </si>
  <si>
    <t>MOGAS: UNLEADED</t>
  </si>
  <si>
    <r>
      <t xml:space="preserve">               </t>
    </r>
    <r>
      <rPr>
        <b/>
        <u/>
        <sz val="11"/>
        <rFont val="Bodoni MT"/>
        <family val="1"/>
      </rPr>
      <t xml:space="preserve"> TOTAL IMPORTS BY PRODUCTS FOR THE YEAR</t>
    </r>
  </si>
  <si>
    <t xml:space="preserve">                  VOLUME</t>
  </si>
  <si>
    <r>
      <t xml:space="preserve">        </t>
    </r>
    <r>
      <rPr>
        <b/>
        <u/>
        <sz val="11"/>
        <rFont val="Bodoni MT"/>
        <family val="1"/>
      </rPr>
      <t>TOTAL IMPORTS BY PRODUCTS FOR THE YEAR</t>
    </r>
  </si>
  <si>
    <t xml:space="preserve">MOGAS: UNLEADED          </t>
  </si>
  <si>
    <r>
      <t xml:space="preserve">      </t>
    </r>
    <r>
      <rPr>
        <b/>
        <u/>
        <sz val="11"/>
        <rFont val="Bodoni MT"/>
        <family val="1"/>
      </rPr>
      <t xml:space="preserve"> TOTAL IMPORTS BY PRODUCTS FOR THE YEAR</t>
    </r>
  </si>
  <si>
    <t>AVJET</t>
  </si>
  <si>
    <t>KERO</t>
  </si>
  <si>
    <t>Note:  Gasoil CIF value was estimated for volumes used by the Trawler Aso. in 2007 - 2009.</t>
  </si>
  <si>
    <t>Note:  Gasoil CIF value was estimated for volumes used by the Trawler Aso. in 2010.</t>
  </si>
  <si>
    <t>CIF US$</t>
  </si>
  <si>
    <t>US$/BBL</t>
  </si>
  <si>
    <t>MOGAS</t>
  </si>
  <si>
    <t>GASOIL</t>
  </si>
  <si>
    <r>
      <t xml:space="preserve">    </t>
    </r>
    <r>
      <rPr>
        <b/>
        <u/>
        <sz val="12"/>
        <rFont val="Bodoni MT"/>
        <family val="1"/>
      </rPr>
      <t>Average Retail Prices By Product.</t>
    </r>
  </si>
  <si>
    <t>UNIT:G$/GAL</t>
  </si>
  <si>
    <r>
      <t>*</t>
    </r>
    <r>
      <rPr>
        <b/>
        <sz val="12"/>
        <rFont val="Arial"/>
        <family val="2"/>
      </rPr>
      <t>LPG</t>
    </r>
  </si>
  <si>
    <t>* G$/20 lb. Tank</t>
  </si>
  <si>
    <t xml:space="preserve">* NA - NOT APPLICABLE </t>
  </si>
  <si>
    <t>SOURCE: G.E.A &amp; Service Stations</t>
  </si>
  <si>
    <t>LPG</t>
  </si>
  <si>
    <t>Note:</t>
  </si>
  <si>
    <t>Note:  Gasoil CIF value was estimated for volumes used by the Trawler Aso. in 2011.</t>
  </si>
  <si>
    <t>Note:  Gasoil CIF value was estimated for volumes used by the Trawler Aso. in 2012.</t>
  </si>
  <si>
    <t xml:space="preserve">    Average Retail Prices By Product.</t>
  </si>
  <si>
    <t>UNIT:G$/LTR</t>
  </si>
  <si>
    <t>*LPG</t>
  </si>
  <si>
    <t xml:space="preserve">                                   </t>
  </si>
  <si>
    <t>Note:  Gasoil CIF value was estimated for volumes used by the Trawler Aso. in 2013.</t>
  </si>
  <si>
    <t>Final Petroleum-based Energy Consumption and Intensity relative to Population.</t>
  </si>
  <si>
    <t>YEAR</t>
  </si>
  <si>
    <t>Mid-Year POPULATION  10³</t>
  </si>
  <si>
    <t>GDP CURRENT PRICES (US$MILLION)</t>
  </si>
  <si>
    <t>FINAL CONSUMPTION (Boe 10³)</t>
  </si>
  <si>
    <t>FINAL CONSUMPTION (Toe 10³)</t>
  </si>
  <si>
    <t>ENERGY INTENSITY          Boe/US$GDP (10³)</t>
  </si>
  <si>
    <t xml:space="preserve">ENERGY INTENSITY        Toe/US$GDP(10³) </t>
  </si>
  <si>
    <t>2006*</t>
  </si>
  <si>
    <t>Note:            1.</t>
  </si>
  <si>
    <r>
      <t xml:space="preserve">EIA calculation - BOE X </t>
    </r>
    <r>
      <rPr>
        <sz val="12"/>
        <color indexed="10"/>
        <rFont val="Arial"/>
        <family val="2"/>
      </rPr>
      <t xml:space="preserve">0.136 </t>
    </r>
    <r>
      <rPr>
        <sz val="12"/>
        <rFont val="Arial"/>
        <family val="2"/>
      </rPr>
      <t>= TOE</t>
    </r>
  </si>
  <si>
    <t>*Rebased &amp; Rebenchmarked Guyana's national  accounts to reference year 2006.</t>
  </si>
  <si>
    <t>Energy intensity is a measure of the energy efficiency of a nation's economy. It is calculated as units of energy per unit of GDP.</t>
  </si>
  <si>
    <t>Gross Calorific Value (GCV) was used in the computation for Final Petroleum-based Consumption (Boe 10^3).</t>
  </si>
  <si>
    <t xml:space="preserve">SOURCE: G.E.A, Bureau of Statistics &amp; Bank of Guyana </t>
  </si>
  <si>
    <t>FUEL OIL</t>
  </si>
  <si>
    <t xml:space="preserve">             SOURCE: G.E.A</t>
  </si>
  <si>
    <t>PETROLEUM CONSUMPTION BY PRODUCT</t>
  </si>
  <si>
    <t>UNIT:'000 BBLS</t>
  </si>
  <si>
    <t xml:space="preserve"> </t>
  </si>
  <si>
    <t>KERO/AVJET</t>
  </si>
  <si>
    <t xml:space="preserve">Bpd </t>
  </si>
  <si>
    <t>1. Consumption by product is calculated by using stocks variations that is, difference between initial stocks minus final stocks of the year.</t>
  </si>
  <si>
    <t>CONSUMPTION = INITIAL STOCKS plus(+)IMPORTS minus(-) FINAL STOCKS</t>
  </si>
  <si>
    <t>GASOLINE</t>
  </si>
  <si>
    <t>PETROLEUM COST  VS   G.D.P</t>
  </si>
  <si>
    <t xml:space="preserve">            UNITS: US$ '000</t>
  </si>
  <si>
    <t>Petroleum CIF Value (US$)</t>
  </si>
  <si>
    <t>GDP (US$)</t>
  </si>
  <si>
    <t>Petroleum as a % of GDP</t>
  </si>
  <si>
    <t xml:space="preserve">NOTE: </t>
  </si>
  <si>
    <t xml:space="preserve">GDP at Current Factor Cost/ Current Basic Prices </t>
  </si>
  <si>
    <r>
      <rPr>
        <b/>
        <sz val="14"/>
        <rFont val="Arial"/>
        <family val="2"/>
      </rPr>
      <t>*</t>
    </r>
    <r>
      <rPr>
        <b/>
        <sz val="10"/>
        <rFont val="Arial"/>
        <family val="2"/>
      </rPr>
      <t>Rebased &amp; Rebenchmarked Guyana's national  accounts to reference year 2006.</t>
    </r>
  </si>
  <si>
    <t xml:space="preserve">SOURCE: G.E.A &amp;  Bureau of Statistics </t>
  </si>
  <si>
    <t>PERIOD 1994 TO 2014</t>
  </si>
  <si>
    <t>Note:  Gasoil CIF value was estimated for volumes used by the Trawler Aso. in 2014.</t>
  </si>
  <si>
    <t>TOTAL VOLUME OF PETROLEUM PRODUCTS IMPORTED FROM 1994 TO 2014</t>
  </si>
  <si>
    <t>TOTAL CIF VALUE OF PETROLEUM PRODUCTS IMPORTED FROM 1994 TO 2012</t>
  </si>
  <si>
    <t>AV. CIF PRICES OF PETROLEUM PRODUCTS IMPORTED FROM 1994 TO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</si>
</sst>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"/>
    <numFmt numFmtId="167" formatCode="_(* #,##0.0_);_(* \(#,##0.0\);_(* &quot;-&quot;??_);_(@_)"/>
    <numFmt numFmtId="168" formatCode="_-* #,##0.00_-;\-* #,##0.00_-;_-* &quot;-&quot;??_-;_-@_-"/>
    <numFmt numFmtId="181" formatCode="0.0%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Bodoni MT"/>
      <family val="1"/>
    </font>
    <font>
      <sz val="12"/>
      <name val="Bodoni MT"/>
      <family val="1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Bodoni MT"/>
      <family val="1"/>
    </font>
    <font>
      <b/>
      <u/>
      <sz val="11"/>
      <name val="Bodoni MT"/>
      <family val="1"/>
    </font>
    <font>
      <b/>
      <u/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2"/>
      <name val="Bodoni MT Condensed"/>
      <family val="1"/>
    </font>
    <font>
      <sz val="14"/>
      <color rgb="FFFF0000"/>
      <name val="Arial"/>
      <family val="2"/>
    </font>
    <font>
      <sz val="14"/>
      <name val="Arial"/>
      <family val="2"/>
    </font>
    <font>
      <sz val="12"/>
      <name val="Arial Black"/>
      <family val="2"/>
    </font>
    <font>
      <b/>
      <sz val="11"/>
      <color rgb="FFFF0000"/>
      <name val="Arial"/>
      <family val="2"/>
    </font>
    <font>
      <b/>
      <sz val="12"/>
      <name val="Bodoni MT"/>
      <family val="1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8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vertAlign val="superscript"/>
      <sz val="18"/>
      <name val="Arial"/>
      <family val="2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8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5D9F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68">
    <xf numFmtId="0" fontId="0" fillId="0" borderId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0" borderId="0"/>
    <xf numFmtId="0" fontId="7" fillId="0" borderId="0"/>
    <xf numFmtId="9" fontId="3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9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31" fillId="0" borderId="0"/>
    <xf numFmtId="9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1" fillId="0" borderId="0"/>
    <xf numFmtId="9" fontId="51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0"/>
  </cellStyleXfs>
  <cellXfs count="390">
    <xf numFmtId="0" fontId="0" fillId="0" borderId="0" xfId="0"/>
    <xf numFmtId="164" fontId="21" fillId="0" borderId="10" xfId="1" applyNumberFormat="1" applyFont="1" applyBorder="1"/>
    <xf numFmtId="0" fontId="11" fillId="3" borderId="0" xfId="17" applyFill="1" applyBorder="1"/>
    <xf numFmtId="0" fontId="11" fillId="0" borderId="0" xfId="17"/>
    <xf numFmtId="0" fontId="29" fillId="3" borderId="0" xfId="17" applyFont="1" applyFill="1" applyBorder="1" applyAlignment="1">
      <alignment horizontal="center"/>
    </xf>
    <xf numFmtId="0" fontId="28" fillId="3" borderId="0" xfId="17" applyFont="1" applyFill="1" applyBorder="1" applyAlignment="1">
      <alignment horizontal="center"/>
    </xf>
    <xf numFmtId="0" fontId="30" fillId="3" borderId="0" xfId="17" applyFont="1" applyFill="1" applyBorder="1"/>
    <xf numFmtId="0" fontId="14" fillId="4" borderId="0" xfId="17" applyFont="1" applyFill="1" applyBorder="1" applyAlignment="1">
      <alignment horizontal="center"/>
    </xf>
    <xf numFmtId="0" fontId="14" fillId="4" borderId="10" xfId="17" applyFont="1" applyFill="1" applyBorder="1" applyAlignment="1">
      <alignment horizontal="center"/>
    </xf>
    <xf numFmtId="0" fontId="14" fillId="0" borderId="10" xfId="17" applyFont="1" applyBorder="1" applyAlignment="1">
      <alignment horizontal="center"/>
    </xf>
    <xf numFmtId="0" fontId="14" fillId="4" borderId="10" xfId="17" applyFont="1" applyFill="1" applyBorder="1"/>
    <xf numFmtId="0" fontId="33" fillId="3" borderId="0" xfId="17" applyFont="1" applyFill="1" applyBorder="1"/>
    <xf numFmtId="0" fontId="34" fillId="3" borderId="0" xfId="17" applyFont="1" applyFill="1" applyBorder="1"/>
    <xf numFmtId="0" fontId="11" fillId="3" borderId="0" xfId="17" applyFont="1" applyFill="1" applyBorder="1"/>
    <xf numFmtId="165" fontId="14" fillId="3" borderId="0" xfId="17" applyNumberFormat="1" applyFont="1" applyFill="1" applyBorder="1" applyAlignment="1">
      <alignment horizontal="center"/>
    </xf>
    <xf numFmtId="165" fontId="14" fillId="3" borderId="0" xfId="17" applyNumberFormat="1" applyFont="1" applyFill="1" applyBorder="1"/>
    <xf numFmtId="0" fontId="16" fillId="3" borderId="0" xfId="17" applyFont="1" applyFill="1" applyBorder="1"/>
    <xf numFmtId="0" fontId="35" fillId="3" borderId="0" xfId="17" applyFont="1" applyFill="1" applyBorder="1"/>
    <xf numFmtId="0" fontId="36" fillId="3" borderId="0" xfId="17" applyFont="1" applyFill="1" applyBorder="1"/>
    <xf numFmtId="0" fontId="35" fillId="3" borderId="0" xfId="17" applyFont="1" applyFill="1" applyBorder="1" applyAlignment="1">
      <alignment wrapText="1"/>
    </xf>
    <xf numFmtId="0" fontId="35" fillId="3" borderId="0" xfId="17" applyFont="1" applyFill="1" applyBorder="1" applyAlignment="1">
      <alignment horizontal="center"/>
    </xf>
    <xf numFmtId="0" fontId="31" fillId="3" borderId="0" xfId="17" applyFont="1" applyFill="1" applyBorder="1"/>
    <xf numFmtId="2" fontId="31" fillId="3" borderId="0" xfId="17" applyNumberFormat="1" applyFont="1" applyFill="1" applyBorder="1"/>
    <xf numFmtId="0" fontId="11" fillId="0" borderId="0" xfId="17" applyBorder="1"/>
    <xf numFmtId="2" fontId="31" fillId="0" borderId="0" xfId="17" applyNumberFormat="1" applyFont="1" applyBorder="1"/>
    <xf numFmtId="9" fontId="11" fillId="3" borderId="0" xfId="17" applyNumberFormat="1" applyFill="1" applyBorder="1"/>
    <xf numFmtId="0" fontId="20" fillId="3" borderId="0" xfId="17" applyFont="1" applyFill="1" applyBorder="1"/>
    <xf numFmtId="0" fontId="21" fillId="3" borderId="0" xfId="17" applyFont="1" applyFill="1" applyBorder="1"/>
    <xf numFmtId="0" fontId="22" fillId="3" borderId="0" xfId="17" applyFont="1" applyFill="1" applyBorder="1"/>
    <xf numFmtId="0" fontId="14" fillId="3" borderId="0" xfId="17" applyFont="1" applyFill="1" applyBorder="1" applyAlignment="1">
      <alignment horizontal="center"/>
    </xf>
    <xf numFmtId="0" fontId="14" fillId="3" borderId="0" xfId="17" applyFont="1" applyFill="1" applyBorder="1"/>
    <xf numFmtId="4" fontId="31" fillId="3" borderId="0" xfId="17" applyNumberFormat="1" applyFont="1" applyFill="1" applyBorder="1" applyAlignment="1">
      <alignment horizontal="center"/>
    </xf>
    <xf numFmtId="4" fontId="31" fillId="3" borderId="0" xfId="17" applyNumberFormat="1" applyFont="1" applyFill="1" applyBorder="1" applyAlignment="1">
      <alignment horizontal="right"/>
    </xf>
    <xf numFmtId="4" fontId="31" fillId="3" borderId="0" xfId="17" applyNumberFormat="1" applyFont="1" applyFill="1" applyBorder="1"/>
    <xf numFmtId="0" fontId="32" fillId="3" borderId="0" xfId="17" applyFont="1" applyFill="1" applyBorder="1"/>
    <xf numFmtId="0" fontId="21" fillId="3" borderId="0" xfId="17" applyFont="1" applyFill="1" applyBorder="1" applyAlignment="1">
      <alignment horizontal="center"/>
    </xf>
    <xf numFmtId="0" fontId="31" fillId="3" borderId="0" xfId="17" applyFont="1" applyFill="1" applyBorder="1" applyAlignment="1">
      <alignment horizontal="center"/>
    </xf>
    <xf numFmtId="0" fontId="20" fillId="4" borderId="0" xfId="17" applyFont="1" applyFill="1" applyBorder="1"/>
    <xf numFmtId="0" fontId="21" fillId="0" borderId="0" xfId="17" applyFont="1"/>
    <xf numFmtId="0" fontId="38" fillId="0" borderId="0" xfId="17" applyFont="1"/>
    <xf numFmtId="0" fontId="22" fillId="0" borderId="0" xfId="17" applyFont="1"/>
    <xf numFmtId="0" fontId="28" fillId="0" borderId="0" xfId="17" applyFont="1" applyAlignment="1">
      <alignment horizontal="centerContinuous"/>
    </xf>
    <xf numFmtId="0" fontId="29" fillId="0" borderId="0" xfId="17" applyFont="1" applyAlignment="1">
      <alignment horizontal="centerContinuous"/>
    </xf>
    <xf numFmtId="0" fontId="14" fillId="0" borderId="0" xfId="17" applyFont="1" applyAlignment="1">
      <alignment horizontal="centerContinuous"/>
    </xf>
    <xf numFmtId="3" fontId="0" fillId="0" borderId="0" xfId="0" applyNumberFormat="1"/>
    <xf numFmtId="10" fontId="0" fillId="0" borderId="0" xfId="32" applyNumberFormat="1" applyFont="1"/>
    <xf numFmtId="43" fontId="31" fillId="4" borderId="10" xfId="1" applyFont="1" applyFill="1" applyBorder="1"/>
    <xf numFmtId="43" fontId="31" fillId="0" borderId="10" xfId="1" applyFont="1" applyBorder="1" applyAlignment="1">
      <alignment horizontal="center"/>
    </xf>
    <xf numFmtId="43" fontId="31" fillId="0" borderId="10" xfId="1" applyFont="1" applyBorder="1"/>
    <xf numFmtId="43" fontId="31" fillId="4" borderId="10" xfId="1" applyFont="1" applyFill="1" applyBorder="1" applyAlignment="1"/>
    <xf numFmtId="43" fontId="31" fillId="0" borderId="10" xfId="1" applyFont="1" applyBorder="1" applyAlignment="1"/>
    <xf numFmtId="43" fontId="0" fillId="0" borderId="0" xfId="1" applyFont="1"/>
    <xf numFmtId="0" fontId="11" fillId="0" borderId="0" xfId="29"/>
    <xf numFmtId="43" fontId="31" fillId="0" borderId="0" xfId="1" applyFont="1" applyBorder="1"/>
    <xf numFmtId="43" fontId="11" fillId="3" borderId="0" xfId="17" applyNumberFormat="1" applyFill="1" applyBorder="1"/>
    <xf numFmtId="0" fontId="31" fillId="0" borderId="0" xfId="29" applyFont="1"/>
    <xf numFmtId="0" fontId="31" fillId="0" borderId="44" xfId="29" applyFont="1" applyBorder="1"/>
    <xf numFmtId="0" fontId="14" fillId="9" borderId="36" xfId="29" applyFont="1" applyFill="1" applyBorder="1" applyAlignment="1">
      <alignment vertical="center" wrapText="1"/>
    </xf>
    <xf numFmtId="0" fontId="14" fillId="9" borderId="37" xfId="29" applyFont="1" applyFill="1" applyBorder="1" applyAlignment="1">
      <alignment horizontal="centerContinuous" wrapText="1"/>
    </xf>
    <xf numFmtId="0" fontId="14" fillId="9" borderId="37" xfId="29" applyFont="1" applyFill="1" applyBorder="1" applyAlignment="1">
      <alignment horizontal="center" wrapText="1"/>
    </xf>
    <xf numFmtId="0" fontId="14" fillId="9" borderId="19" xfId="29" applyFont="1" applyFill="1" applyBorder="1" applyAlignment="1">
      <alignment horizontal="center" wrapText="1"/>
    </xf>
    <xf numFmtId="0" fontId="31" fillId="9" borderId="45" xfId="29" applyFont="1" applyFill="1" applyBorder="1" applyAlignment="1">
      <alignment horizontal="center"/>
    </xf>
    <xf numFmtId="166" fontId="31" fillId="3" borderId="7" xfId="29" applyNumberFormat="1" applyFont="1" applyFill="1" applyBorder="1" applyAlignment="1">
      <alignment horizontal="right"/>
    </xf>
    <xf numFmtId="167" fontId="31" fillId="0" borderId="7" xfId="27" applyNumberFormat="1" applyFont="1" applyBorder="1" applyAlignment="1"/>
    <xf numFmtId="166" fontId="31" fillId="0" borderId="7" xfId="29" applyNumberFormat="1" applyFont="1" applyBorder="1" applyAlignment="1"/>
    <xf numFmtId="0" fontId="31" fillId="9" borderId="35" xfId="29" applyFont="1" applyFill="1" applyBorder="1" applyAlignment="1">
      <alignment horizontal="center"/>
    </xf>
    <xf numFmtId="166" fontId="31" fillId="3" borderId="9" xfId="29" applyNumberFormat="1" applyFont="1" applyFill="1" applyBorder="1" applyAlignment="1">
      <alignment horizontal="right"/>
    </xf>
    <xf numFmtId="167" fontId="31" fillId="0" borderId="10" xfId="27" applyNumberFormat="1" applyFont="1" applyBorder="1" applyAlignment="1"/>
    <xf numFmtId="166" fontId="31" fillId="0" borderId="10" xfId="29" applyNumberFormat="1" applyFont="1" applyBorder="1" applyAlignment="1"/>
    <xf numFmtId="167" fontId="31" fillId="0" borderId="24" xfId="29" applyNumberFormat="1" applyFont="1" applyBorder="1" applyAlignment="1"/>
    <xf numFmtId="167" fontId="31" fillId="0" borderId="10" xfId="29" applyNumberFormat="1" applyFont="1" applyBorder="1" applyAlignment="1"/>
    <xf numFmtId="0" fontId="14" fillId="9" borderId="35" xfId="29" applyFont="1" applyFill="1" applyBorder="1" applyAlignment="1">
      <alignment horizontal="center"/>
    </xf>
    <xf numFmtId="166" fontId="31" fillId="3" borderId="10" xfId="29" applyNumberFormat="1" applyFont="1" applyFill="1" applyBorder="1" applyAlignment="1">
      <alignment horizontal="right"/>
    </xf>
    <xf numFmtId="166" fontId="31" fillId="3" borderId="10" xfId="29" applyNumberFormat="1" applyFont="1" applyFill="1" applyBorder="1" applyAlignment="1"/>
    <xf numFmtId="0" fontId="31" fillId="9" borderId="33" xfId="29" applyFont="1" applyFill="1" applyBorder="1" applyAlignment="1">
      <alignment horizontal="center"/>
    </xf>
    <xf numFmtId="166" fontId="31" fillId="3" borderId="24" xfId="29" applyNumberFormat="1" applyFont="1" applyFill="1" applyBorder="1" applyAlignment="1">
      <alignment horizontal="right"/>
    </xf>
    <xf numFmtId="166" fontId="31" fillId="0" borderId="24" xfId="29" applyNumberFormat="1" applyFont="1" applyBorder="1" applyAlignment="1"/>
    <xf numFmtId="166" fontId="31" fillId="0" borderId="0" xfId="29" applyNumberFormat="1" applyFont="1"/>
    <xf numFmtId="0" fontId="14" fillId="3" borderId="0" xfId="29" applyFont="1" applyFill="1"/>
    <xf numFmtId="0" fontId="31" fillId="3" borderId="0" xfId="29" applyFont="1" applyFill="1"/>
    <xf numFmtId="166" fontId="31" fillId="3" borderId="0" xfId="29" applyNumberFormat="1" applyFont="1" applyFill="1"/>
    <xf numFmtId="0" fontId="14" fillId="3" borderId="0" xfId="29" applyFont="1" applyFill="1" applyBorder="1" applyAlignment="1">
      <alignment horizontal="right"/>
    </xf>
    <xf numFmtId="0" fontId="14" fillId="0" borderId="0" xfId="29" applyFont="1"/>
    <xf numFmtId="0" fontId="31" fillId="0" borderId="0" xfId="29" applyFont="1" applyAlignment="1"/>
    <xf numFmtId="0" fontId="22" fillId="0" borderId="0" xfId="29" applyFont="1"/>
    <xf numFmtId="0" fontId="29" fillId="0" borderId="0" xfId="29" applyFont="1" applyAlignment="1">
      <alignment horizontal="centerContinuous"/>
    </xf>
    <xf numFmtId="0" fontId="12" fillId="0" borderId="0" xfId="29" applyFont="1" applyAlignment="1"/>
    <xf numFmtId="0" fontId="16" fillId="0" borderId="0" xfId="29" applyFont="1"/>
    <xf numFmtId="0" fontId="11" fillId="3" borderId="0" xfId="29" applyFill="1" applyBorder="1"/>
    <xf numFmtId="4" fontId="31" fillId="4" borderId="10" xfId="29" applyNumberFormat="1" applyFont="1" applyFill="1" applyBorder="1"/>
    <xf numFmtId="4" fontId="31" fillId="0" borderId="10" xfId="29" applyNumberFormat="1" applyFont="1" applyBorder="1" applyAlignment="1">
      <alignment horizontal="center"/>
    </xf>
    <xf numFmtId="4" fontId="31" fillId="0" borderId="10" xfId="29" applyNumberFormat="1" applyFont="1" applyBorder="1"/>
    <xf numFmtId="165" fontId="14" fillId="0" borderId="0" xfId="29" applyNumberFormat="1" applyFont="1" applyBorder="1" applyAlignment="1">
      <alignment horizontal="center"/>
    </xf>
    <xf numFmtId="4" fontId="11" fillId="0" borderId="0" xfId="29" applyNumberFormat="1"/>
    <xf numFmtId="0" fontId="21" fillId="0" borderId="0" xfId="29" applyFont="1" applyAlignment="1">
      <alignment horizontal="centerContinuous"/>
    </xf>
    <xf numFmtId="0" fontId="21" fillId="0" borderId="0" xfId="29" applyFont="1"/>
    <xf numFmtId="0" fontId="44" fillId="0" borderId="0" xfId="29" applyFont="1"/>
    <xf numFmtId="0" fontId="20" fillId="4" borderId="10" xfId="29" applyFont="1" applyFill="1" applyBorder="1"/>
    <xf numFmtId="0" fontId="20" fillId="4" borderId="10" xfId="29" applyFont="1" applyFill="1" applyBorder="1" applyAlignment="1">
      <alignment horizontal="center"/>
    </xf>
    <xf numFmtId="0" fontId="20" fillId="0" borderId="10" xfId="29" applyFont="1" applyBorder="1" applyAlignment="1">
      <alignment horizontal="center"/>
    </xf>
    <xf numFmtId="0" fontId="20" fillId="3" borderId="10" xfId="29" applyFont="1" applyFill="1" applyBorder="1" applyAlignment="1">
      <alignment horizontal="center"/>
    </xf>
    <xf numFmtId="165" fontId="21" fillId="4" borderId="10" xfId="29" applyNumberFormat="1" applyFont="1" applyFill="1" applyBorder="1"/>
    <xf numFmtId="165" fontId="21" fillId="0" borderId="10" xfId="29" applyNumberFormat="1" applyFont="1" applyBorder="1" applyAlignment="1">
      <alignment horizontal="center"/>
    </xf>
    <xf numFmtId="0" fontId="21" fillId="0" borderId="10" xfId="29" applyFont="1" applyBorder="1" applyAlignment="1">
      <alignment horizontal="center"/>
    </xf>
    <xf numFmtId="166" fontId="21" fillId="3" borderId="10" xfId="29" applyNumberFormat="1" applyFont="1" applyFill="1" applyBorder="1" applyAlignment="1">
      <alignment horizontal="center"/>
    </xf>
    <xf numFmtId="166" fontId="21" fillId="3" borderId="10" xfId="1" applyNumberFormat="1" applyFont="1" applyFill="1" applyBorder="1" applyAlignment="1">
      <alignment horizontal="center"/>
    </xf>
    <xf numFmtId="166" fontId="11" fillId="0" borderId="0" xfId="29" applyNumberFormat="1"/>
    <xf numFmtId="166" fontId="21" fillId="0" borderId="10" xfId="29" applyNumberFormat="1" applyFont="1" applyBorder="1" applyAlignment="1">
      <alignment horizontal="center"/>
    </xf>
    <xf numFmtId="166" fontId="21" fillId="0" borderId="10" xfId="1" applyNumberFormat="1" applyFont="1" applyBorder="1" applyAlignment="1">
      <alignment horizontal="center"/>
    </xf>
    <xf numFmtId="0" fontId="20" fillId="4" borderId="15" xfId="29" applyFont="1" applyFill="1" applyBorder="1"/>
    <xf numFmtId="165" fontId="20" fillId="0" borderId="15" xfId="29" applyNumberFormat="1" applyFont="1" applyBorder="1" applyAlignment="1">
      <alignment horizontal="center"/>
    </xf>
    <xf numFmtId="0" fontId="26" fillId="4" borderId="36" xfId="29" applyFont="1" applyFill="1" applyBorder="1" applyAlignment="1">
      <alignment horizontal="right"/>
    </xf>
    <xf numFmtId="166" fontId="26" fillId="0" borderId="31" xfId="29" applyNumberFormat="1" applyFont="1" applyBorder="1"/>
    <xf numFmtId="166" fontId="26" fillId="0" borderId="17" xfId="29" applyNumberFormat="1" applyFont="1" applyBorder="1"/>
    <xf numFmtId="0" fontId="11" fillId="3" borderId="0" xfId="29" applyFill="1"/>
    <xf numFmtId="0" fontId="30" fillId="0" borderId="0" xfId="29" applyFont="1" applyFill="1" applyBorder="1"/>
    <xf numFmtId="0" fontId="11" fillId="3" borderId="0" xfId="29" applyFont="1" applyFill="1"/>
    <xf numFmtId="0" fontId="35" fillId="3" borderId="0" xfId="46" applyFont="1" applyFill="1" applyBorder="1" applyAlignment="1">
      <alignment horizontal="center"/>
    </xf>
    <xf numFmtId="0" fontId="5" fillId="3" borderId="0" xfId="46" applyFill="1" applyBorder="1"/>
    <xf numFmtId="164" fontId="5" fillId="3" borderId="0" xfId="46" applyNumberFormat="1" applyFill="1" applyBorder="1"/>
    <xf numFmtId="10" fontId="5" fillId="3" borderId="0" xfId="47" applyNumberFormat="1" applyFont="1" applyFill="1" applyBorder="1"/>
    <xf numFmtId="0" fontId="35" fillId="3" borderId="0" xfId="46" applyFont="1" applyFill="1" applyBorder="1"/>
    <xf numFmtId="164" fontId="35" fillId="3" borderId="0" xfId="46" applyNumberFormat="1" applyFont="1" applyFill="1" applyBorder="1"/>
    <xf numFmtId="10" fontId="35" fillId="3" borderId="0" xfId="47" applyNumberFormat="1" applyFont="1" applyFill="1" applyBorder="1"/>
    <xf numFmtId="0" fontId="11" fillId="0" borderId="0" xfId="29" applyAlignment="1"/>
    <xf numFmtId="0" fontId="30" fillId="0" borderId="0" xfId="29" applyFont="1"/>
    <xf numFmtId="0" fontId="11" fillId="0" borderId="10" xfId="29" applyBorder="1"/>
    <xf numFmtId="3" fontId="11" fillId="0" borderId="10" xfId="29" applyNumberFormat="1" applyBorder="1"/>
    <xf numFmtId="3" fontId="11" fillId="0" borderId="0" xfId="29" applyNumberFormat="1"/>
    <xf numFmtId="4" fontId="11" fillId="0" borderId="10" xfId="29" applyNumberFormat="1" applyBorder="1"/>
    <xf numFmtId="2" fontId="11" fillId="0" borderId="0" xfId="29" applyNumberFormat="1"/>
    <xf numFmtId="0" fontId="11" fillId="0" borderId="0" xfId="29" applyFont="1"/>
    <xf numFmtId="43" fontId="11" fillId="0" borderId="0" xfId="29" applyNumberFormat="1"/>
    <xf numFmtId="164" fontId="11" fillId="0" borderId="0" xfId="29" applyNumberFormat="1"/>
    <xf numFmtId="1" fontId="11" fillId="0" borderId="0" xfId="29" applyNumberFormat="1"/>
    <xf numFmtId="9" fontId="11" fillId="0" borderId="0" xfId="29" applyNumberFormat="1"/>
    <xf numFmtId="0" fontId="31" fillId="0" borderId="0" xfId="29" applyFont="1" applyAlignment="1">
      <alignment horizontal="centerContinuous"/>
    </xf>
    <xf numFmtId="1" fontId="11" fillId="0" borderId="0" xfId="29" applyNumberFormat="1" applyAlignment="1">
      <alignment horizontal="centerContinuous"/>
    </xf>
    <xf numFmtId="0" fontId="14" fillId="0" borderId="0" xfId="29" applyFont="1" applyAlignment="1">
      <alignment horizontal="centerContinuous"/>
    </xf>
    <xf numFmtId="1" fontId="16" fillId="0" borderId="0" xfId="29" applyNumberFormat="1" applyFont="1" applyAlignment="1">
      <alignment horizontal="centerContinuous"/>
    </xf>
    <xf numFmtId="0" fontId="14" fillId="0" borderId="46" xfId="29" applyFont="1" applyBorder="1" applyAlignment="1"/>
    <xf numFmtId="9" fontId="11" fillId="0" borderId="0" xfId="29" applyNumberFormat="1" applyBorder="1"/>
    <xf numFmtId="0" fontId="14" fillId="0" borderId="50" xfId="29" applyFont="1" applyBorder="1" applyAlignment="1"/>
    <xf numFmtId="0" fontId="31" fillId="0" borderId="33" xfId="29" applyFont="1" applyBorder="1"/>
    <xf numFmtId="164" fontId="31" fillId="0" borderId="24" xfId="1" applyNumberFormat="1" applyFont="1" applyBorder="1" applyAlignment="1">
      <alignment horizontal="right"/>
    </xf>
    <xf numFmtId="164" fontId="31" fillId="0" borderId="24" xfId="1" applyNumberFormat="1" applyFont="1" applyBorder="1"/>
    <xf numFmtId="9" fontId="11" fillId="0" borderId="34" xfId="29" applyNumberFormat="1" applyBorder="1"/>
    <xf numFmtId="0" fontId="31" fillId="0" borderId="35" xfId="29" applyFont="1" applyBorder="1"/>
    <xf numFmtId="164" fontId="31" fillId="0" borderId="10" xfId="1" applyNumberFormat="1" applyFont="1" applyBorder="1" applyAlignment="1">
      <alignment horizontal="right"/>
    </xf>
    <xf numFmtId="164" fontId="31" fillId="0" borderId="10" xfId="1" applyNumberFormat="1" applyFont="1" applyBorder="1"/>
    <xf numFmtId="9" fontId="11" fillId="0" borderId="11" xfId="29" applyNumberFormat="1" applyBorder="1"/>
    <xf numFmtId="0" fontId="14" fillId="0" borderId="35" xfId="29" applyFont="1" applyBorder="1"/>
    <xf numFmtId="0" fontId="14" fillId="0" borderId="35" xfId="29" applyFont="1" applyBorder="1" applyAlignment="1">
      <alignment horizontal="right"/>
    </xf>
    <xf numFmtId="0" fontId="16" fillId="0" borderId="0" xfId="29" applyFont="1" applyAlignment="1">
      <alignment horizontal="right"/>
    </xf>
    <xf numFmtId="3" fontId="11" fillId="3" borderId="10" xfId="29" applyNumberFormat="1" applyFill="1" applyBorder="1"/>
    <xf numFmtId="0" fontId="48" fillId="0" borderId="0" xfId="29" applyFont="1"/>
    <xf numFmtId="0" fontId="16" fillId="4" borderId="0" xfId="29" applyFont="1" applyFill="1" applyBorder="1"/>
    <xf numFmtId="0" fontId="11" fillId="0" borderId="0" xfId="29" applyBorder="1"/>
    <xf numFmtId="0" fontId="11" fillId="0" borderId="10" xfId="29" applyFill="1" applyBorder="1"/>
    <xf numFmtId="3" fontId="11" fillId="3" borderId="10" xfId="29" applyNumberFormat="1" applyFont="1" applyFill="1" applyBorder="1"/>
    <xf numFmtId="0" fontId="11" fillId="3" borderId="10" xfId="29" applyFill="1" applyBorder="1"/>
    <xf numFmtId="0" fontId="11" fillId="0" borderId="0" xfId="29" applyFill="1" applyBorder="1"/>
    <xf numFmtId="9" fontId="0" fillId="0" borderId="0" xfId="32" applyFont="1"/>
    <xf numFmtId="3" fontId="11" fillId="3" borderId="0" xfId="29" applyNumberFormat="1" applyFill="1"/>
    <xf numFmtId="0" fontId="24" fillId="0" borderId="0" xfId="29" applyFont="1"/>
    <xf numFmtId="0" fontId="27" fillId="3" borderId="0" xfId="17" applyFont="1" applyFill="1" applyBorder="1" applyAlignment="1">
      <alignment horizontal="center"/>
    </xf>
    <xf numFmtId="0" fontId="11" fillId="0" borderId="0" xfId="29" applyAlignment="1"/>
    <xf numFmtId="0" fontId="14" fillId="0" borderId="10" xfId="29" applyFont="1" applyBorder="1" applyAlignment="1">
      <alignment horizontal="center"/>
    </xf>
    <xf numFmtId="0" fontId="13" fillId="0" borderId="0" xfId="29" applyFont="1"/>
    <xf numFmtId="0" fontId="14" fillId="0" borderId="0" xfId="29" applyFont="1" applyFill="1" applyBorder="1"/>
    <xf numFmtId="0" fontId="14" fillId="2" borderId="3" xfId="29" applyFont="1" applyFill="1" applyBorder="1" applyAlignment="1">
      <alignment horizontal="center"/>
    </xf>
    <xf numFmtId="0" fontId="14" fillId="2" borderId="4" xfId="29" applyFont="1" applyFill="1" applyBorder="1" applyAlignment="1">
      <alignment horizontal="center"/>
    </xf>
    <xf numFmtId="0" fontId="14" fillId="2" borderId="5" xfId="29" applyFont="1" applyFill="1" applyBorder="1" applyAlignment="1">
      <alignment horizontal="center"/>
    </xf>
    <xf numFmtId="0" fontId="14" fillId="2" borderId="6" xfId="29" applyFont="1" applyFill="1" applyBorder="1" applyAlignment="1">
      <alignment horizontal="center"/>
    </xf>
    <xf numFmtId="0" fontId="11" fillId="2" borderId="3" xfId="29" applyFill="1" applyBorder="1"/>
    <xf numFmtId="3" fontId="11" fillId="3" borderId="40" xfId="29" applyNumberFormat="1" applyFill="1" applyBorder="1"/>
    <xf numFmtId="164" fontId="11" fillId="3" borderId="7" xfId="38" applyNumberFormat="1" applyFont="1" applyFill="1" applyBorder="1"/>
    <xf numFmtId="3" fontId="11" fillId="3" borderId="41" xfId="29" applyNumberFormat="1" applyFill="1" applyBorder="1"/>
    <xf numFmtId="10" fontId="11" fillId="0" borderId="0" xfId="32" applyNumberFormat="1" applyFont="1"/>
    <xf numFmtId="0" fontId="11" fillId="2" borderId="8" xfId="29" applyFill="1" applyBorder="1"/>
    <xf numFmtId="3" fontId="11" fillId="3" borderId="9" xfId="29" applyNumberFormat="1" applyFill="1" applyBorder="1"/>
    <xf numFmtId="164" fontId="11" fillId="3" borderId="10" xfId="38" applyNumberFormat="1" applyFont="1" applyFill="1" applyBorder="1"/>
    <xf numFmtId="3" fontId="11" fillId="3" borderId="11" xfId="29" applyNumberFormat="1" applyFill="1" applyBorder="1"/>
    <xf numFmtId="3" fontId="11" fillId="3" borderId="12" xfId="29" applyNumberFormat="1" applyFill="1" applyBorder="1"/>
    <xf numFmtId="0" fontId="11" fillId="2" borderId="38" xfId="29" applyFill="1" applyBorder="1"/>
    <xf numFmtId="164" fontId="11" fillId="3" borderId="9" xfId="38" applyNumberFormat="1" applyFont="1" applyFill="1" applyBorder="1"/>
    <xf numFmtId="164" fontId="11" fillId="3" borderId="13" xfId="38" applyNumberFormat="1" applyFont="1" applyFill="1" applyBorder="1"/>
    <xf numFmtId="3" fontId="11" fillId="3" borderId="14" xfId="29" applyNumberFormat="1" applyFill="1" applyBorder="1"/>
    <xf numFmtId="0" fontId="11" fillId="2" borderId="39" xfId="29" applyFill="1" applyBorder="1"/>
    <xf numFmtId="164" fontId="11" fillId="3" borderId="15" xfId="38" applyNumberFormat="1" applyFont="1" applyFill="1" applyBorder="1"/>
    <xf numFmtId="3" fontId="11" fillId="3" borderId="16" xfId="29" applyNumberFormat="1" applyFill="1" applyBorder="1"/>
    <xf numFmtId="164" fontId="11" fillId="3" borderId="11" xfId="38" applyNumberFormat="1" applyFont="1" applyFill="1" applyBorder="1"/>
    <xf numFmtId="164" fontId="0" fillId="0" borderId="10" xfId="38" applyNumberFormat="1" applyFont="1" applyBorder="1"/>
    <xf numFmtId="0" fontId="16" fillId="0" borderId="17" xfId="29" applyFont="1" applyBorder="1" applyAlignment="1">
      <alignment horizontal="right"/>
    </xf>
    <xf numFmtId="3" fontId="16" fillId="0" borderId="18" xfId="29" applyNumberFormat="1" applyFont="1" applyBorder="1"/>
    <xf numFmtId="0" fontId="16" fillId="0" borderId="0" xfId="29" applyFont="1" applyBorder="1"/>
    <xf numFmtId="3" fontId="16" fillId="0" borderId="0" xfId="29" applyNumberFormat="1" applyFont="1" applyBorder="1"/>
    <xf numFmtId="164" fontId="11" fillId="3" borderId="0" xfId="38" applyNumberFormat="1" applyFont="1" applyFill="1" applyBorder="1"/>
    <xf numFmtId="10" fontId="48" fillId="0" borderId="0" xfId="32" applyNumberFormat="1" applyFont="1"/>
    <xf numFmtId="0" fontId="17" fillId="0" borderId="0" xfId="29" applyFont="1" applyAlignment="1">
      <alignment horizontal="centerContinuous"/>
    </xf>
    <xf numFmtId="0" fontId="19" fillId="0" borderId="0" xfId="29" applyFont="1" applyAlignment="1">
      <alignment horizontal="centerContinuous"/>
    </xf>
    <xf numFmtId="3" fontId="19" fillId="0" borderId="0" xfId="29" applyNumberFormat="1" applyFont="1" applyAlignment="1">
      <alignment horizontal="centerContinuous"/>
    </xf>
    <xf numFmtId="0" fontId="19" fillId="0" borderId="0" xfId="29" applyFont="1"/>
    <xf numFmtId="3" fontId="19" fillId="0" borderId="0" xfId="29" applyNumberFormat="1" applyFont="1"/>
    <xf numFmtId="0" fontId="20" fillId="5" borderId="20" xfId="29" applyFont="1" applyFill="1" applyBorder="1" applyAlignment="1">
      <alignment horizontal="center"/>
    </xf>
    <xf numFmtId="3" fontId="20" fillId="5" borderId="15" xfId="29" applyNumberFormat="1" applyFont="1" applyFill="1" applyBorder="1" applyAlignment="1">
      <alignment horizontal="center"/>
    </xf>
    <xf numFmtId="0" fontId="20" fillId="5" borderId="23" xfId="29" applyFont="1" applyFill="1" applyBorder="1" applyAlignment="1">
      <alignment horizontal="center"/>
    </xf>
    <xf numFmtId="0" fontId="20" fillId="5" borderId="23" xfId="29" applyFont="1" applyFill="1" applyBorder="1"/>
    <xf numFmtId="0" fontId="20" fillId="5" borderId="9" xfId="29" applyFont="1" applyFill="1" applyBorder="1"/>
    <xf numFmtId="3" fontId="20" fillId="5" borderId="10" xfId="29" applyNumberFormat="1" applyFont="1" applyFill="1" applyBorder="1" applyAlignment="1">
      <alignment horizontal="center"/>
    </xf>
    <xf numFmtId="0" fontId="20" fillId="5" borderId="7" xfId="29" applyFont="1" applyFill="1" applyBorder="1"/>
    <xf numFmtId="0" fontId="20" fillId="5" borderId="7" xfId="29" applyFont="1" applyFill="1" applyBorder="1" applyAlignment="1">
      <alignment horizontal="center"/>
    </xf>
    <xf numFmtId="3" fontId="20" fillId="5" borderId="7" xfId="29" applyNumberFormat="1" applyFont="1" applyFill="1" applyBorder="1" applyAlignment="1">
      <alignment horizontal="center"/>
    </xf>
    <xf numFmtId="0" fontId="20" fillId="5" borderId="10" xfId="29" applyFont="1" applyFill="1" applyBorder="1"/>
    <xf numFmtId="0" fontId="20" fillId="5" borderId="24" xfId="29" applyFont="1" applyFill="1" applyBorder="1" applyAlignment="1">
      <alignment horizontal="center"/>
    </xf>
    <xf numFmtId="0" fontId="21" fillId="5" borderId="24" xfId="29" applyFont="1" applyFill="1" applyBorder="1"/>
    <xf numFmtId="3" fontId="21" fillId="0" borderId="10" xfId="29" applyNumberFormat="1" applyFont="1" applyBorder="1"/>
    <xf numFmtId="0" fontId="21" fillId="5" borderId="10" xfId="29" applyFont="1" applyFill="1" applyBorder="1"/>
    <xf numFmtId="3" fontId="21" fillId="0" borderId="25" xfId="29" applyNumberFormat="1" applyFont="1" applyBorder="1"/>
    <xf numFmtId="3" fontId="20" fillId="0" borderId="26" xfId="29" applyNumberFormat="1" applyFont="1" applyBorder="1"/>
    <xf numFmtId="0" fontId="21" fillId="0" borderId="0" xfId="29" applyFont="1" applyBorder="1"/>
    <xf numFmtId="3" fontId="21" fillId="0" borderId="0" xfId="29" applyNumberFormat="1" applyFont="1" applyBorder="1"/>
    <xf numFmtId="3" fontId="21" fillId="0" borderId="0" xfId="29" applyNumberFormat="1" applyFont="1"/>
    <xf numFmtId="3" fontId="17" fillId="0" borderId="0" xfId="29" applyNumberFormat="1" applyFont="1" applyAlignment="1">
      <alignment horizontal="centerContinuous"/>
    </xf>
    <xf numFmtId="0" fontId="20" fillId="0" borderId="0" xfId="29" applyFont="1"/>
    <xf numFmtId="3" fontId="20" fillId="0" borderId="0" xfId="29" applyNumberFormat="1" applyFont="1"/>
    <xf numFmtId="3" fontId="20" fillId="5" borderId="10" xfId="29" applyNumberFormat="1" applyFont="1" applyFill="1" applyBorder="1"/>
    <xf numFmtId="0" fontId="21" fillId="0" borderId="10" xfId="29" applyFont="1" applyBorder="1"/>
    <xf numFmtId="3" fontId="20" fillId="0" borderId="24" xfId="29" applyNumberFormat="1" applyFont="1" applyBorder="1"/>
    <xf numFmtId="3" fontId="21" fillId="0" borderId="24" xfId="29" applyNumberFormat="1" applyFont="1" applyBorder="1"/>
    <xf numFmtId="0" fontId="17" fillId="0" borderId="0" xfId="29" applyFont="1"/>
    <xf numFmtId="3" fontId="17" fillId="0" borderId="0" xfId="29" applyNumberFormat="1" applyFont="1"/>
    <xf numFmtId="0" fontId="18" fillId="0" borderId="0" xfId="29" applyFont="1" applyAlignment="1">
      <alignment horizontal="centerContinuous"/>
    </xf>
    <xf numFmtId="3" fontId="18" fillId="0" borderId="0" xfId="29" applyNumberFormat="1" applyFont="1" applyAlignment="1">
      <alignment horizontal="centerContinuous"/>
    </xf>
    <xf numFmtId="0" fontId="20" fillId="6" borderId="23" xfId="29" applyFont="1" applyFill="1" applyBorder="1" applyAlignment="1">
      <alignment horizontal="center"/>
    </xf>
    <xf numFmtId="0" fontId="20" fillId="6" borderId="23" xfId="29" applyFont="1" applyFill="1" applyBorder="1"/>
    <xf numFmtId="0" fontId="20" fillId="6" borderId="9" xfId="29" applyFont="1" applyFill="1" applyBorder="1"/>
    <xf numFmtId="3" fontId="20" fillId="6" borderId="10" xfId="29" applyNumberFormat="1" applyFont="1" applyFill="1" applyBorder="1" applyAlignment="1">
      <alignment horizontal="center"/>
    </xf>
    <xf numFmtId="0" fontId="20" fillId="6" borderId="10" xfId="29" applyFont="1" applyFill="1" applyBorder="1"/>
    <xf numFmtId="0" fontId="20" fillId="6" borderId="24" xfId="29" applyFont="1" applyFill="1" applyBorder="1" applyAlignment="1">
      <alignment horizontal="center"/>
    </xf>
    <xf numFmtId="0" fontId="21" fillId="6" borderId="10" xfId="29" applyFont="1" applyFill="1" applyBorder="1"/>
    <xf numFmtId="0" fontId="20" fillId="0" borderId="0" xfId="29" applyFont="1" applyAlignment="1">
      <alignment horizontal="centerContinuous"/>
    </xf>
    <xf numFmtId="3" fontId="20" fillId="0" borderId="0" xfId="29" applyNumberFormat="1" applyFont="1" applyAlignment="1">
      <alignment horizontal="centerContinuous"/>
    </xf>
    <xf numFmtId="3" fontId="21" fillId="0" borderId="10" xfId="29" applyNumberFormat="1" applyFont="1" applyFill="1" applyBorder="1"/>
    <xf numFmtId="164" fontId="21" fillId="0" borderId="0" xfId="38" applyNumberFormat="1" applyFont="1"/>
    <xf numFmtId="2" fontId="16" fillId="0" borderId="0" xfId="29" applyNumberFormat="1" applyFont="1"/>
    <xf numFmtId="3" fontId="21" fillId="3" borderId="10" xfId="29" applyNumberFormat="1" applyFont="1" applyFill="1" applyBorder="1"/>
    <xf numFmtId="164" fontId="21" fillId="3" borderId="0" xfId="38" applyNumberFormat="1" applyFont="1" applyFill="1"/>
    <xf numFmtId="3" fontId="21" fillId="3" borderId="25" xfId="29" applyNumberFormat="1" applyFont="1" applyFill="1" applyBorder="1"/>
    <xf numFmtId="0" fontId="23" fillId="0" borderId="0" xfId="29" applyFont="1"/>
    <xf numFmtId="0" fontId="20" fillId="6" borderId="23" xfId="60" applyFont="1" applyFill="1" applyBorder="1" applyAlignment="1">
      <alignment horizontal="center"/>
    </xf>
    <xf numFmtId="0" fontId="20" fillId="6" borderId="23" xfId="60" applyFont="1" applyFill="1" applyBorder="1"/>
    <xf numFmtId="0" fontId="20" fillId="6" borderId="9" xfId="60" applyFont="1" applyFill="1" applyBorder="1"/>
    <xf numFmtId="3" fontId="20" fillId="6" borderId="10" xfId="60" applyNumberFormat="1" applyFont="1" applyFill="1" applyBorder="1" applyAlignment="1">
      <alignment horizontal="center"/>
    </xf>
    <xf numFmtId="0" fontId="20" fillId="6" borderId="10" xfId="60" applyFont="1" applyFill="1" applyBorder="1"/>
    <xf numFmtId="0" fontId="20" fillId="6" borderId="24" xfId="60" applyFont="1" applyFill="1" applyBorder="1" applyAlignment="1">
      <alignment horizontal="center"/>
    </xf>
    <xf numFmtId="0" fontId="21" fillId="6" borderId="10" xfId="60" applyFont="1" applyFill="1" applyBorder="1"/>
    <xf numFmtId="3" fontId="21" fillId="0" borderId="10" xfId="60" applyNumberFormat="1" applyFont="1" applyBorder="1"/>
    <xf numFmtId="3" fontId="21" fillId="3" borderId="10" xfId="61" applyNumberFormat="1" applyFont="1" applyFill="1" applyBorder="1"/>
    <xf numFmtId="9" fontId="0" fillId="0" borderId="0" xfId="32" applyNumberFormat="1" applyFont="1"/>
    <xf numFmtId="3" fontId="21" fillId="3" borderId="10" xfId="60" applyNumberFormat="1" applyFont="1" applyFill="1" applyBorder="1"/>
    <xf numFmtId="3" fontId="21" fillId="0" borderId="25" xfId="60" applyNumberFormat="1" applyFont="1" applyBorder="1"/>
    <xf numFmtId="3" fontId="21" fillId="3" borderId="25" xfId="60" applyNumberFormat="1" applyFont="1" applyFill="1" applyBorder="1"/>
    <xf numFmtId="3" fontId="20" fillId="0" borderId="26" xfId="60" applyNumberFormat="1" applyFont="1" applyBorder="1"/>
    <xf numFmtId="181" fontId="0" fillId="0" borderId="0" xfId="32" applyNumberFormat="1" applyFont="1"/>
    <xf numFmtId="0" fontId="48" fillId="3" borderId="0" xfId="29" applyFont="1" applyFill="1"/>
    <xf numFmtId="10" fontId="48" fillId="3" borderId="0" xfId="32" applyNumberFormat="1" applyFont="1" applyFill="1"/>
    <xf numFmtId="9" fontId="48" fillId="0" borderId="0" xfId="32" applyNumberFormat="1" applyFont="1"/>
    <xf numFmtId="0" fontId="25" fillId="0" borderId="0" xfId="29" applyFont="1" applyBorder="1" applyAlignment="1">
      <alignment horizontal="center" vertical="center"/>
    </xf>
    <xf numFmtId="0" fontId="20" fillId="7" borderId="10" xfId="29" applyFont="1" applyFill="1" applyBorder="1" applyAlignment="1">
      <alignment horizontal="center"/>
    </xf>
    <xf numFmtId="0" fontId="20" fillId="0" borderId="0" xfId="29" applyFont="1" applyFill="1" applyBorder="1" applyAlignment="1">
      <alignment horizontal="center"/>
    </xf>
    <xf numFmtId="0" fontId="20" fillId="7" borderId="13" xfId="29" applyFont="1" applyFill="1" applyBorder="1" applyAlignment="1">
      <alignment horizontal="center"/>
    </xf>
    <xf numFmtId="0" fontId="20" fillId="7" borderId="9" xfId="29" applyFont="1" applyFill="1" applyBorder="1" applyAlignment="1">
      <alignment horizontal="center"/>
    </xf>
    <xf numFmtId="0" fontId="20" fillId="8" borderId="10" xfId="29" applyFont="1" applyFill="1" applyBorder="1" applyAlignment="1">
      <alignment horizontal="center"/>
    </xf>
    <xf numFmtId="0" fontId="20" fillId="7" borderId="28" xfId="29" applyFont="1" applyFill="1" applyBorder="1"/>
    <xf numFmtId="0" fontId="20" fillId="7" borderId="42" xfId="29" applyFont="1" applyFill="1" applyBorder="1"/>
    <xf numFmtId="4" fontId="16" fillId="7" borderId="10" xfId="29" applyNumberFormat="1" applyFont="1" applyFill="1" applyBorder="1" applyAlignment="1">
      <alignment horizontal="center"/>
    </xf>
    <xf numFmtId="4" fontId="16" fillId="8" borderId="10" xfId="29" applyNumberFormat="1" applyFont="1" applyFill="1" applyBorder="1" applyAlignment="1">
      <alignment horizontal="center"/>
    </xf>
    <xf numFmtId="0" fontId="21" fillId="7" borderId="28" xfId="29" applyFont="1" applyFill="1" applyBorder="1"/>
    <xf numFmtId="3" fontId="20" fillId="0" borderId="10" xfId="29" applyNumberFormat="1" applyFont="1" applyBorder="1"/>
    <xf numFmtId="3" fontId="21" fillId="0" borderId="0" xfId="29" applyNumberFormat="1" applyFont="1" applyFill="1" applyBorder="1"/>
    <xf numFmtId="0" fontId="21" fillId="7" borderId="27" xfId="29" applyFont="1" applyFill="1" applyBorder="1"/>
    <xf numFmtId="10" fontId="11" fillId="3" borderId="0" xfId="32" applyNumberFormat="1" applyFont="1" applyFill="1"/>
    <xf numFmtId="0" fontId="20" fillId="7" borderId="23" xfId="29" applyFont="1" applyFill="1" applyBorder="1"/>
    <xf numFmtId="0" fontId="21" fillId="7" borderId="23" xfId="29" applyFont="1" applyFill="1" applyBorder="1"/>
    <xf numFmtId="0" fontId="21" fillId="7" borderId="43" xfId="29" applyFont="1" applyFill="1" applyBorder="1"/>
    <xf numFmtId="164" fontId="21" fillId="3" borderId="29" xfId="12" applyNumberFormat="1" applyFont="1" applyFill="1" applyBorder="1"/>
    <xf numFmtId="0" fontId="21" fillId="7" borderId="30" xfId="29" applyFont="1" applyFill="1" applyBorder="1"/>
    <xf numFmtId="4" fontId="11" fillId="3" borderId="10" xfId="29" applyNumberFormat="1" applyFont="1" applyFill="1" applyBorder="1"/>
    <xf numFmtId="3" fontId="20" fillId="3" borderId="24" xfId="29" applyNumberFormat="1" applyFont="1" applyFill="1" applyBorder="1"/>
    <xf numFmtId="3" fontId="20" fillId="0" borderId="24" xfId="29" applyNumberFormat="1" applyFont="1" applyFill="1" applyBorder="1"/>
    <xf numFmtId="3" fontId="20" fillId="0" borderId="0" xfId="29" applyNumberFormat="1" applyFont="1" applyFill="1" applyBorder="1"/>
    <xf numFmtId="0" fontId="20" fillId="7" borderId="43" xfId="29" applyFont="1" applyFill="1" applyBorder="1"/>
    <xf numFmtId="43" fontId="11" fillId="3" borderId="10" xfId="1" applyFont="1" applyFill="1" applyBorder="1"/>
    <xf numFmtId="167" fontId="11" fillId="3" borderId="10" xfId="1" applyNumberFormat="1" applyFont="1" applyFill="1" applyBorder="1"/>
    <xf numFmtId="43" fontId="11" fillId="0" borderId="0" xfId="1" applyFont="1"/>
    <xf numFmtId="9" fontId="11" fillId="0" borderId="0" xfId="9" applyFont="1"/>
    <xf numFmtId="2" fontId="11" fillId="0" borderId="0" xfId="32" applyNumberFormat="1" applyFont="1"/>
    <xf numFmtId="2" fontId="11" fillId="0" borderId="0" xfId="9" applyNumberFormat="1" applyFont="1"/>
    <xf numFmtId="43" fontId="48" fillId="3" borderId="0" xfId="1" applyFont="1" applyFill="1" applyBorder="1"/>
    <xf numFmtId="0" fontId="27" fillId="0" borderId="0" xfId="29" applyFont="1" applyAlignment="1">
      <alignment horizontal="centerContinuous"/>
    </xf>
    <xf numFmtId="0" fontId="28" fillId="0" borderId="0" xfId="29" applyFont="1" applyAlignment="1">
      <alignment horizontal="centerContinuous"/>
    </xf>
    <xf numFmtId="0" fontId="29" fillId="0" borderId="0" xfId="29" applyFont="1" applyBorder="1" applyAlignment="1">
      <alignment horizontal="centerContinuous"/>
    </xf>
    <xf numFmtId="0" fontId="14" fillId="4" borderId="0" xfId="29" applyFont="1" applyFill="1" applyBorder="1" applyAlignment="1">
      <alignment horizontal="center"/>
    </xf>
    <xf numFmtId="0" fontId="14" fillId="4" borderId="10" xfId="29" applyFont="1" applyFill="1" applyBorder="1" applyAlignment="1">
      <alignment horizontal="center"/>
    </xf>
    <xf numFmtId="0" fontId="14" fillId="4" borderId="10" xfId="29" applyFont="1" applyFill="1" applyBorder="1"/>
    <xf numFmtId="0" fontId="31" fillId="0" borderId="10" xfId="29" applyFont="1" applyBorder="1" applyAlignment="1">
      <alignment horizontal="center"/>
    </xf>
    <xf numFmtId="0" fontId="31" fillId="0" borderId="10" xfId="29" applyFont="1" applyBorder="1"/>
    <xf numFmtId="2" fontId="31" fillId="0" borderId="10" xfId="29" applyNumberFormat="1" applyFont="1" applyBorder="1"/>
    <xf numFmtId="0" fontId="32" fillId="4" borderId="10" xfId="29" applyFont="1" applyFill="1" applyBorder="1" applyAlignment="1"/>
    <xf numFmtId="4" fontId="31" fillId="4" borderId="10" xfId="29" applyNumberFormat="1" applyFont="1" applyFill="1" applyBorder="1" applyAlignment="1"/>
    <xf numFmtId="4" fontId="31" fillId="0" borderId="10" xfId="29" applyNumberFormat="1" applyFont="1" applyBorder="1" applyAlignment="1"/>
    <xf numFmtId="0" fontId="11" fillId="0" borderId="0" xfId="29" applyBorder="1" applyAlignment="1"/>
    <xf numFmtId="0" fontId="33" fillId="0" borderId="0" xfId="29" applyFont="1"/>
    <xf numFmtId="0" fontId="34" fillId="0" borderId="0" xfId="29" applyFont="1"/>
    <xf numFmtId="165" fontId="14" fillId="0" borderId="0" xfId="29" applyNumberFormat="1" applyFont="1" applyBorder="1"/>
    <xf numFmtId="0" fontId="33" fillId="4" borderId="0" xfId="29" applyFont="1" applyFill="1" applyBorder="1"/>
    <xf numFmtId="0" fontId="20" fillId="4" borderId="0" xfId="29" applyFont="1" applyFill="1" applyBorder="1"/>
    <xf numFmtId="10" fontId="50" fillId="10" borderId="53" xfId="32" applyNumberFormat="1" applyFont="1" applyFill="1" applyBorder="1" applyAlignment="1">
      <alignment horizontal="right"/>
    </xf>
    <xf numFmtId="0" fontId="11" fillId="3" borderId="0" xfId="17" applyFill="1" applyBorder="1" applyAlignment="1">
      <alignment vertical="top"/>
    </xf>
    <xf numFmtId="9" fontId="2" fillId="3" borderId="0" xfId="9" applyFont="1" applyFill="1" applyBorder="1"/>
    <xf numFmtId="164" fontId="31" fillId="0" borderId="52" xfId="1" applyNumberFormat="1" applyFont="1" applyBorder="1" applyAlignment="1">
      <alignment horizontal="right"/>
    </xf>
    <xf numFmtId="0" fontId="14" fillId="0" borderId="50" xfId="29" applyFont="1" applyBorder="1" applyAlignment="1">
      <alignment horizontal="right"/>
    </xf>
    <xf numFmtId="164" fontId="11" fillId="3" borderId="0" xfId="29" applyNumberFormat="1" applyFill="1"/>
    <xf numFmtId="4" fontId="11" fillId="0" borderId="10" xfId="29" applyNumberFormat="1" applyFont="1" applyBorder="1"/>
    <xf numFmtId="164" fontId="11" fillId="0" borderId="0" xfId="1" applyNumberFormat="1"/>
    <xf numFmtId="164" fontId="31" fillId="0" borderId="52" xfId="1" applyNumberFormat="1" applyFont="1" applyBorder="1"/>
    <xf numFmtId="3" fontId="48" fillId="0" borderId="0" xfId="29" applyNumberFormat="1" applyFont="1"/>
    <xf numFmtId="9" fontId="11" fillId="0" borderId="5" xfId="29" applyNumberFormat="1" applyFont="1" applyBorder="1"/>
    <xf numFmtId="3" fontId="11" fillId="3" borderId="0" xfId="29" applyNumberFormat="1" applyFill="1" applyBorder="1"/>
    <xf numFmtId="3" fontId="21" fillId="3" borderId="0" xfId="29" applyNumberFormat="1" applyFont="1" applyFill="1" applyBorder="1"/>
    <xf numFmtId="3" fontId="26" fillId="3" borderId="0" xfId="29" applyNumberFormat="1" applyFont="1" applyFill="1" applyBorder="1"/>
    <xf numFmtId="4" fontId="26" fillId="3" borderId="0" xfId="29" applyNumberFormat="1" applyFont="1" applyFill="1" applyBorder="1"/>
    <xf numFmtId="0" fontId="20" fillId="3" borderId="0" xfId="29" applyFont="1" applyFill="1" applyBorder="1" applyAlignment="1">
      <alignment horizontal="center"/>
    </xf>
    <xf numFmtId="3" fontId="20" fillId="3" borderId="0" xfId="29" applyNumberFormat="1" applyFont="1" applyFill="1" applyBorder="1" applyAlignment="1">
      <alignment horizontal="center"/>
    </xf>
    <xf numFmtId="3" fontId="0" fillId="3" borderId="0" xfId="0" applyNumberFormat="1" applyFill="1" applyBorder="1"/>
    <xf numFmtId="0" fontId="21" fillId="6" borderId="32" xfId="29" applyFont="1" applyFill="1" applyBorder="1"/>
    <xf numFmtId="3" fontId="21" fillId="0" borderId="32" xfId="29" applyNumberFormat="1" applyFont="1" applyBorder="1"/>
    <xf numFmtId="0" fontId="20" fillId="6" borderId="54" xfId="29" applyFont="1" applyFill="1" applyBorder="1"/>
    <xf numFmtId="3" fontId="21" fillId="3" borderId="32" xfId="29" applyNumberFormat="1" applyFont="1" applyFill="1" applyBorder="1"/>
    <xf numFmtId="0" fontId="20" fillId="6" borderId="26" xfId="29" applyFont="1" applyFill="1" applyBorder="1"/>
    <xf numFmtId="0" fontId="21" fillId="6" borderId="32" xfId="60" applyFont="1" applyFill="1" applyBorder="1"/>
    <xf numFmtId="3" fontId="21" fillId="0" borderId="32" xfId="60" applyNumberFormat="1" applyFont="1" applyBorder="1"/>
    <xf numFmtId="3" fontId="21" fillId="3" borderId="32" xfId="60" applyNumberFormat="1" applyFont="1" applyFill="1" applyBorder="1"/>
    <xf numFmtId="9" fontId="0" fillId="3" borderId="0" xfId="32" applyFont="1" applyFill="1" applyBorder="1"/>
    <xf numFmtId="43" fontId="0" fillId="3" borderId="0" xfId="1" applyFont="1" applyFill="1" applyBorder="1"/>
    <xf numFmtId="43" fontId="53" fillId="3" borderId="10" xfId="1" applyFont="1" applyFill="1" applyBorder="1"/>
    <xf numFmtId="0" fontId="0" fillId="3" borderId="0" xfId="0" applyFill="1" applyBorder="1"/>
    <xf numFmtId="0" fontId="35" fillId="3" borderId="0" xfId="0" applyFont="1" applyFill="1" applyBorder="1" applyAlignment="1">
      <alignment horizontal="center"/>
    </xf>
    <xf numFmtId="3" fontId="35" fillId="3" borderId="0" xfId="0" applyNumberFormat="1" applyFont="1" applyFill="1" applyBorder="1" applyAlignment="1">
      <alignment horizontal="center"/>
    </xf>
    <xf numFmtId="0" fontId="53" fillId="3" borderId="0" xfId="0" applyFont="1" applyFill="1" applyBorder="1"/>
    <xf numFmtId="43" fontId="53" fillId="3" borderId="0" xfId="1" applyFont="1" applyFill="1" applyBorder="1"/>
    <xf numFmtId="43" fontId="11" fillId="3" borderId="0" xfId="1" applyFill="1" applyBorder="1"/>
    <xf numFmtId="43" fontId="11" fillId="3" borderId="0" xfId="29" applyNumberFormat="1" applyFill="1" applyBorder="1"/>
    <xf numFmtId="43" fontId="0" fillId="3" borderId="0" xfId="32" applyNumberFormat="1" applyFont="1" applyFill="1" applyBorder="1"/>
    <xf numFmtId="43" fontId="31" fillId="0" borderId="0" xfId="1" applyFont="1"/>
    <xf numFmtId="43" fontId="11" fillId="0" borderId="0" xfId="1"/>
    <xf numFmtId="164" fontId="54" fillId="3" borderId="10" xfId="38" applyNumberFormat="1" applyFont="1" applyFill="1" applyBorder="1"/>
    <xf numFmtId="164" fontId="54" fillId="3" borderId="11" xfId="38" applyNumberFormat="1" applyFont="1" applyFill="1" applyBorder="1"/>
    <xf numFmtId="164" fontId="54" fillId="3" borderId="9" xfId="38" applyNumberFormat="1" applyFont="1" applyFill="1" applyBorder="1"/>
    <xf numFmtId="164" fontId="54" fillId="0" borderId="9" xfId="38" applyNumberFormat="1" applyFont="1" applyBorder="1"/>
    <xf numFmtId="164" fontId="54" fillId="0" borderId="10" xfId="38" applyNumberFormat="1" applyFont="1" applyBorder="1"/>
    <xf numFmtId="164" fontId="35" fillId="3" borderId="0" xfId="1" applyNumberFormat="1" applyFont="1" applyFill="1" applyBorder="1" applyAlignment="1">
      <alignment horizontal="center"/>
    </xf>
    <xf numFmtId="3" fontId="20" fillId="0" borderId="15" xfId="29" applyNumberFormat="1" applyFont="1" applyBorder="1" applyAlignment="1">
      <alignment horizontal="center"/>
    </xf>
    <xf numFmtId="10" fontId="11" fillId="0" borderId="0" xfId="62" applyNumberFormat="1" applyFont="1"/>
    <xf numFmtId="0" fontId="40" fillId="0" borderId="0" xfId="29" applyFont="1" applyAlignment="1">
      <alignment horizontal="center"/>
    </xf>
    <xf numFmtId="0" fontId="12" fillId="0" borderId="0" xfId="29" applyFont="1" applyAlignment="1">
      <alignment horizontal="center"/>
    </xf>
    <xf numFmtId="0" fontId="14" fillId="2" borderId="1" xfId="29" applyFont="1" applyFill="1" applyBorder="1" applyAlignment="1">
      <alignment horizontal="center"/>
    </xf>
    <xf numFmtId="0" fontId="14" fillId="2" borderId="2" xfId="29" applyFont="1" applyFill="1" applyBorder="1" applyAlignment="1">
      <alignment horizontal="center"/>
    </xf>
    <xf numFmtId="0" fontId="20" fillId="5" borderId="21" xfId="29" applyFont="1" applyFill="1" applyBorder="1" applyAlignment="1">
      <alignment horizontal="center"/>
    </xf>
    <xf numFmtId="0" fontId="20" fillId="5" borderId="22" xfId="29" applyFont="1" applyFill="1" applyBorder="1" applyAlignment="1">
      <alignment horizontal="center"/>
    </xf>
    <xf numFmtId="0" fontId="25" fillId="0" borderId="27" xfId="29" applyFont="1" applyBorder="1" applyAlignment="1">
      <alignment horizontal="center" vertical="center"/>
    </xf>
    <xf numFmtId="0" fontId="11" fillId="3" borderId="0" xfId="29" applyFont="1" applyFill="1" applyAlignment="1">
      <alignment horizontal="left" wrapText="1"/>
    </xf>
    <xf numFmtId="0" fontId="27" fillId="3" borderId="0" xfId="17" applyFont="1" applyFill="1" applyBorder="1" applyAlignment="1">
      <alignment horizontal="center"/>
    </xf>
    <xf numFmtId="0" fontId="18" fillId="0" borderId="0" xfId="29" applyFont="1" applyAlignment="1">
      <alignment horizontal="center"/>
    </xf>
    <xf numFmtId="0" fontId="11" fillId="0" borderId="0" xfId="29" applyFont="1" applyAlignment="1">
      <alignment horizontal="left" wrapText="1"/>
    </xf>
    <xf numFmtId="0" fontId="11" fillId="0" borderId="0" xfId="29" applyAlignment="1"/>
    <xf numFmtId="0" fontId="35" fillId="3" borderId="0" xfId="46" applyFont="1" applyFill="1" applyBorder="1" applyAlignment="1">
      <alignment horizontal="center" wrapText="1"/>
    </xf>
    <xf numFmtId="0" fontId="37" fillId="3" borderId="0" xfId="46" applyFont="1" applyFill="1" applyBorder="1" applyAlignment="1">
      <alignment horizontal="center" vertical="center" textRotation="90"/>
    </xf>
    <xf numFmtId="0" fontId="45" fillId="0" borderId="0" xfId="29" applyFont="1" applyAlignment="1">
      <alignment horizontal="center"/>
    </xf>
    <xf numFmtId="0" fontId="11" fillId="0" borderId="0" xfId="29" applyAlignment="1">
      <alignment horizontal="center"/>
    </xf>
    <xf numFmtId="0" fontId="14" fillId="0" borderId="47" xfId="29" applyFont="1" applyBorder="1" applyAlignment="1">
      <alignment horizontal="center" wrapText="1"/>
    </xf>
    <xf numFmtId="0" fontId="14" fillId="0" borderId="51" xfId="29" applyFont="1" applyBorder="1" applyAlignment="1">
      <alignment horizontal="center" wrapText="1"/>
    </xf>
    <xf numFmtId="0" fontId="14" fillId="0" borderId="48" xfId="29" applyFont="1" applyBorder="1" applyAlignment="1">
      <alignment horizontal="center" vertical="center"/>
    </xf>
    <xf numFmtId="0" fontId="14" fillId="0" borderId="52" xfId="29" applyFont="1" applyBorder="1" applyAlignment="1">
      <alignment horizontal="center" vertical="center"/>
    </xf>
    <xf numFmtId="1" fontId="14" fillId="0" borderId="49" xfId="29" applyNumberFormat="1" applyFont="1" applyFill="1" applyBorder="1" applyAlignment="1">
      <alignment horizontal="center" wrapText="1"/>
    </xf>
    <xf numFmtId="1" fontId="14" fillId="0" borderId="5" xfId="29" applyNumberFormat="1" applyFont="1" applyFill="1" applyBorder="1" applyAlignment="1">
      <alignment horizontal="center" wrapText="1"/>
    </xf>
    <xf numFmtId="9" fontId="11" fillId="3" borderId="0" xfId="32" applyNumberFormat="1" applyFont="1" applyFill="1"/>
    <xf numFmtId="43" fontId="11" fillId="0" borderId="0" xfId="29" applyNumberFormat="1" applyFont="1"/>
    <xf numFmtId="2" fontId="11" fillId="0" borderId="0" xfId="29" applyNumberFormat="1" applyFont="1"/>
  </cellXfs>
  <cellStyles count="68">
    <cellStyle name="Comma" xfId="1" builtinId="3"/>
    <cellStyle name="Comma 10" xfId="63"/>
    <cellStyle name="Comma 11" xfId="65"/>
    <cellStyle name="Comma 2" xfId="2"/>
    <cellStyle name="Comma 2 2" xfId="12"/>
    <cellStyle name="Comma 3" xfId="3"/>
    <cellStyle name="Comma 3 2" xfId="25"/>
    <cellStyle name="Comma 4" xfId="4"/>
    <cellStyle name="Comma 4 2" xfId="18"/>
    <cellStyle name="Comma 5" xfId="5"/>
    <cellStyle name="Comma 5 2" xfId="11"/>
    <cellStyle name="Comma 5 2 2" xfId="27"/>
    <cellStyle name="Comma 5 2 3" xfId="37"/>
    <cellStyle name="Comma 5 2 3 2" xfId="42"/>
    <cellStyle name="Comma 5 2 3 3" xfId="58"/>
    <cellStyle name="Comma 5 2 3 4" xfId="59"/>
    <cellStyle name="Comma 5 2 4" xfId="44"/>
    <cellStyle name="Comma 5 3" xfId="15"/>
    <cellStyle name="Comma 5 3 2" xfId="34"/>
    <cellStyle name="Comma 5 4" xfId="26"/>
    <cellStyle name="Comma 5 5" xfId="40"/>
    <cellStyle name="Comma 6" xfId="19"/>
    <cellStyle name="Comma 6 2" xfId="20"/>
    <cellStyle name="Comma 6 3" xfId="28"/>
    <cellStyle name="Comma 7" xfId="23"/>
    <cellStyle name="Comma 7 2" xfId="38"/>
    <cellStyle name="Comma 8" xfId="50"/>
    <cellStyle name="Comma 9" xfId="51"/>
    <cellStyle name="Hyperlink 2" xfId="48"/>
    <cellStyle name="Normal" xfId="0" builtinId="0"/>
    <cellStyle name="Normal 2" xfId="6"/>
    <cellStyle name="Normal 2 2" xfId="29"/>
    <cellStyle name="Normal 3" xfId="10"/>
    <cellStyle name="Normal 3 2" xfId="14"/>
    <cellStyle name="Normal 3 2 2" xfId="35"/>
    <cellStyle name="Normal 3 2 2 2" xfId="41"/>
    <cellStyle name="Normal 3 2 2 3" xfId="46"/>
    <cellStyle name="Normal 3 2 2 4" xfId="60"/>
    <cellStyle name="Normal 3 3" xfId="30"/>
    <cellStyle name="Normal 3 4" xfId="53"/>
    <cellStyle name="Normal 4" xfId="17"/>
    <cellStyle name="Normal 4 2" xfId="54"/>
    <cellStyle name="Normal 4 3" xfId="55"/>
    <cellStyle name="Normal 5" xfId="39"/>
    <cellStyle name="Normal 5 2" xfId="61"/>
    <cellStyle name="Normal 6" xfId="49"/>
    <cellStyle name="Normal 7" xfId="56"/>
    <cellStyle name="Normal 8" xfId="64"/>
    <cellStyle name="Normal 9" xfId="67"/>
    <cellStyle name="Percent" xfId="62" builtinId="5"/>
    <cellStyle name="Percent 10" xfId="66"/>
    <cellStyle name="Percent 2" xfId="7"/>
    <cellStyle name="Percent 2 2" xfId="32"/>
    <cellStyle name="Percent 3" xfId="8"/>
    <cellStyle name="Percent 3 2" xfId="21"/>
    <cellStyle name="Percent 4" xfId="9"/>
    <cellStyle name="Percent 5" xfId="13"/>
    <cellStyle name="Percent 5 2" xfId="22"/>
    <cellStyle name="Percent 5 3" xfId="36"/>
    <cellStyle name="Percent 5 3 2" xfId="43"/>
    <cellStyle name="Percent 5 3 3" xfId="47"/>
    <cellStyle name="Percent 5 4" xfId="45"/>
    <cellStyle name="Percent 6" xfId="16"/>
    <cellStyle name="Percent 6 2" xfId="33"/>
    <cellStyle name="Percent 7" xfId="31"/>
    <cellStyle name="Percent 7 2" xfId="24"/>
    <cellStyle name="Percent 8" xfId="52"/>
    <cellStyle name="Percent 9" xfId="57"/>
  </cellStyles>
  <dxfs count="0"/>
  <tableStyles count="0" defaultTableStyle="TableStyleMedium9" defaultPivotStyle="PivotStyleLight16"/>
  <colors>
    <mruColors>
      <color rgb="FFFF3701"/>
      <color rgb="FFF07B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Baskerville Old Face"/>
                <a:ea typeface="Baskerville Old Face"/>
                <a:cs typeface="Baskerville Old Face"/>
              </a:defRPr>
            </a:pPr>
            <a:r>
              <a:rPr lang="en-GB"/>
              <a:t> INTENSITY   (10³ Toe)/US$GDP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'Energy Intensity TOE'!$A$4:$A$13</c:f>
              <c:strCache>
                <c:ptCount val="1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2006*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</c:strCache>
            </c:strRef>
          </c:cat>
          <c:val>
            <c:numRef>
              <c:f>'Energy Intensity TOE'!$G$4:$G$14</c:f>
              <c:numCache>
                <c:formatCode>_(* #,##0.0_);_(* \(#,##0.0\);_(* "-"??_);_(@_)</c:formatCode>
                <c:ptCount val="11"/>
                <c:pt idx="0">
                  <c:v>0.81368437609928146</c:v>
                </c:pt>
                <c:pt idx="1">
                  <c:v>0.81356799345031672</c:v>
                </c:pt>
                <c:pt idx="2">
                  <c:v>0.69132604195759051</c:v>
                </c:pt>
                <c:pt idx="3">
                  <c:v>0.33030002718561169</c:v>
                </c:pt>
                <c:pt idx="4">
                  <c:v>0.33615665948670292</c:v>
                </c:pt>
                <c:pt idx="5">
                  <c:v>0.29369834275815115</c:v>
                </c:pt>
                <c:pt idx="6">
                  <c:v>0.28866580739511599</c:v>
                </c:pt>
                <c:pt idx="7">
                  <c:v>0.28350332903869763</c:v>
                </c:pt>
                <c:pt idx="8">
                  <c:v>0.25756124415797327</c:v>
                </c:pt>
                <c:pt idx="9">
                  <c:v>0.25645644163837611</c:v>
                </c:pt>
                <c:pt idx="10">
                  <c:v>0.24210931933854649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09114112"/>
        <c:axId val="109193472"/>
      </c:lineChart>
      <c:catAx>
        <c:axId val="1091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193472"/>
        <c:crosses val="autoZero"/>
        <c:auto val="1"/>
        <c:lblAlgn val="ctr"/>
        <c:lblOffset val="100"/>
        <c:noMultiLvlLbl val="0"/>
      </c:catAx>
      <c:valAx>
        <c:axId val="10919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INTENSITY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114112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 cmpd="tri"/>
        <a:scene3d>
          <a:camera prst="orthographicFront"/>
          <a:lightRig rig="sunset" dir="t"/>
        </a:scene3d>
        <a:sp3d prstMaterial="dkEdge">
          <a:bevelT prst="relaxedInset"/>
          <a:bevelB prst="relaxedInset"/>
        </a:sp3d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067122396429917E-2"/>
          <c:y val="0.10373465000699028"/>
          <c:w val="0.90616740607118962"/>
          <c:h val="0.55601772403746452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year'!$F$69:$F$74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year'!$C$99:$C$104</c:f>
              <c:numCache>
                <c:formatCode>#,##0</c:formatCode>
                <c:ptCount val="6"/>
                <c:pt idx="0">
                  <c:v>708106</c:v>
                </c:pt>
                <c:pt idx="1">
                  <c:v>1946221</c:v>
                </c:pt>
                <c:pt idx="2">
                  <c:v>240510</c:v>
                </c:pt>
                <c:pt idx="3">
                  <c:v>942708</c:v>
                </c:pt>
                <c:pt idx="4">
                  <c:v>13641</c:v>
                </c:pt>
                <c:pt idx="5">
                  <c:v>73428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809679621146582"/>
          <c:y val="0.71784363054203426"/>
          <c:w val="0.48525525462132157"/>
          <c:h val="0.269709979198659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55299539170521"/>
          <c:y val="0.10743801652892561"/>
          <c:w val="0.77188940092165903"/>
          <c:h val="0.54958677685950408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year'!$F$69:$F$74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year'!$H$99:$H$104</c:f>
              <c:numCache>
                <c:formatCode>#,##0</c:formatCode>
                <c:ptCount val="6"/>
                <c:pt idx="0">
                  <c:v>730915</c:v>
                </c:pt>
                <c:pt idx="1">
                  <c:v>1930552</c:v>
                </c:pt>
                <c:pt idx="2">
                  <c:v>197709</c:v>
                </c:pt>
                <c:pt idx="3">
                  <c:v>875924</c:v>
                </c:pt>
                <c:pt idx="4">
                  <c:v>6615</c:v>
                </c:pt>
                <c:pt idx="5">
                  <c:v>92936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953917050691226"/>
          <c:y val="0.71900826446281063"/>
          <c:w val="0.41705069124424093"/>
          <c:h val="0.268595041322314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69343608795313"/>
          <c:y val="0.11538509692631949"/>
          <c:w val="0.81481691989324956"/>
          <c:h val="0.52136969722262749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year'!$A$127:$A$132</c:f>
              <c:strCache>
                <c:ptCount val="6"/>
                <c:pt idx="0">
                  <c:v>MOGAS: UNLEADED          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year'!$C$127:$C$132</c:f>
              <c:numCache>
                <c:formatCode>#,##0</c:formatCode>
                <c:ptCount val="6"/>
                <c:pt idx="0">
                  <c:v>731216</c:v>
                </c:pt>
                <c:pt idx="1">
                  <c:v>1902469</c:v>
                </c:pt>
                <c:pt idx="2">
                  <c:v>200677</c:v>
                </c:pt>
                <c:pt idx="3">
                  <c:v>923629</c:v>
                </c:pt>
                <c:pt idx="4">
                  <c:v>7190</c:v>
                </c:pt>
                <c:pt idx="5">
                  <c:v>100324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777861100695811"/>
          <c:y val="0.70940485003477294"/>
          <c:w val="0.47883708980821832"/>
          <c:h val="0.277779123763375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797136038186201"/>
          <c:y val="0.12236337339865756"/>
          <c:w val="0.75894988066825986"/>
          <c:h val="0.53164776028382355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year'!$A$127:$A$132</c:f>
              <c:strCache>
                <c:ptCount val="6"/>
                <c:pt idx="0">
                  <c:v>MOGAS: UNLEADED          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year'!$H$127:$H$132</c:f>
              <c:numCache>
                <c:formatCode>#,##0</c:formatCode>
                <c:ptCount val="6"/>
                <c:pt idx="0">
                  <c:v>717286</c:v>
                </c:pt>
                <c:pt idx="1">
                  <c:v>1791249</c:v>
                </c:pt>
                <c:pt idx="2">
                  <c:v>198351</c:v>
                </c:pt>
                <c:pt idx="3">
                  <c:v>1156810</c:v>
                </c:pt>
                <c:pt idx="4">
                  <c:v>8621</c:v>
                </c:pt>
                <c:pt idx="5">
                  <c:v>107882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0262529832938"/>
          <c:y val="0.71308326965458579"/>
          <c:w val="0.43198090692124247"/>
          <c:h val="0.27426293232333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78023320141847"/>
          <c:y val="0.17959183673469425"/>
          <c:w val="0.76214928936881976"/>
          <c:h val="0.48163265306122449"/>
        </c:manualLayout>
      </c:layout>
      <c:pie3DChart>
        <c:varyColors val="1"/>
        <c:ser>
          <c:idx val="0"/>
          <c:order val="0"/>
          <c:tx>
            <c:strRef>
              <c:f>'Total by Product &amp; year'!$A$155:$A$160</c:f>
              <c:strCache>
                <c:ptCount val="1"/>
                <c:pt idx="0">
                  <c:v>MOGAS: UNLEADED GASOIL (0.5S)/DIESEL JET A-1/KERO FUELOIL AVGAS L.P.G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year'!$A$155:$A$160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year'!$C$155:$C$160</c:f>
              <c:numCache>
                <c:formatCode>#,##0</c:formatCode>
                <c:ptCount val="6"/>
                <c:pt idx="0">
                  <c:v>747534.32</c:v>
                </c:pt>
                <c:pt idx="1">
                  <c:v>1927426.9410000001</c:v>
                </c:pt>
                <c:pt idx="2">
                  <c:v>186242.51</c:v>
                </c:pt>
                <c:pt idx="3">
                  <c:v>901208.83499999996</c:v>
                </c:pt>
                <c:pt idx="4">
                  <c:v>8135.9979999999996</c:v>
                </c:pt>
                <c:pt idx="5">
                  <c:v>131210.94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595961630115932"/>
          <c:y val="0.72244897959183674"/>
          <c:w val="0.26342737848306041"/>
          <c:h val="0.248979591836735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951385605291991"/>
          <c:y val="0.17408941297407371"/>
          <c:w val="0.66910134651894004"/>
          <c:h val="0.44129641893427957"/>
        </c:manualLayout>
      </c:layout>
      <c:pie3DChart>
        <c:varyColors val="1"/>
        <c:ser>
          <c:idx val="0"/>
          <c:order val="0"/>
          <c:tx>
            <c:strRef>
              <c:f>'Total by Product &amp; year'!$F$155:$F$160</c:f>
              <c:strCache>
                <c:ptCount val="1"/>
                <c:pt idx="0">
                  <c:v>MOGAS: UNLEADED GASOIL (0.5S)/DIESEL JET A-1/KERO FUELOIL AVGAS L.P.G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year'!$F$155:$F$160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year'!$H$155:$H$160</c:f>
              <c:numCache>
                <c:formatCode>#,##0</c:formatCode>
                <c:ptCount val="6"/>
                <c:pt idx="0">
                  <c:v>729018.9889739413</c:v>
                </c:pt>
                <c:pt idx="1">
                  <c:v>1824077.6604376459</c:v>
                </c:pt>
                <c:pt idx="2">
                  <c:v>186369.0867806802</c:v>
                </c:pt>
                <c:pt idx="3">
                  <c:v>677222.03702189494</c:v>
                </c:pt>
                <c:pt idx="4">
                  <c:v>5875.999987420355</c:v>
                </c:pt>
                <c:pt idx="5">
                  <c:v>123505.65140546083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058419704836174"/>
          <c:y val="0.71255188243170064"/>
          <c:w val="0.34793263980688582"/>
          <c:h val="0.26315831978492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0449050086355767E-2"/>
          <c:y val="2.61003505948618E-2"/>
          <c:w val="0.88773747841105355"/>
          <c:h val="0.5918037435101634"/>
        </c:manualLayout>
      </c:layout>
      <c:pie3DChart>
        <c:varyColors val="1"/>
        <c:ser>
          <c:idx val="0"/>
          <c:order val="0"/>
          <c:tx>
            <c:strRef>
              <c:f>'Total by Product &amp; year'!$A$187:$A$192</c:f>
              <c:strCache>
                <c:ptCount val="1"/>
                <c:pt idx="0">
                  <c:v>MOGAS: UNLEADED GASOIL (0.5S)/DIESEL JET A-1/KERO FUELOIL AVGAS L.P.G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year'!$F$155:$F$160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year'!$C$187:$C$192</c:f>
              <c:numCache>
                <c:formatCode>#,##0</c:formatCode>
                <c:ptCount val="6"/>
                <c:pt idx="0">
                  <c:v>720351.12933761883</c:v>
                </c:pt>
                <c:pt idx="1">
                  <c:v>1590997.9998364646</c:v>
                </c:pt>
                <c:pt idx="2">
                  <c:v>161680.34493386254</c:v>
                </c:pt>
                <c:pt idx="3">
                  <c:v>569005.0004088385</c:v>
                </c:pt>
                <c:pt idx="4" formatCode="_(* #,##0_);_(* \(#,##0\);_(* &quot;-&quot;??_);_(@_)">
                  <c:v>10074</c:v>
                </c:pt>
                <c:pt idx="5">
                  <c:v>127816.9976161573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1226252158894638E-2"/>
          <c:y val="0.6503530854263655"/>
          <c:w val="0.97495682210708257"/>
          <c:h val="0.324853918807595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207253886010371"/>
          <c:y val="0.18181818181818243"/>
          <c:w val="0.66839378238342184"/>
          <c:h val="0.42148760330578655"/>
        </c:manualLayout>
      </c:layout>
      <c:pie3DChart>
        <c:varyColors val="1"/>
        <c:ser>
          <c:idx val="0"/>
          <c:order val="0"/>
          <c:tx>
            <c:strRef>
              <c:f>'Total by Product &amp; year'!$A$187:$A$192</c:f>
              <c:strCache>
                <c:ptCount val="1"/>
                <c:pt idx="0">
                  <c:v>MOGAS: UNLEADED GASOIL (0.5S)/DIESEL JET A-1/KERO FUELOIL AVGAS L.P.G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year'!$F$155:$F$160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year'!$H$187:$H$192</c:f>
              <c:numCache>
                <c:formatCode>#,##0</c:formatCode>
                <c:ptCount val="6"/>
                <c:pt idx="0">
                  <c:v>777887</c:v>
                </c:pt>
                <c:pt idx="1">
                  <c:v>1905223</c:v>
                </c:pt>
                <c:pt idx="2">
                  <c:v>175586</c:v>
                </c:pt>
                <c:pt idx="3">
                  <c:v>933717</c:v>
                </c:pt>
                <c:pt idx="4" formatCode="_(* #,##0_);_(* \(#,##0\);_(* &quot;-&quot;??_);_(@_)">
                  <c:v>8769</c:v>
                </c:pt>
                <c:pt idx="5">
                  <c:v>109052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6596611554942492E-2"/>
          <c:y val="0.64311961004874585"/>
          <c:w val="0.95440785230313541"/>
          <c:h val="0.33208695066962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year'!$A$217:$A$222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year'!$C$217:$C$222</c:f>
              <c:numCache>
                <c:formatCode>#,##0</c:formatCode>
                <c:ptCount val="6"/>
                <c:pt idx="0">
                  <c:v>807542</c:v>
                </c:pt>
                <c:pt idx="1">
                  <c:v>1587396</c:v>
                </c:pt>
                <c:pt idx="2">
                  <c:v>160341</c:v>
                </c:pt>
                <c:pt idx="3">
                  <c:v>961147</c:v>
                </c:pt>
                <c:pt idx="4" formatCode="_(* #,##0_);_(* \(#,##0\);_(* &quot;-&quot;??_);_(@_)">
                  <c:v>9422</c:v>
                </c:pt>
                <c:pt idx="5">
                  <c:v>134735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year'!$F$217:$F$223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AVJET</c:v>
                </c:pt>
                <c:pt idx="3">
                  <c:v>KERO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year'!$H$217:$H$223</c:f>
              <c:numCache>
                <c:formatCode>#,##0</c:formatCode>
                <c:ptCount val="7"/>
                <c:pt idx="0">
                  <c:v>944891</c:v>
                </c:pt>
                <c:pt idx="1">
                  <c:v>1633933.740177989</c:v>
                </c:pt>
                <c:pt idx="2">
                  <c:v>82675</c:v>
                </c:pt>
                <c:pt idx="3">
                  <c:v>118011</c:v>
                </c:pt>
                <c:pt idx="4">
                  <c:v>983856</c:v>
                </c:pt>
                <c:pt idx="5" formatCode="_(* #,##0_);_(* \(#,##0\);_(* &quot;-&quot;??_);_(@_)">
                  <c:v>8400</c:v>
                </c:pt>
                <c:pt idx="6">
                  <c:v>152956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Baskerville Old Face"/>
                <a:ea typeface="Baskerville Old Face"/>
                <a:cs typeface="Baskerville Old Face"/>
              </a:defRPr>
            </a:pPr>
            <a:r>
              <a:rPr lang="en-GB"/>
              <a:t> INTENSITY   (10³ Boe)/US$GDP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'Energy Intensity TOE'!$F$3</c:f>
              <c:strCache>
                <c:ptCount val="1"/>
                <c:pt idx="0">
                  <c:v>ENERGY INTENSITY          Boe/US$GDP (10³)</c:v>
                </c:pt>
              </c:strCache>
            </c:strRef>
          </c:tx>
          <c:cat>
            <c:strRef>
              <c:f>'Energy Intensity TOE'!$A$4:$A$14</c:f>
              <c:strCach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2006*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strCache>
            </c:strRef>
          </c:cat>
          <c:val>
            <c:numRef>
              <c:f>'Energy Intensity TOE'!$F$4:$F$14</c:f>
              <c:numCache>
                <c:formatCode>_(* #,##0.0_);_(* \(#,##0.0\);_(* "-"??_);_(@_)</c:formatCode>
                <c:ptCount val="11"/>
                <c:pt idx="0">
                  <c:v>5.982973353671186</c:v>
                </c:pt>
                <c:pt idx="1">
                  <c:v>5.9821175988993875</c:v>
                </c:pt>
                <c:pt idx="2">
                  <c:v>5.0832797202764004</c:v>
                </c:pt>
                <c:pt idx="3">
                  <c:v>2.4286766704824387</c:v>
                </c:pt>
                <c:pt idx="4">
                  <c:v>2.4717401432845798</c:v>
                </c:pt>
                <c:pt idx="5">
                  <c:v>2.1595466379275821</c:v>
                </c:pt>
                <c:pt idx="6">
                  <c:v>2.1225427014346763</c:v>
                </c:pt>
                <c:pt idx="7">
                  <c:v>2.0845833017551296</c:v>
                </c:pt>
                <c:pt idx="8">
                  <c:v>1.8938326776321561</c:v>
                </c:pt>
                <c:pt idx="9">
                  <c:v>1.8857091296939419</c:v>
                </c:pt>
                <c:pt idx="10">
                  <c:v>1.7802155833716653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4202368"/>
        <c:axId val="144348672"/>
      </c:lineChart>
      <c:catAx>
        <c:axId val="1442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348672"/>
        <c:crosses val="autoZero"/>
        <c:auto val="1"/>
        <c:lblAlgn val="ctr"/>
        <c:lblOffset val="100"/>
        <c:noMultiLvlLbl val="0"/>
      </c:catAx>
      <c:valAx>
        <c:axId val="1443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INTENSITY</a:t>
                </a:r>
              </a:p>
            </c:rich>
          </c:tx>
          <c:layout/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202368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  <a:ln cmpd="tri"/>
        <a:scene3d>
          <a:camera prst="orthographicFront"/>
          <a:lightRig rig="sunset" dir="t"/>
        </a:scene3d>
        <a:sp3d prstMaterial="dkEdge">
          <a:bevelT prst="relaxedInset"/>
          <a:bevelB prst="relaxedInset"/>
        </a:sp3d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year'!$A$253:$A$259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KERO</c:v>
                </c:pt>
                <c:pt idx="3">
                  <c:v>AVJET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year'!$C$253:$C$259</c:f>
              <c:numCache>
                <c:formatCode>#,##0</c:formatCode>
                <c:ptCount val="7"/>
                <c:pt idx="0">
                  <c:v>994164</c:v>
                </c:pt>
                <c:pt idx="1">
                  <c:v>1595449.4368794491</c:v>
                </c:pt>
                <c:pt idx="2">
                  <c:v>106093</c:v>
                </c:pt>
                <c:pt idx="3">
                  <c:v>67735</c:v>
                </c:pt>
                <c:pt idx="4">
                  <c:v>1207023.8199999998</c:v>
                </c:pt>
                <c:pt idx="5" formatCode="_(* #,##0_);_(* \(#,##0\);_(* &quot;-&quot;??_);_(@_)">
                  <c:v>9194</c:v>
                </c:pt>
                <c:pt idx="6">
                  <c:v>158272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year'!$F$253:$F$259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KERO</c:v>
                </c:pt>
                <c:pt idx="3">
                  <c:v>AVJET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year'!$H$253:$H$259</c:f>
              <c:numCache>
                <c:formatCode>#,##0</c:formatCode>
                <c:ptCount val="7"/>
                <c:pt idx="0">
                  <c:v>1003133</c:v>
                </c:pt>
                <c:pt idx="1">
                  <c:v>1920729.0922847297</c:v>
                </c:pt>
                <c:pt idx="2">
                  <c:v>103408</c:v>
                </c:pt>
                <c:pt idx="3">
                  <c:v>68288</c:v>
                </c:pt>
                <c:pt idx="4">
                  <c:v>1059008</c:v>
                </c:pt>
                <c:pt idx="5">
                  <c:v>13675.190476190475</c:v>
                </c:pt>
                <c:pt idx="6">
                  <c:v>173104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 of</a:t>
            </a:r>
            <a:r>
              <a:rPr lang="en-GB" baseline="0"/>
              <a:t> Total Imports</a:t>
            </a:r>
            <a:endParaRPr lang="en-GB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year'!$A$287:$A$293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KERO</c:v>
                </c:pt>
                <c:pt idx="3">
                  <c:v>AVJET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year'!$C$287:$C$293</c:f>
              <c:numCache>
                <c:formatCode>#,##0</c:formatCode>
                <c:ptCount val="7"/>
                <c:pt idx="0">
                  <c:v>1150143.4724389936</c:v>
                </c:pt>
                <c:pt idx="1">
                  <c:v>2084738.0291803186</c:v>
                </c:pt>
                <c:pt idx="2">
                  <c:v>88560</c:v>
                </c:pt>
                <c:pt idx="3">
                  <c:v>141379.53313189166</c:v>
                </c:pt>
                <c:pt idx="4">
                  <c:v>1220693.5592107042</c:v>
                </c:pt>
                <c:pt idx="5">
                  <c:v>12342</c:v>
                </c:pt>
                <c:pt idx="6">
                  <c:v>169891.65072259589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 of</a:t>
            </a:r>
            <a:r>
              <a:rPr lang="en-GB" baseline="0"/>
              <a:t> Total Imports</a:t>
            </a:r>
            <a:endParaRPr lang="en-GB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year'!$A$287:$A$293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KERO</c:v>
                </c:pt>
                <c:pt idx="3">
                  <c:v>AVJET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year'!$H$287:$H$293</c:f>
              <c:numCache>
                <c:formatCode>#,##0</c:formatCode>
                <c:ptCount val="7"/>
                <c:pt idx="0">
                  <c:v>1110801.1677108801</c:v>
                </c:pt>
                <c:pt idx="1">
                  <c:v>1933954.2675383249</c:v>
                </c:pt>
                <c:pt idx="2">
                  <c:v>79798</c:v>
                </c:pt>
                <c:pt idx="3">
                  <c:v>82770</c:v>
                </c:pt>
                <c:pt idx="4">
                  <c:v>1325114.72</c:v>
                </c:pt>
                <c:pt idx="5">
                  <c:v>9926</c:v>
                </c:pt>
                <c:pt idx="6">
                  <c:v>183786.14285714287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Percentage of</a:t>
            </a:r>
            <a:r>
              <a:rPr lang="en-GB" baseline="0"/>
              <a:t> Total Imports</a:t>
            </a:r>
            <a:endParaRPr lang="en-GB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by Product &amp; year'!$A$321:$A$327</c:f>
              <c:strCache>
                <c:ptCount val="7"/>
                <c:pt idx="0">
                  <c:v>MOGAS: UNLEADED</c:v>
                </c:pt>
                <c:pt idx="1">
                  <c:v>GASOIL (0.5S)/DIESEL</c:v>
                </c:pt>
                <c:pt idx="2">
                  <c:v>KERO</c:v>
                </c:pt>
                <c:pt idx="3">
                  <c:v>AVJET</c:v>
                </c:pt>
                <c:pt idx="4">
                  <c:v>FUELOIL</c:v>
                </c:pt>
                <c:pt idx="5">
                  <c:v>AVGAS</c:v>
                </c:pt>
                <c:pt idx="6">
                  <c:v>L.P.G</c:v>
                </c:pt>
              </c:strCache>
            </c:strRef>
          </c:cat>
          <c:val>
            <c:numRef>
              <c:f>'Total by Product &amp; year'!$C$321:$C$327</c:f>
              <c:numCache>
                <c:formatCode>#,##0</c:formatCode>
                <c:ptCount val="7"/>
                <c:pt idx="0">
                  <c:v>1174006.371721433</c:v>
                </c:pt>
                <c:pt idx="1">
                  <c:v>2139197.6952825477</c:v>
                </c:pt>
                <c:pt idx="2">
                  <c:v>86929.57</c:v>
                </c:pt>
                <c:pt idx="3">
                  <c:v>70196</c:v>
                </c:pt>
                <c:pt idx="4">
                  <c:v>1257254.8999999999</c:v>
                </c:pt>
                <c:pt idx="5">
                  <c:v>9774</c:v>
                </c:pt>
                <c:pt idx="6">
                  <c:v>201496.71428571429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spPr>
    <a:effectLst>
      <a:outerShdw blurRad="50800" dist="38100" dir="2700000" sx="101000" sy="101000" algn="tl" rotWithShape="0">
        <a:prstClr val="black">
          <a:alpha val="40000"/>
        </a:prstClr>
      </a:outerShdw>
    </a:effectLst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Volume of Petroleum Products Imported from 1994 to 2015
</a:t>
            </a:r>
          </a:p>
        </c:rich>
      </c:tx>
      <c:layout>
        <c:manualLayout>
          <c:xMode val="edge"/>
          <c:yMode val="edge"/>
          <c:x val="0.2328278322925959"/>
          <c:y val="2.83687547906068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722803271357361E-2"/>
          <c:y val="1.4833119264347307E-2"/>
          <c:w val="0.9251421474978464"/>
          <c:h val="0.88655739056961358"/>
        </c:manualLayout>
      </c:layout>
      <c:lineChart>
        <c:grouping val="standard"/>
        <c:varyColors val="0"/>
        <c:ser>
          <c:idx val="0"/>
          <c:order val="0"/>
          <c:tx>
            <c:strRef>
              <c:f>'Total by Product and Year 2'!$A$5</c:f>
              <c:strCache>
                <c:ptCount val="1"/>
                <c:pt idx="0">
                  <c:v>GASOIL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2'!$B$5:$V$5</c:f>
              <c:numCache>
                <c:formatCode>#,##0</c:formatCode>
                <c:ptCount val="21"/>
                <c:pt idx="0">
                  <c:v>1124901</c:v>
                </c:pt>
                <c:pt idx="1">
                  <c:v>1490839</c:v>
                </c:pt>
                <c:pt idx="2">
                  <c:v>1689005</c:v>
                </c:pt>
                <c:pt idx="3">
                  <c:v>1887690</c:v>
                </c:pt>
                <c:pt idx="4">
                  <c:v>1821012</c:v>
                </c:pt>
                <c:pt idx="5">
                  <c:v>2148733</c:v>
                </c:pt>
                <c:pt idx="6">
                  <c:v>1946221</c:v>
                </c:pt>
                <c:pt idx="7">
                  <c:v>1930552</c:v>
                </c:pt>
                <c:pt idx="8">
                  <c:v>1902469</c:v>
                </c:pt>
                <c:pt idx="9">
                  <c:v>1791249</c:v>
                </c:pt>
                <c:pt idx="10">
                  <c:v>1927426.9410000001</c:v>
                </c:pt>
                <c:pt idx="11">
                  <c:v>1824077.6604376459</c:v>
                </c:pt>
                <c:pt idx="12">
                  <c:v>1590998</c:v>
                </c:pt>
                <c:pt idx="13">
                  <c:v>1905223</c:v>
                </c:pt>
                <c:pt idx="14">
                  <c:v>1587396</c:v>
                </c:pt>
                <c:pt idx="15">
                  <c:v>1633933.740177989</c:v>
                </c:pt>
                <c:pt idx="16">
                  <c:v>1595449.4368794491</c:v>
                </c:pt>
                <c:pt idx="17">
                  <c:v>1920729.0922847297</c:v>
                </c:pt>
                <c:pt idx="18">
                  <c:v>2084738.0291803186</c:v>
                </c:pt>
                <c:pt idx="19">
                  <c:v>1933954.2675383249</c:v>
                </c:pt>
                <c:pt idx="20">
                  <c:v>2139197.6952825477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by Product and Year 2'!$A$4</c:f>
              <c:strCache>
                <c:ptCount val="1"/>
                <c:pt idx="0">
                  <c:v>MOGAS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2'!$B$4:$V$4</c:f>
              <c:numCache>
                <c:formatCode>#,##0</c:formatCode>
                <c:ptCount val="21"/>
                <c:pt idx="0">
                  <c:v>547008</c:v>
                </c:pt>
                <c:pt idx="1">
                  <c:v>593604</c:v>
                </c:pt>
                <c:pt idx="2">
                  <c:v>614676</c:v>
                </c:pt>
                <c:pt idx="3">
                  <c:v>645519</c:v>
                </c:pt>
                <c:pt idx="4">
                  <c:v>688129</c:v>
                </c:pt>
                <c:pt idx="5">
                  <c:v>742441</c:v>
                </c:pt>
                <c:pt idx="6">
                  <c:v>708106</c:v>
                </c:pt>
                <c:pt idx="7">
                  <c:v>730915</c:v>
                </c:pt>
                <c:pt idx="8">
                  <c:v>731216</c:v>
                </c:pt>
                <c:pt idx="9">
                  <c:v>717286</c:v>
                </c:pt>
                <c:pt idx="10">
                  <c:v>747534.32</c:v>
                </c:pt>
                <c:pt idx="11">
                  <c:v>729018.9889739413</c:v>
                </c:pt>
                <c:pt idx="12">
                  <c:v>720351</c:v>
                </c:pt>
                <c:pt idx="13">
                  <c:v>777887</c:v>
                </c:pt>
                <c:pt idx="14">
                  <c:v>807542</c:v>
                </c:pt>
                <c:pt idx="15">
                  <c:v>944891</c:v>
                </c:pt>
                <c:pt idx="16">
                  <c:v>994164</c:v>
                </c:pt>
                <c:pt idx="17">
                  <c:v>1003133</c:v>
                </c:pt>
                <c:pt idx="18">
                  <c:v>1150143.4724389936</c:v>
                </c:pt>
                <c:pt idx="19">
                  <c:v>1110801.1677108801</c:v>
                </c:pt>
                <c:pt idx="20">
                  <c:v>1174006.371721433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by Product and Year 2'!$A$6</c:f>
              <c:strCache>
                <c:ptCount val="1"/>
                <c:pt idx="0">
                  <c:v>JET A-1/KERO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2'!$B$6:$V$6</c:f>
              <c:numCache>
                <c:formatCode>#,##0</c:formatCode>
                <c:ptCount val="21"/>
                <c:pt idx="0">
                  <c:v>239312</c:v>
                </c:pt>
                <c:pt idx="1">
                  <c:v>250210</c:v>
                </c:pt>
                <c:pt idx="2">
                  <c:v>238062</c:v>
                </c:pt>
                <c:pt idx="3">
                  <c:v>258741</c:v>
                </c:pt>
                <c:pt idx="4">
                  <c:v>210972</c:v>
                </c:pt>
                <c:pt idx="5">
                  <c:v>235045</c:v>
                </c:pt>
                <c:pt idx="6">
                  <c:v>240510</c:v>
                </c:pt>
                <c:pt idx="7">
                  <c:v>197709</c:v>
                </c:pt>
                <c:pt idx="8">
                  <c:v>200677</c:v>
                </c:pt>
                <c:pt idx="9">
                  <c:v>198351</c:v>
                </c:pt>
                <c:pt idx="10">
                  <c:v>186242.51</c:v>
                </c:pt>
                <c:pt idx="11">
                  <c:v>186369.0867806802</c:v>
                </c:pt>
                <c:pt idx="12">
                  <c:v>161680</c:v>
                </c:pt>
                <c:pt idx="13">
                  <c:v>175586</c:v>
                </c:pt>
                <c:pt idx="14">
                  <c:v>160341</c:v>
                </c:pt>
                <c:pt idx="15">
                  <c:v>200686</c:v>
                </c:pt>
                <c:pt idx="16">
                  <c:v>173828</c:v>
                </c:pt>
                <c:pt idx="17">
                  <c:v>171696</c:v>
                </c:pt>
                <c:pt idx="18">
                  <c:v>229939.53313189166</c:v>
                </c:pt>
                <c:pt idx="19">
                  <c:v>162568</c:v>
                </c:pt>
                <c:pt idx="20">
                  <c:v>157125.57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by Product and Year 2'!$A$7</c:f>
              <c:strCache>
                <c:ptCount val="1"/>
                <c:pt idx="0">
                  <c:v>FUELOIL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2'!$B$7:$V$7</c:f>
              <c:numCache>
                <c:formatCode>#,##0</c:formatCode>
                <c:ptCount val="21"/>
                <c:pt idx="0">
                  <c:v>1094555</c:v>
                </c:pt>
                <c:pt idx="1">
                  <c:v>1233096</c:v>
                </c:pt>
                <c:pt idx="2">
                  <c:v>1093885</c:v>
                </c:pt>
                <c:pt idx="3">
                  <c:v>1224930</c:v>
                </c:pt>
                <c:pt idx="4">
                  <c:v>1330869</c:v>
                </c:pt>
                <c:pt idx="5">
                  <c:v>906524</c:v>
                </c:pt>
                <c:pt idx="6">
                  <c:v>942708</c:v>
                </c:pt>
                <c:pt idx="7">
                  <c:v>875924</c:v>
                </c:pt>
                <c:pt idx="8">
                  <c:v>923629</c:v>
                </c:pt>
                <c:pt idx="9">
                  <c:v>1156810</c:v>
                </c:pt>
                <c:pt idx="10">
                  <c:v>901208.83499999996</c:v>
                </c:pt>
                <c:pt idx="11">
                  <c:v>677222.03702189494</c:v>
                </c:pt>
                <c:pt idx="12">
                  <c:v>569005</c:v>
                </c:pt>
                <c:pt idx="13">
                  <c:v>933717</c:v>
                </c:pt>
                <c:pt idx="14">
                  <c:v>961147</c:v>
                </c:pt>
                <c:pt idx="15">
                  <c:v>983856</c:v>
                </c:pt>
                <c:pt idx="16">
                  <c:v>1207023.8199999998</c:v>
                </c:pt>
                <c:pt idx="17">
                  <c:v>1059008</c:v>
                </c:pt>
                <c:pt idx="18">
                  <c:v>1220693.5592107042</c:v>
                </c:pt>
                <c:pt idx="19">
                  <c:v>1325114.72</c:v>
                </c:pt>
                <c:pt idx="20">
                  <c:v>1257254.8999999999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by Product and Year 2'!$A$8</c:f>
              <c:strCache>
                <c:ptCount val="1"/>
                <c:pt idx="0">
                  <c:v>AVGAS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2'!$B$8:$V$8</c:f>
              <c:numCache>
                <c:formatCode>#,##0</c:formatCode>
                <c:ptCount val="21"/>
                <c:pt idx="0">
                  <c:v>18465</c:v>
                </c:pt>
                <c:pt idx="1">
                  <c:v>14175</c:v>
                </c:pt>
                <c:pt idx="2">
                  <c:v>11417</c:v>
                </c:pt>
                <c:pt idx="3">
                  <c:v>9909</c:v>
                </c:pt>
                <c:pt idx="4">
                  <c:v>20066</c:v>
                </c:pt>
                <c:pt idx="5">
                  <c:v>10891</c:v>
                </c:pt>
                <c:pt idx="6">
                  <c:v>13641</c:v>
                </c:pt>
                <c:pt idx="7">
                  <c:v>6615</c:v>
                </c:pt>
                <c:pt idx="8">
                  <c:v>7190</c:v>
                </c:pt>
                <c:pt idx="9">
                  <c:v>8621</c:v>
                </c:pt>
                <c:pt idx="10">
                  <c:v>8135.9979999999996</c:v>
                </c:pt>
                <c:pt idx="11">
                  <c:v>5876</c:v>
                </c:pt>
                <c:pt idx="12">
                  <c:v>10074</c:v>
                </c:pt>
                <c:pt idx="13" formatCode="_(* #,##0_);_(* \(#,##0\);_(* &quot;-&quot;??_);_(@_)">
                  <c:v>8769</c:v>
                </c:pt>
                <c:pt idx="14" formatCode="_(* #,##0_);_(* \(#,##0\);_(* &quot;-&quot;??_);_(@_)">
                  <c:v>9422</c:v>
                </c:pt>
                <c:pt idx="15" formatCode="_(* #,##0_);_(* \(#,##0\);_(* &quot;-&quot;??_);_(@_)">
                  <c:v>8400</c:v>
                </c:pt>
                <c:pt idx="16" formatCode="_(* #,##0_);_(* \(#,##0\);_(* &quot;-&quot;??_);_(@_)">
                  <c:v>9194</c:v>
                </c:pt>
                <c:pt idx="17">
                  <c:v>13675.190476190475</c:v>
                </c:pt>
                <c:pt idx="18">
                  <c:v>12342</c:v>
                </c:pt>
                <c:pt idx="19">
                  <c:v>9926</c:v>
                </c:pt>
                <c:pt idx="20">
                  <c:v>9774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by Product and Year 2'!$A$9</c:f>
              <c:strCache>
                <c:ptCount val="1"/>
                <c:pt idx="0">
                  <c:v>L.P.G</c:v>
                </c:pt>
              </c:strCache>
            </c:strRef>
          </c:tx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2'!$B$9:$V$9</c:f>
              <c:numCache>
                <c:formatCode>#,##0</c:formatCode>
                <c:ptCount val="21"/>
                <c:pt idx="0">
                  <c:v>71487</c:v>
                </c:pt>
                <c:pt idx="1">
                  <c:v>42129</c:v>
                </c:pt>
                <c:pt idx="2">
                  <c:v>64848</c:v>
                </c:pt>
                <c:pt idx="3">
                  <c:v>66888</c:v>
                </c:pt>
                <c:pt idx="4">
                  <c:v>54717</c:v>
                </c:pt>
                <c:pt idx="5">
                  <c:v>93632</c:v>
                </c:pt>
                <c:pt idx="6">
                  <c:v>73428</c:v>
                </c:pt>
                <c:pt idx="7">
                  <c:v>92936</c:v>
                </c:pt>
                <c:pt idx="8">
                  <c:v>100324</c:v>
                </c:pt>
                <c:pt idx="9">
                  <c:v>107882</c:v>
                </c:pt>
                <c:pt idx="10">
                  <c:v>131210.94</c:v>
                </c:pt>
                <c:pt idx="11">
                  <c:v>123505.65140546083</c:v>
                </c:pt>
                <c:pt idx="12">
                  <c:v>127817</c:v>
                </c:pt>
                <c:pt idx="13">
                  <c:v>109052</c:v>
                </c:pt>
                <c:pt idx="14">
                  <c:v>134735</c:v>
                </c:pt>
                <c:pt idx="15">
                  <c:v>152956</c:v>
                </c:pt>
                <c:pt idx="16">
                  <c:v>158272</c:v>
                </c:pt>
                <c:pt idx="17">
                  <c:v>173104</c:v>
                </c:pt>
                <c:pt idx="18">
                  <c:v>169891.65072259589</c:v>
                </c:pt>
                <c:pt idx="19">
                  <c:v>183786.14285714287</c:v>
                </c:pt>
                <c:pt idx="20">
                  <c:v>201496.71428571429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3808"/>
        <c:axId val="92665344"/>
      </c:lineChart>
      <c:catAx>
        <c:axId val="926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65344"/>
        <c:crosses val="autoZero"/>
        <c:auto val="1"/>
        <c:lblAlgn val="ctr"/>
        <c:lblOffset val="100"/>
        <c:noMultiLvlLbl val="0"/>
      </c:catAx>
      <c:valAx>
        <c:axId val="9266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6.0263684702213452E-2"/>
              <c:y val="1.6113720298237131E-2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63808"/>
        <c:crosses val="autoZero"/>
        <c:crossBetween val="between"/>
        <c:majorUnit val="200000"/>
      </c:valAx>
      <c:spPr>
        <a:solidFill>
          <a:schemeClr val="bg1">
            <a:lumMod val="65000"/>
          </a:schemeClr>
        </a:solidFill>
      </c:spPr>
    </c:plotArea>
    <c:legend>
      <c:legendPos val="b"/>
      <c:layout>
        <c:manualLayout>
          <c:xMode val="edge"/>
          <c:yMode val="edge"/>
          <c:x val="0.41491871945980113"/>
          <c:y val="0.71805950804821961"/>
          <c:w val="0.54125970203769125"/>
          <c:h val="4.7897986203052113E-2"/>
        </c:manualLayout>
      </c:layout>
      <c:overlay val="0"/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CIF Value of Petroleum Products Imported from 1994 to 2014</a:t>
            </a:r>
          </a:p>
        </c:rich>
      </c:tx>
      <c:layout>
        <c:manualLayout>
          <c:xMode val="edge"/>
          <c:yMode val="edge"/>
          <c:x val="0.24416669473202127"/>
          <c:y val="2.8368798941454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4588909919194382E-2"/>
          <c:y val="1.8388972039652101E-2"/>
          <c:w val="0.9251421474978464"/>
          <c:h val="0.88655739056961358"/>
        </c:manualLayout>
      </c:layout>
      <c:lineChart>
        <c:grouping val="standard"/>
        <c:varyColors val="0"/>
        <c:ser>
          <c:idx val="1"/>
          <c:order val="0"/>
          <c:tx>
            <c:strRef>
              <c:f>'Total by Product and Year 2'!$X$5</c:f>
              <c:strCache>
                <c:ptCount val="1"/>
                <c:pt idx="0">
                  <c:v>GASOIL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2'!$Y$5:$AS$5</c:f>
              <c:numCache>
                <c:formatCode>#,##0</c:formatCode>
                <c:ptCount val="21"/>
                <c:pt idx="0">
                  <c:v>32719530</c:v>
                </c:pt>
                <c:pt idx="1">
                  <c:v>38303089</c:v>
                </c:pt>
                <c:pt idx="2">
                  <c:v>49360722</c:v>
                </c:pt>
                <c:pt idx="3">
                  <c:v>52069346</c:v>
                </c:pt>
                <c:pt idx="4">
                  <c:v>36340160</c:v>
                </c:pt>
                <c:pt idx="5">
                  <c:v>51810847</c:v>
                </c:pt>
                <c:pt idx="6">
                  <c:v>74659458</c:v>
                </c:pt>
                <c:pt idx="7">
                  <c:v>64436452</c:v>
                </c:pt>
                <c:pt idx="8">
                  <c:v>60924500</c:v>
                </c:pt>
                <c:pt idx="9">
                  <c:v>73310706.140000001</c:v>
                </c:pt>
                <c:pt idx="10">
                  <c:v>99304765.890000001</c:v>
                </c:pt>
                <c:pt idx="11">
                  <c:v>133464813</c:v>
                </c:pt>
                <c:pt idx="12">
                  <c:v>132614385.28</c:v>
                </c:pt>
                <c:pt idx="13">
                  <c:v>167647342</c:v>
                </c:pt>
                <c:pt idx="14">
                  <c:v>199926554.72347972</c:v>
                </c:pt>
                <c:pt idx="15">
                  <c:v>123333560.01961799</c:v>
                </c:pt>
                <c:pt idx="16">
                  <c:v>152402463.03253171</c:v>
                </c:pt>
                <c:pt idx="17">
                  <c:v>250904963.06242034</c:v>
                </c:pt>
                <c:pt idx="18">
                  <c:v>272064707.23012191</c:v>
                </c:pt>
                <c:pt idx="19">
                  <c:v>257640047.88804933</c:v>
                </c:pt>
                <c:pt idx="20">
                  <c:v>260334966.69034052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'Total by Product and Year 2'!$X$4</c:f>
              <c:strCache>
                <c:ptCount val="1"/>
                <c:pt idx="0">
                  <c:v>MOGAS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2'!$Y$4:$AS$4</c:f>
              <c:numCache>
                <c:formatCode>#,##0</c:formatCode>
                <c:ptCount val="21"/>
                <c:pt idx="0">
                  <c:v>12984924</c:v>
                </c:pt>
                <c:pt idx="1">
                  <c:v>14950122</c:v>
                </c:pt>
                <c:pt idx="2">
                  <c:v>18316776</c:v>
                </c:pt>
                <c:pt idx="3">
                  <c:v>19065214</c:v>
                </c:pt>
                <c:pt idx="4">
                  <c:v>15438767</c:v>
                </c:pt>
                <c:pt idx="5">
                  <c:v>20114155</c:v>
                </c:pt>
                <c:pt idx="6">
                  <c:v>28369527</c:v>
                </c:pt>
                <c:pt idx="7">
                  <c:v>26767040</c:v>
                </c:pt>
                <c:pt idx="8">
                  <c:v>26342252</c:v>
                </c:pt>
                <c:pt idx="9">
                  <c:v>32205673.399999999</c:v>
                </c:pt>
                <c:pt idx="10">
                  <c:v>41569332.799999997</c:v>
                </c:pt>
                <c:pt idx="11">
                  <c:v>53726833.289999999</c:v>
                </c:pt>
                <c:pt idx="12">
                  <c:v>61447123.890000001</c:v>
                </c:pt>
                <c:pt idx="13">
                  <c:v>71872158</c:v>
                </c:pt>
                <c:pt idx="14">
                  <c:v>91704357.479999989</c:v>
                </c:pt>
                <c:pt idx="15">
                  <c:v>71662921.408679992</c:v>
                </c:pt>
                <c:pt idx="16">
                  <c:v>97018606.387999997</c:v>
                </c:pt>
                <c:pt idx="17">
                  <c:v>127947131.06999999</c:v>
                </c:pt>
                <c:pt idx="18">
                  <c:v>149217292.40774378</c:v>
                </c:pt>
                <c:pt idx="19">
                  <c:v>146212088.6264714</c:v>
                </c:pt>
                <c:pt idx="20">
                  <c:v>143806446.05898768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by Product and Year 2'!$X$6</c:f>
              <c:strCache>
                <c:ptCount val="1"/>
                <c:pt idx="0">
                  <c:v>JET A-1/KERO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2'!$Y$6:$AS$6</c:f>
              <c:numCache>
                <c:formatCode>#,##0</c:formatCode>
                <c:ptCount val="21"/>
                <c:pt idx="0">
                  <c:v>6071820</c:v>
                </c:pt>
                <c:pt idx="1">
                  <c:v>6422340</c:v>
                </c:pt>
                <c:pt idx="2">
                  <c:v>7076075</c:v>
                </c:pt>
                <c:pt idx="3">
                  <c:v>7333798</c:v>
                </c:pt>
                <c:pt idx="4">
                  <c:v>4454239</c:v>
                </c:pt>
                <c:pt idx="5">
                  <c:v>5929888</c:v>
                </c:pt>
                <c:pt idx="6">
                  <c:v>9774805</c:v>
                </c:pt>
                <c:pt idx="7">
                  <c:v>7113830</c:v>
                </c:pt>
                <c:pt idx="8">
                  <c:v>6720775</c:v>
                </c:pt>
                <c:pt idx="9">
                  <c:v>7928272.3899999997</c:v>
                </c:pt>
                <c:pt idx="10">
                  <c:v>9701018.0299999993</c:v>
                </c:pt>
                <c:pt idx="11">
                  <c:v>14083361.27</c:v>
                </c:pt>
                <c:pt idx="12">
                  <c:v>13966724.140000001</c:v>
                </c:pt>
                <c:pt idx="13">
                  <c:v>16174286</c:v>
                </c:pt>
                <c:pt idx="14">
                  <c:v>22181349.720000003</c:v>
                </c:pt>
                <c:pt idx="15">
                  <c:v>15029306.27685</c:v>
                </c:pt>
                <c:pt idx="16">
                  <c:v>16931196.898000002</c:v>
                </c:pt>
                <c:pt idx="17">
                  <c:v>23678446.826666668</c:v>
                </c:pt>
                <c:pt idx="18">
                  <c:v>33311668.523934983</c:v>
                </c:pt>
                <c:pt idx="19">
                  <c:v>22517694.163206715</c:v>
                </c:pt>
                <c:pt idx="20">
                  <c:v>19563382.071671247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by Product and Year 2'!$X$7</c:f>
              <c:strCache>
                <c:ptCount val="1"/>
                <c:pt idx="0">
                  <c:v>FUELOIL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2'!$Y$7:$AS$7</c:f>
              <c:numCache>
                <c:formatCode>#,##0</c:formatCode>
                <c:ptCount val="21"/>
                <c:pt idx="0">
                  <c:v>16922767</c:v>
                </c:pt>
                <c:pt idx="1">
                  <c:v>23160746</c:v>
                </c:pt>
                <c:pt idx="2">
                  <c:v>22666955</c:v>
                </c:pt>
                <c:pt idx="3">
                  <c:v>26019906</c:v>
                </c:pt>
                <c:pt idx="4">
                  <c:v>19705980</c:v>
                </c:pt>
                <c:pt idx="5">
                  <c:v>17531235</c:v>
                </c:pt>
                <c:pt idx="6">
                  <c:v>25617766</c:v>
                </c:pt>
                <c:pt idx="7">
                  <c:v>20574920</c:v>
                </c:pt>
                <c:pt idx="8">
                  <c:v>24309573</c:v>
                </c:pt>
                <c:pt idx="9">
                  <c:v>33911015.579999998</c:v>
                </c:pt>
                <c:pt idx="10">
                  <c:v>27108661.420000002</c:v>
                </c:pt>
                <c:pt idx="11">
                  <c:v>29503620</c:v>
                </c:pt>
                <c:pt idx="12">
                  <c:v>31136623.25</c:v>
                </c:pt>
                <c:pt idx="13">
                  <c:v>51642019.603571393</c:v>
                </c:pt>
                <c:pt idx="14">
                  <c:v>77303400.82280001</c:v>
                </c:pt>
                <c:pt idx="15">
                  <c:v>61739678.282769993</c:v>
                </c:pt>
                <c:pt idx="16">
                  <c:v>93505447.871199995</c:v>
                </c:pt>
                <c:pt idx="17">
                  <c:v>113963138.14000002</c:v>
                </c:pt>
                <c:pt idx="18">
                  <c:v>132579287.95546117</c:v>
                </c:pt>
                <c:pt idx="19">
                  <c:v>135521850.51111096</c:v>
                </c:pt>
                <c:pt idx="20">
                  <c:v>116133335.02984557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by Product and Year 2'!$X$8</c:f>
              <c:strCache>
                <c:ptCount val="1"/>
                <c:pt idx="0">
                  <c:v>AVGAS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2'!$Y$8:$AS$8</c:f>
              <c:numCache>
                <c:formatCode>#,##0</c:formatCode>
                <c:ptCount val="21"/>
                <c:pt idx="0">
                  <c:v>868066</c:v>
                </c:pt>
                <c:pt idx="1">
                  <c:v>650896</c:v>
                </c:pt>
                <c:pt idx="2">
                  <c:v>577860</c:v>
                </c:pt>
                <c:pt idx="3">
                  <c:v>503126</c:v>
                </c:pt>
                <c:pt idx="4">
                  <c:v>696556</c:v>
                </c:pt>
                <c:pt idx="5">
                  <c:v>522145</c:v>
                </c:pt>
                <c:pt idx="6">
                  <c:v>825833</c:v>
                </c:pt>
                <c:pt idx="7">
                  <c:v>387751</c:v>
                </c:pt>
                <c:pt idx="8">
                  <c:v>410595</c:v>
                </c:pt>
                <c:pt idx="9">
                  <c:v>782106.35</c:v>
                </c:pt>
                <c:pt idx="10">
                  <c:v>820278.67</c:v>
                </c:pt>
                <c:pt idx="11">
                  <c:v>723745.19</c:v>
                </c:pt>
                <c:pt idx="12">
                  <c:v>1365387.25</c:v>
                </c:pt>
                <c:pt idx="13">
                  <c:v>1547856</c:v>
                </c:pt>
                <c:pt idx="14">
                  <c:v>1811380</c:v>
                </c:pt>
                <c:pt idx="15">
                  <c:v>985019</c:v>
                </c:pt>
                <c:pt idx="16">
                  <c:v>1718359</c:v>
                </c:pt>
                <c:pt idx="17">
                  <c:v>3296808.19</c:v>
                </c:pt>
                <c:pt idx="18">
                  <c:v>2653644.426712492</c:v>
                </c:pt>
                <c:pt idx="19">
                  <c:v>2111813.5075221444</c:v>
                </c:pt>
                <c:pt idx="20">
                  <c:v>2011611.5588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by Product and Year 2'!$X$9</c:f>
              <c:strCache>
                <c:ptCount val="1"/>
                <c:pt idx="0">
                  <c:v>L.P.G</c:v>
                </c:pt>
              </c:strCache>
            </c:strRef>
          </c:tx>
          <c:cat>
            <c:numRef>
              <c:f>'Total by Product and Year 2'!$Y$2:$AS$2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2'!$Y$9:$AS$9</c:f>
              <c:numCache>
                <c:formatCode>#,##0</c:formatCode>
                <c:ptCount val="21"/>
                <c:pt idx="0">
                  <c:v>2500805</c:v>
                </c:pt>
                <c:pt idx="1">
                  <c:v>1673937</c:v>
                </c:pt>
                <c:pt idx="2">
                  <c:v>2698221</c:v>
                </c:pt>
                <c:pt idx="3">
                  <c:v>2735843</c:v>
                </c:pt>
                <c:pt idx="4">
                  <c:v>1903797</c:v>
                </c:pt>
                <c:pt idx="5">
                  <c:v>3796121</c:v>
                </c:pt>
                <c:pt idx="6">
                  <c:v>4030585</c:v>
                </c:pt>
                <c:pt idx="7">
                  <c:v>4093528</c:v>
                </c:pt>
                <c:pt idx="8">
                  <c:v>3935989</c:v>
                </c:pt>
                <c:pt idx="9">
                  <c:v>5056191.78</c:v>
                </c:pt>
                <c:pt idx="10">
                  <c:v>7198198.4800000004</c:v>
                </c:pt>
                <c:pt idx="11">
                  <c:v>9160774</c:v>
                </c:pt>
                <c:pt idx="12">
                  <c:v>11063839.52</c:v>
                </c:pt>
                <c:pt idx="13">
                  <c:v>10238892</c:v>
                </c:pt>
                <c:pt idx="14">
                  <c:v>13033893</c:v>
                </c:pt>
                <c:pt idx="15">
                  <c:v>10159508</c:v>
                </c:pt>
                <c:pt idx="16">
                  <c:v>14375627</c:v>
                </c:pt>
                <c:pt idx="17">
                  <c:v>15191958.594357297</c:v>
                </c:pt>
                <c:pt idx="18">
                  <c:v>14174001.866896126</c:v>
                </c:pt>
                <c:pt idx="19">
                  <c:v>18278300.685343001</c:v>
                </c:pt>
                <c:pt idx="20">
                  <c:v>19783955.968279999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95104"/>
        <c:axId val="92896640"/>
      </c:lineChart>
      <c:catAx>
        <c:axId val="928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96640"/>
        <c:crosses val="autoZero"/>
        <c:auto val="1"/>
        <c:lblAlgn val="ctr"/>
        <c:lblOffset val="100"/>
        <c:noMultiLvlLbl val="0"/>
      </c:catAx>
      <c:valAx>
        <c:axId val="9289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6.0263724519465024E-2"/>
              <c:y val="1.6113750244029421E-2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9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5431768633711233E-2"/>
          <c:y val="3.5859091993666083E-2"/>
          <c:w val="9.4572250324996845E-2"/>
          <c:h val="0.2564953037895058"/>
        </c:manualLayout>
      </c:layout>
      <c:overlay val="0"/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Volume vs CIF Value of Mogas Imported from 1994 to 2014</a:t>
            </a:r>
          </a:p>
        </c:rich>
      </c:tx>
      <c:layout>
        <c:manualLayout>
          <c:xMode val="edge"/>
          <c:yMode val="edge"/>
          <c:x val="0.23566308243727649"/>
          <c:y val="2.83687943262411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6613891005559783E-2"/>
          <c:y val="1.9561251652054169E-2"/>
          <c:w val="0.9251421474978464"/>
          <c:h val="0.88655739056961358"/>
        </c:manualLayout>
      </c:layout>
      <c:lineChart>
        <c:grouping val="standard"/>
        <c:varyColors val="0"/>
        <c:ser>
          <c:idx val="1"/>
          <c:order val="0"/>
          <c:trendline>
            <c:trendlineType val="linear"/>
            <c:dispRSqr val="0"/>
            <c:dispEq val="0"/>
          </c:trendline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2'!$B$4:$V$4</c:f>
              <c:numCache>
                <c:formatCode>#,##0</c:formatCode>
                <c:ptCount val="21"/>
                <c:pt idx="0">
                  <c:v>547008</c:v>
                </c:pt>
                <c:pt idx="1">
                  <c:v>593604</c:v>
                </c:pt>
                <c:pt idx="2">
                  <c:v>614676</c:v>
                </c:pt>
                <c:pt idx="3">
                  <c:v>645519</c:v>
                </c:pt>
                <c:pt idx="4">
                  <c:v>688129</c:v>
                </c:pt>
                <c:pt idx="5">
                  <c:v>742441</c:v>
                </c:pt>
                <c:pt idx="6">
                  <c:v>708106</c:v>
                </c:pt>
                <c:pt idx="7">
                  <c:v>730915</c:v>
                </c:pt>
                <c:pt idx="8">
                  <c:v>731216</c:v>
                </c:pt>
                <c:pt idx="9">
                  <c:v>717286</c:v>
                </c:pt>
                <c:pt idx="10">
                  <c:v>747534.32</c:v>
                </c:pt>
                <c:pt idx="11">
                  <c:v>729018.9889739413</c:v>
                </c:pt>
                <c:pt idx="12">
                  <c:v>720351</c:v>
                </c:pt>
                <c:pt idx="13">
                  <c:v>777887</c:v>
                </c:pt>
                <c:pt idx="14">
                  <c:v>807542</c:v>
                </c:pt>
                <c:pt idx="15">
                  <c:v>944891</c:v>
                </c:pt>
                <c:pt idx="16">
                  <c:v>994164</c:v>
                </c:pt>
                <c:pt idx="17">
                  <c:v>1003133</c:v>
                </c:pt>
                <c:pt idx="18">
                  <c:v>1150143.4724389936</c:v>
                </c:pt>
                <c:pt idx="19">
                  <c:v>1110801.1677108801</c:v>
                </c:pt>
                <c:pt idx="20">
                  <c:v>1174006.371721433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42336"/>
        <c:axId val="92943872"/>
      </c:lineChart>
      <c:lineChart>
        <c:grouping val="standard"/>
        <c:varyColors val="0"/>
        <c:ser>
          <c:idx val="2"/>
          <c:order val="1"/>
          <c:trendline>
            <c:trendlineType val="linear"/>
            <c:dispRSqr val="0"/>
            <c:dispEq val="0"/>
          </c:trendline>
          <c:cat>
            <c:numRef>
              <c:f>'Total by Product and Year 2'!$B$2:$T$2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'Total by Product and Year 2'!$Y$4:$AS$4</c:f>
              <c:numCache>
                <c:formatCode>#,##0</c:formatCode>
                <c:ptCount val="21"/>
                <c:pt idx="0">
                  <c:v>12984924</c:v>
                </c:pt>
                <c:pt idx="1">
                  <c:v>14950122</c:v>
                </c:pt>
                <c:pt idx="2">
                  <c:v>18316776</c:v>
                </c:pt>
                <c:pt idx="3">
                  <c:v>19065214</c:v>
                </c:pt>
                <c:pt idx="4">
                  <c:v>15438767</c:v>
                </c:pt>
                <c:pt idx="5">
                  <c:v>20114155</c:v>
                </c:pt>
                <c:pt idx="6">
                  <c:v>28369527</c:v>
                </c:pt>
                <c:pt idx="7">
                  <c:v>26767040</c:v>
                </c:pt>
                <c:pt idx="8">
                  <c:v>26342252</c:v>
                </c:pt>
                <c:pt idx="9">
                  <c:v>32205673.399999999</c:v>
                </c:pt>
                <c:pt idx="10">
                  <c:v>41569332.799999997</c:v>
                </c:pt>
                <c:pt idx="11">
                  <c:v>53726833.289999999</c:v>
                </c:pt>
                <c:pt idx="12">
                  <c:v>61447123.890000001</c:v>
                </c:pt>
                <c:pt idx="13">
                  <c:v>71872158</c:v>
                </c:pt>
                <c:pt idx="14">
                  <c:v>91704357.479999989</c:v>
                </c:pt>
                <c:pt idx="15">
                  <c:v>71662921.408679992</c:v>
                </c:pt>
                <c:pt idx="16">
                  <c:v>97018606.387999997</c:v>
                </c:pt>
                <c:pt idx="17">
                  <c:v>127947131.06999999</c:v>
                </c:pt>
                <c:pt idx="18">
                  <c:v>149217292.40774378</c:v>
                </c:pt>
                <c:pt idx="19">
                  <c:v>146212088.6264714</c:v>
                </c:pt>
                <c:pt idx="20">
                  <c:v>143806446.05898768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45792"/>
        <c:axId val="92947584"/>
      </c:lineChart>
      <c:catAx>
        <c:axId val="92942336"/>
        <c:scaling>
          <c:orientation val="minMax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943872"/>
        <c:crosses val="autoZero"/>
        <c:auto val="1"/>
        <c:lblAlgn val="ctr"/>
        <c:lblOffset val="100"/>
        <c:noMultiLvlLbl val="0"/>
      </c:catAx>
      <c:valAx>
        <c:axId val="92943872"/>
        <c:scaling>
          <c:orientation val="minMax"/>
        </c:scaling>
        <c:delete val="0"/>
        <c:axPos val="l"/>
        <c:minorGridlines/>
        <c:title>
          <c:tx>
            <c:rich>
              <a:bodyPr rot="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1.3056755002398893E-2"/>
              <c:y val="5.1574803149606302E-2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942336"/>
        <c:crosses val="autoZero"/>
        <c:crossBetween val="between"/>
        <c:majorUnit val="200000"/>
      </c:valAx>
      <c:catAx>
        <c:axId val="92945792"/>
        <c:scaling>
          <c:orientation val="minMax"/>
        </c:scaling>
        <c:delete val="1"/>
        <c:axPos val="b"/>
        <c:majorGridlines/>
        <c:numFmt formatCode="General" sourceLinked="1"/>
        <c:majorTickMark val="out"/>
        <c:minorTickMark val="none"/>
        <c:tickLblPos val="none"/>
        <c:crossAx val="92947584"/>
        <c:crosses val="autoZero"/>
        <c:auto val="1"/>
        <c:lblAlgn val="ctr"/>
        <c:lblOffset val="100"/>
        <c:noMultiLvlLbl val="0"/>
      </c:catAx>
      <c:valAx>
        <c:axId val="9294758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US$ CIF</a:t>
                </a:r>
              </a:p>
            </c:rich>
          </c:tx>
          <c:layout>
            <c:manualLayout>
              <c:xMode val="edge"/>
              <c:yMode val="edge"/>
              <c:x val="0.93159709874975249"/>
              <c:y val="4.8200517488505415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945792"/>
        <c:crosses val="max"/>
        <c:crossBetween val="between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7.5431847900732832E-2"/>
          <c:y val="3.5858975074924283E-2"/>
          <c:w val="0.13678614097968939"/>
          <c:h val="0.10836395450568705"/>
        </c:manualLayout>
      </c:layout>
      <c:overlay val="0"/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Volume vs CIF Value of Gasoil Imported from 1994 to 2014</a:t>
            </a:r>
          </a:p>
        </c:rich>
      </c:tx>
      <c:layout>
        <c:manualLayout>
          <c:xMode val="edge"/>
          <c:yMode val="edge"/>
          <c:x val="0.23028673835125449"/>
          <c:y val="2.60047281323877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7228042869899085E-2"/>
          <c:y val="2.665340620276644E-2"/>
          <c:w val="0.9251421474978464"/>
          <c:h val="0.88655739056961358"/>
        </c:manualLayout>
      </c:layout>
      <c:lineChart>
        <c:grouping val="standard"/>
        <c:varyColors val="0"/>
        <c:ser>
          <c:idx val="1"/>
          <c:order val="0"/>
          <c:trendline>
            <c:trendlineType val="linear"/>
            <c:dispRSqr val="0"/>
            <c:dispEq val="0"/>
          </c:trendline>
          <c:cat>
            <c:numRef>
              <c:f>'Total by Product and Year 2'!$B$2:$V$2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2'!$B$5:$V$5</c:f>
              <c:numCache>
                <c:formatCode>#,##0</c:formatCode>
                <c:ptCount val="21"/>
                <c:pt idx="0">
                  <c:v>1124901</c:v>
                </c:pt>
                <c:pt idx="1">
                  <c:v>1490839</c:v>
                </c:pt>
                <c:pt idx="2">
                  <c:v>1689005</c:v>
                </c:pt>
                <c:pt idx="3">
                  <c:v>1887690</c:v>
                </c:pt>
                <c:pt idx="4">
                  <c:v>1821012</c:v>
                </c:pt>
                <c:pt idx="5">
                  <c:v>2148733</c:v>
                </c:pt>
                <c:pt idx="6">
                  <c:v>1946221</c:v>
                </c:pt>
                <c:pt idx="7">
                  <c:v>1930552</c:v>
                </c:pt>
                <c:pt idx="8">
                  <c:v>1902469</c:v>
                </c:pt>
                <c:pt idx="9">
                  <c:v>1791249</c:v>
                </c:pt>
                <c:pt idx="10">
                  <c:v>1927426.9410000001</c:v>
                </c:pt>
                <c:pt idx="11">
                  <c:v>1824077.6604376459</c:v>
                </c:pt>
                <c:pt idx="12">
                  <c:v>1590998</c:v>
                </c:pt>
                <c:pt idx="13">
                  <c:v>1905223</c:v>
                </c:pt>
                <c:pt idx="14">
                  <c:v>1587396</c:v>
                </c:pt>
                <c:pt idx="15">
                  <c:v>1633933.740177989</c:v>
                </c:pt>
                <c:pt idx="16">
                  <c:v>1595449.4368794491</c:v>
                </c:pt>
                <c:pt idx="17">
                  <c:v>1920729.0922847297</c:v>
                </c:pt>
                <c:pt idx="18">
                  <c:v>2084738.0291803186</c:v>
                </c:pt>
                <c:pt idx="19">
                  <c:v>1933954.2675383249</c:v>
                </c:pt>
                <c:pt idx="20">
                  <c:v>2139197.6952825477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1232"/>
        <c:axId val="93072768"/>
      </c:lineChart>
      <c:lineChart>
        <c:grouping val="standard"/>
        <c:varyColors val="0"/>
        <c:ser>
          <c:idx val="2"/>
          <c:order val="1"/>
          <c:trendline>
            <c:trendlineType val="linear"/>
            <c:dispRSqr val="0"/>
            <c:dispEq val="0"/>
          </c:trendline>
          <c:cat>
            <c:numRef>
              <c:f>'Total by Product and Year 2'!$B$2:$T$2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</c:numCache>
            </c:numRef>
          </c:cat>
          <c:val>
            <c:numRef>
              <c:f>'Total by Product and Year 2'!$Y$5:$AS$5</c:f>
              <c:numCache>
                <c:formatCode>#,##0</c:formatCode>
                <c:ptCount val="21"/>
                <c:pt idx="0">
                  <c:v>32719530</c:v>
                </c:pt>
                <c:pt idx="1">
                  <c:v>38303089</c:v>
                </c:pt>
                <c:pt idx="2">
                  <c:v>49360722</c:v>
                </c:pt>
                <c:pt idx="3">
                  <c:v>52069346</c:v>
                </c:pt>
                <c:pt idx="4">
                  <c:v>36340160</c:v>
                </c:pt>
                <c:pt idx="5">
                  <c:v>51810847</c:v>
                </c:pt>
                <c:pt idx="6">
                  <c:v>74659458</c:v>
                </c:pt>
                <c:pt idx="7">
                  <c:v>64436452</c:v>
                </c:pt>
                <c:pt idx="8">
                  <c:v>60924500</c:v>
                </c:pt>
                <c:pt idx="9">
                  <c:v>73310706.140000001</c:v>
                </c:pt>
                <c:pt idx="10">
                  <c:v>99304765.890000001</c:v>
                </c:pt>
                <c:pt idx="11">
                  <c:v>133464813</c:v>
                </c:pt>
                <c:pt idx="12">
                  <c:v>132614385.28</c:v>
                </c:pt>
                <c:pt idx="13">
                  <c:v>167647342</c:v>
                </c:pt>
                <c:pt idx="14">
                  <c:v>199926554.72347972</c:v>
                </c:pt>
                <c:pt idx="15">
                  <c:v>123333560.01961799</c:v>
                </c:pt>
                <c:pt idx="16">
                  <c:v>152402463.03253171</c:v>
                </c:pt>
                <c:pt idx="17">
                  <c:v>250904963.06242034</c:v>
                </c:pt>
                <c:pt idx="18">
                  <c:v>272064707.23012191</c:v>
                </c:pt>
                <c:pt idx="19">
                  <c:v>257640047.88804933</c:v>
                </c:pt>
                <c:pt idx="20">
                  <c:v>260334966.69034052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87232"/>
        <c:axId val="93088768"/>
      </c:lineChart>
      <c:catAx>
        <c:axId val="93071232"/>
        <c:scaling>
          <c:orientation val="minMax"/>
        </c:scaling>
        <c:delete val="0"/>
        <c:axPos val="b"/>
        <c:min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72768"/>
        <c:crosses val="autoZero"/>
        <c:auto val="1"/>
        <c:lblAlgn val="ctr"/>
        <c:lblOffset val="100"/>
        <c:noMultiLvlLbl val="0"/>
      </c:catAx>
      <c:valAx>
        <c:axId val="93072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ctr"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BBLS</a:t>
                </a:r>
              </a:p>
            </c:rich>
          </c:tx>
          <c:layout>
            <c:manualLayout>
              <c:xMode val="edge"/>
              <c:yMode val="edge"/>
              <c:x val="2.8792462770110726E-2"/>
              <c:y val="3.9754472180339201E-2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71232"/>
        <c:crosses val="autoZero"/>
        <c:crossBetween val="between"/>
        <c:majorUnit val="200000"/>
      </c:valAx>
      <c:catAx>
        <c:axId val="930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3088768"/>
        <c:crosses val="autoZero"/>
        <c:auto val="1"/>
        <c:lblAlgn val="ctr"/>
        <c:lblOffset val="100"/>
        <c:noMultiLvlLbl val="0"/>
      </c:catAx>
      <c:valAx>
        <c:axId val="93088768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US$ CIF</a:t>
                </a:r>
              </a:p>
            </c:rich>
          </c:tx>
          <c:layout>
            <c:manualLayout>
              <c:xMode val="edge"/>
              <c:yMode val="edge"/>
              <c:x val="0.93481773111694255"/>
              <c:y val="5.4796076022412335E-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08723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7.5431847900732832E-2"/>
          <c:y val="3.5858975074924283E-2"/>
          <c:w val="0.12010489280237804"/>
          <c:h val="0.10836395450568705"/>
        </c:manualLayout>
      </c:layout>
      <c:overlay val="0"/>
      <c:txPr>
        <a:bodyPr/>
        <a:lstStyle/>
        <a:p>
          <a:pPr>
            <a:defRPr sz="8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Unit CIF  Value of Petroleum Imports </a:t>
            </a:r>
          </a:p>
        </c:rich>
      </c:tx>
      <c:layout>
        <c:manualLayout>
          <c:xMode val="edge"/>
          <c:yMode val="edge"/>
          <c:x val="0.28656605424321957"/>
          <c:y val="2.2471910112359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5448601866214455E-2"/>
          <c:y val="0.13548969608494538"/>
          <c:w val="0.84365415275436173"/>
          <c:h val="0.7255117626988663"/>
        </c:manualLayout>
      </c:layout>
      <c:lineChart>
        <c:grouping val="standard"/>
        <c:varyColors val="0"/>
        <c:ser>
          <c:idx val="0"/>
          <c:order val="0"/>
          <c:tx>
            <c:strRef>
              <c:f>'Total by Product and Year 2'!$AU$4</c:f>
              <c:strCache>
                <c:ptCount val="1"/>
                <c:pt idx="0">
                  <c:v>MOGAS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2'!$AV$4:$BP$4</c:f>
              <c:numCache>
                <c:formatCode>#,##0.00</c:formatCode>
                <c:ptCount val="21"/>
                <c:pt idx="0">
                  <c:v>23.738087925587926</c:v>
                </c:pt>
                <c:pt idx="1">
                  <c:v>25.185345786079608</c:v>
                </c:pt>
                <c:pt idx="2">
                  <c:v>29.79907463444156</c:v>
                </c:pt>
                <c:pt idx="3">
                  <c:v>29.534706182157304</c:v>
                </c:pt>
                <c:pt idx="4">
                  <c:v>22.435861589905382</c:v>
                </c:pt>
                <c:pt idx="5">
                  <c:v>27.091923802699473</c:v>
                </c:pt>
                <c:pt idx="6">
                  <c:v>40.063955114064846</c:v>
                </c:pt>
                <c:pt idx="7">
                  <c:v>36.621276071773053</c:v>
                </c:pt>
                <c:pt idx="8">
                  <c:v>36.02526749961708</c:v>
                </c:pt>
                <c:pt idx="9">
                  <c:v>44.899347540590504</c:v>
                </c:pt>
                <c:pt idx="10">
                  <c:v>55.608594398716036</c:v>
                </c:pt>
                <c:pt idx="11">
                  <c:v>73.697440125143928</c:v>
                </c:pt>
                <c:pt idx="12">
                  <c:v>85.301643074001419</c:v>
                </c:pt>
                <c:pt idx="13">
                  <c:v>92.394085516276789</c:v>
                </c:pt>
                <c:pt idx="14">
                  <c:v>113.55986125799028</c:v>
                </c:pt>
                <c:pt idx="15">
                  <c:v>75.842527242486156</c:v>
                </c:pt>
                <c:pt idx="16">
                  <c:v>97.588130718875348</c:v>
                </c:pt>
                <c:pt idx="17">
                  <c:v>127.54752467519262</c:v>
                </c:pt>
                <c:pt idx="18">
                  <c:v>129.73798137663093</c:v>
                </c:pt>
                <c:pt idx="19">
                  <c:v>131.627597158349</c:v>
                </c:pt>
                <c:pt idx="20">
                  <c:v>122.49204904069288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by Product and Year 2'!$AU$5</c:f>
              <c:strCache>
                <c:ptCount val="1"/>
                <c:pt idx="0">
                  <c:v>GASOIL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2'!$AV$5:$BP$5</c:f>
              <c:numCache>
                <c:formatCode>#,##0.00</c:formatCode>
                <c:ptCount val="21"/>
                <c:pt idx="0">
                  <c:v>29.086586286259859</c:v>
                </c:pt>
                <c:pt idx="1">
                  <c:v>25.692304132102795</c:v>
                </c:pt>
                <c:pt idx="2">
                  <c:v>29.224734089005064</c:v>
                </c:pt>
                <c:pt idx="3">
                  <c:v>27.5836318463307</c:v>
                </c:pt>
                <c:pt idx="4">
                  <c:v>19.956024452337491</c:v>
                </c:pt>
                <c:pt idx="5">
                  <c:v>24.11227779347178</c:v>
                </c:pt>
                <c:pt idx="6">
                  <c:v>38.361243661434131</c:v>
                </c:pt>
                <c:pt idx="7">
                  <c:v>33.377216464513779</c:v>
                </c:pt>
                <c:pt idx="8">
                  <c:v>32.023912084769847</c:v>
                </c:pt>
                <c:pt idx="9">
                  <c:v>40.927144210548057</c:v>
                </c:pt>
                <c:pt idx="10">
                  <c:v>51.521935165271714</c:v>
                </c:pt>
                <c:pt idx="11">
                  <c:v>73.168383065432735</c:v>
                </c:pt>
                <c:pt idx="12">
                  <c:v>83.352955365123023</c:v>
                </c:pt>
                <c:pt idx="13">
                  <c:v>87.993553510533943</c:v>
                </c:pt>
                <c:pt idx="14">
                  <c:v>125.94623819354447</c:v>
                </c:pt>
                <c:pt idx="15">
                  <c:v>75.482595766816658</c:v>
                </c:pt>
                <c:pt idx="16">
                  <c:v>95.523217163570393</c:v>
                </c:pt>
                <c:pt idx="17">
                  <c:v>130.63006338075817</c:v>
                </c:pt>
                <c:pt idx="18">
                  <c:v>130.50306725449474</c:v>
                </c:pt>
                <c:pt idx="19">
                  <c:v>133.21930730864281</c:v>
                </c:pt>
                <c:pt idx="20">
                  <c:v>121.69747904293398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by Product and Year 2'!$AU$6</c:f>
              <c:strCache>
                <c:ptCount val="1"/>
                <c:pt idx="0">
                  <c:v>JET A-1/KERO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2'!$AV$6:$BP$6</c:f>
              <c:numCache>
                <c:formatCode>#,##0.00</c:formatCode>
                <c:ptCount val="21"/>
                <c:pt idx="0">
                  <c:v>25.371983017984888</c:v>
                </c:pt>
                <c:pt idx="1">
                  <c:v>25.667799048799008</c:v>
                </c:pt>
                <c:pt idx="2">
                  <c:v>29.723664423553529</c:v>
                </c:pt>
                <c:pt idx="3">
                  <c:v>28.344166560382778</c:v>
                </c:pt>
                <c:pt idx="4">
                  <c:v>21.112939157802931</c:v>
                </c:pt>
                <c:pt idx="5">
                  <c:v>25.228734923099832</c:v>
                </c:pt>
                <c:pt idx="6">
                  <c:v>40.641989938048312</c:v>
                </c:pt>
                <c:pt idx="7">
                  <c:v>35.981315974487757</c:v>
                </c:pt>
                <c:pt idx="8">
                  <c:v>33.490509624919646</c:v>
                </c:pt>
                <c:pt idx="9">
                  <c:v>39.970922203568421</c:v>
                </c:pt>
                <c:pt idx="10">
                  <c:v>52.088097556245344</c:v>
                </c:pt>
                <c:pt idx="11">
                  <c:v>75.567045550710617</c:v>
                </c:pt>
                <c:pt idx="12">
                  <c:v>86.384983547748647</c:v>
                </c:pt>
                <c:pt idx="13">
                  <c:v>92.116034307974445</c:v>
                </c:pt>
                <c:pt idx="14">
                  <c:v>138.33860160532865</c:v>
                </c:pt>
                <c:pt idx="15">
                  <c:v>74.889659850961209</c:v>
                </c:pt>
                <c:pt idx="16">
                  <c:v>97.402011747244416</c:v>
                </c:pt>
                <c:pt idx="17">
                  <c:v>137.9091349051036</c:v>
                </c:pt>
                <c:pt idx="18">
                  <c:v>144.87142802376505</c:v>
                </c:pt>
                <c:pt idx="19">
                  <c:v>138.51246348116919</c:v>
                </c:pt>
                <c:pt idx="20">
                  <c:v>124.5079465530101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by Product and Year 2'!$AU$7</c:f>
              <c:strCache>
                <c:ptCount val="1"/>
                <c:pt idx="0">
                  <c:v>FUELOIL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2'!$AV$7:$BP$7</c:f>
              <c:numCache>
                <c:formatCode>#,##0.00</c:formatCode>
                <c:ptCount val="21"/>
                <c:pt idx="0">
                  <c:v>15.460864917706282</c:v>
                </c:pt>
                <c:pt idx="1">
                  <c:v>18.782597624191467</c:v>
                </c:pt>
                <c:pt idx="2">
                  <c:v>20.721515515799194</c:v>
                </c:pt>
                <c:pt idx="3">
                  <c:v>21.24195341774632</c:v>
                </c:pt>
                <c:pt idx="4">
                  <c:v>14.806851763772393</c:v>
                </c:pt>
                <c:pt idx="5">
                  <c:v>19.338963998746863</c:v>
                </c:pt>
                <c:pt idx="6">
                  <c:v>27.174656415348124</c:v>
                </c:pt>
                <c:pt idx="7">
                  <c:v>23.48938949041241</c:v>
                </c:pt>
                <c:pt idx="8">
                  <c:v>26.319629418305404</c:v>
                </c:pt>
                <c:pt idx="9">
                  <c:v>29.314248303524344</c:v>
                </c:pt>
                <c:pt idx="10">
                  <c:v>30.080332512496955</c:v>
                </c:pt>
                <c:pt idx="11">
                  <c:v>43.565652603011991</c:v>
                </c:pt>
                <c:pt idx="12">
                  <c:v>54.721176878937797</c:v>
                </c:pt>
                <c:pt idx="13">
                  <c:v>55.307999751071677</c:v>
                </c:pt>
                <c:pt idx="14">
                  <c:v>80.428280817398388</c:v>
                </c:pt>
                <c:pt idx="15">
                  <c:v>62.752758821179107</c:v>
                </c:pt>
                <c:pt idx="16">
                  <c:v>77.467773478737158</c:v>
                </c:pt>
                <c:pt idx="17">
                  <c:v>107.61310409364236</c:v>
                </c:pt>
                <c:pt idx="18">
                  <c:v>108.60980379153179</c:v>
                </c:pt>
                <c:pt idx="19">
                  <c:v>102.27178708807261</c:v>
                </c:pt>
                <c:pt idx="20">
                  <c:v>92.370556702420146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by Product and Year 2'!$AU$8</c:f>
              <c:strCache>
                <c:ptCount val="1"/>
                <c:pt idx="0">
                  <c:v>AVGAS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2'!$AV$8:$BP$8</c:f>
              <c:numCache>
                <c:formatCode>#,##0.00</c:formatCode>
                <c:ptCount val="21"/>
                <c:pt idx="0">
                  <c:v>47.011427024099646</c:v>
                </c:pt>
                <c:pt idx="1">
                  <c:v>45.91858906525573</c:v>
                </c:pt>
                <c:pt idx="2">
                  <c:v>50.613996671630026</c:v>
                </c:pt>
                <c:pt idx="3">
                  <c:v>50.774649308709257</c:v>
                </c:pt>
                <c:pt idx="4">
                  <c:v>34.713246287252069</c:v>
                </c:pt>
                <c:pt idx="5">
                  <c:v>47.942796804701132</c:v>
                </c:pt>
                <c:pt idx="6">
                  <c:v>60.540502895682138</c:v>
                </c:pt>
                <c:pt idx="7">
                  <c:v>58.616931216931214</c:v>
                </c:pt>
                <c:pt idx="8">
                  <c:v>57.106397774687068</c:v>
                </c:pt>
                <c:pt idx="9">
                  <c:v>90.721070641456905</c:v>
                </c:pt>
                <c:pt idx="10">
                  <c:v>100.82090359412577</c:v>
                </c:pt>
                <c:pt idx="11">
                  <c:v>123.16970558202858</c:v>
                </c:pt>
                <c:pt idx="12">
                  <c:v>135.53576037323805</c:v>
                </c:pt>
                <c:pt idx="13">
                  <c:v>176.51453985631201</c:v>
                </c:pt>
                <c:pt idx="14">
                  <c:v>192.25005306728931</c:v>
                </c:pt>
                <c:pt idx="15">
                  <c:v>117.26416666666667</c:v>
                </c:pt>
                <c:pt idx="16">
                  <c:v>186.90004350663477</c:v>
                </c:pt>
                <c:pt idx="17">
                  <c:v>241.07950786791514</c:v>
                </c:pt>
                <c:pt idx="18">
                  <c:v>215.00927132656716</c:v>
                </c:pt>
                <c:pt idx="19">
                  <c:v>212.75574325228132</c:v>
                </c:pt>
                <c:pt idx="20">
                  <c:v>205.81251880499283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by Product and Year 2'!$AU$9</c:f>
              <c:strCache>
                <c:ptCount val="1"/>
                <c:pt idx="0">
                  <c:v>L.P.G</c:v>
                </c:pt>
              </c:strCache>
            </c:strRef>
          </c:tx>
          <c:marker>
            <c:symbol val="none"/>
          </c:marker>
          <c:cat>
            <c:numRef>
              <c:f>'Total by Product and Year 2'!$AV$2:$BP$2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by Product and Year 2'!$AV$9:$BP$9</c:f>
              <c:numCache>
                <c:formatCode>#,##0.00</c:formatCode>
                <c:ptCount val="21"/>
                <c:pt idx="0">
                  <c:v>34.982654188873504</c:v>
                </c:pt>
                <c:pt idx="1">
                  <c:v>39.733603930784021</c:v>
                </c:pt>
                <c:pt idx="2">
                  <c:v>41.608391931902297</c:v>
                </c:pt>
                <c:pt idx="3">
                  <c:v>40.901850855160866</c:v>
                </c:pt>
                <c:pt idx="4">
                  <c:v>34.793519381545039</c:v>
                </c:pt>
                <c:pt idx="5">
                  <c:v>40.542987440191389</c:v>
                </c:pt>
                <c:pt idx="6">
                  <c:v>54.89166258103176</c:v>
                </c:pt>
                <c:pt idx="7">
                  <c:v>44.046741843849532</c:v>
                </c:pt>
                <c:pt idx="8">
                  <c:v>39.232775806387302</c:v>
                </c:pt>
                <c:pt idx="9">
                  <c:v>46.867797964442637</c:v>
                </c:pt>
                <c:pt idx="10">
                  <c:v>54.85974325006741</c:v>
                </c:pt>
                <c:pt idx="11">
                  <c:v>74.172913512482026</c:v>
                </c:pt>
                <c:pt idx="12">
                  <c:v>86.56</c:v>
                </c:pt>
                <c:pt idx="13">
                  <c:v>93.889997432417559</c:v>
                </c:pt>
                <c:pt idx="14">
                  <c:v>96.737247188926418</c:v>
                </c:pt>
                <c:pt idx="15">
                  <c:v>66.421114568895632</c:v>
                </c:pt>
                <c:pt idx="16">
                  <c:v>90.828617822482812</c:v>
                </c:pt>
                <c:pt idx="17">
                  <c:v>87.762030885232562</c:v>
                </c:pt>
                <c:pt idx="18">
                  <c:v>83.429655351573786</c:v>
                </c:pt>
                <c:pt idx="19">
                  <c:v>99.454183004160114</c:v>
                </c:pt>
                <c:pt idx="20">
                  <c:v>98.185005340718064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3344"/>
        <c:axId val="93115136"/>
      </c:lineChart>
      <c:catAx>
        <c:axId val="931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115136"/>
        <c:crosses val="autoZero"/>
        <c:auto val="1"/>
        <c:lblAlgn val="ctr"/>
        <c:lblOffset val="100"/>
        <c:tickLblSkip val="2"/>
        <c:noMultiLvlLbl val="0"/>
      </c:catAx>
      <c:valAx>
        <c:axId val="93115136"/>
        <c:scaling>
          <c:orientation val="minMax"/>
          <c:max val="260"/>
          <c:min val="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1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667594889838019"/>
          <c:y val="0.18551879781847913"/>
          <c:w val="0.14863067836265723"/>
          <c:h val="0.36946552104778918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50" b="1" i="0" u="sng" strike="noStrike" baseline="0">
                <a:solidFill>
                  <a:srgbClr val="000000"/>
                </a:solidFill>
                <a:latin typeface="Bodoni MT"/>
              </a:rPr>
              <a:t>Total Imports  1994 to 2014</a:t>
            </a:r>
          </a:p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50" b="1" i="0" u="sng" strike="noStrike" baseline="0">
                <a:solidFill>
                  <a:srgbClr val="000000"/>
                </a:solidFill>
                <a:latin typeface="Bodoni MT"/>
              </a:rPr>
              <a:t> </a:t>
            </a:r>
          </a:p>
        </c:rich>
      </c:tx>
      <c:layout>
        <c:manualLayout>
          <c:xMode val="edge"/>
          <c:yMode val="edge"/>
          <c:x val="0.32802172334841267"/>
          <c:y val="1.3761139742369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493281743495"/>
          <c:y val="0.14908269526356507"/>
          <c:w val="0.75049926958640378"/>
          <c:h val="0.77523013063516766"/>
        </c:manualLayout>
      </c:layout>
      <c:lineChart>
        <c:grouping val="standard"/>
        <c:varyColors val="0"/>
        <c:ser>
          <c:idx val="0"/>
          <c:order val="0"/>
          <c:tx>
            <c:strRef>
              <c:f>'Total Imports'!$D$4:$E$4</c:f>
              <c:strCache>
                <c:ptCount val="1"/>
                <c:pt idx="0">
                  <c:v>VOLUME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'Total Imports'!$C$6:$C$26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'Total Imports'!$D$6:$D$26</c:f>
              <c:numCache>
                <c:formatCode>#,##0</c:formatCode>
                <c:ptCount val="21"/>
                <c:pt idx="0">
                  <c:v>3095728</c:v>
                </c:pt>
                <c:pt idx="1">
                  <c:v>3624053</c:v>
                </c:pt>
                <c:pt idx="2">
                  <c:v>3711893</c:v>
                </c:pt>
                <c:pt idx="3">
                  <c:v>4093677</c:v>
                </c:pt>
                <c:pt idx="4">
                  <c:v>4125765</c:v>
                </c:pt>
                <c:pt idx="5">
                  <c:v>4137266</c:v>
                </c:pt>
                <c:pt idx="6">
                  <c:v>3924614</c:v>
                </c:pt>
                <c:pt idx="7">
                  <c:v>3834651</c:v>
                </c:pt>
                <c:pt idx="8">
                  <c:v>3865505</c:v>
                </c:pt>
                <c:pt idx="9">
                  <c:v>3980199</c:v>
                </c:pt>
                <c:pt idx="10">
                  <c:v>3901760</c:v>
                </c:pt>
                <c:pt idx="11">
                  <c:v>3546069</c:v>
                </c:pt>
                <c:pt idx="12" formatCode="_(* #,##0_);_(* \(#,##0\);_(* &quot;-&quot;??_);_(@_)">
                  <c:v>3179925</c:v>
                </c:pt>
                <c:pt idx="13" formatCode="_(* #,##0_);_(* \(#,##0\);_(* &quot;-&quot;??_);_(@_)">
                  <c:v>3910234</c:v>
                </c:pt>
                <c:pt idx="14" formatCode="_(* #,##0_);_(* \(#,##0\);_(* &quot;-&quot;??_);_(@_)">
                  <c:v>3660583</c:v>
                </c:pt>
                <c:pt idx="15" formatCode="_(* #,##0_);_(* \(#,##0\);_(* &quot;-&quot;??_);_(@_)">
                  <c:v>3924722.740177989</c:v>
                </c:pt>
                <c:pt idx="16" formatCode="_(* #,##0_);_(* \(#,##0\);_(* &quot;-&quot;??_);_(@_)">
                  <c:v>4137931.2568794489</c:v>
                </c:pt>
                <c:pt idx="17" formatCode="_(* #,##0_);_(* \(#,##0\);_(* &quot;-&quot;??_);_(@_)">
                  <c:v>4341345.28276092</c:v>
                </c:pt>
                <c:pt idx="18" formatCode="_(* #,##0_);_(* \(#,##0\);_(* &quot;-&quot;??_);_(@_)">
                  <c:v>4867748.2446845034</c:v>
                </c:pt>
                <c:pt idx="19" formatCode="_(* #,##0_);_(* \(#,##0\);_(* &quot;-&quot;??_);_(@_)">
                  <c:v>4726150.2981063472</c:v>
                </c:pt>
                <c:pt idx="20" formatCode="_(* #,##0_);_(* \(#,##0\);_(* &quot;-&quot;??_);_(@_)">
                  <c:v>4938855.2512896955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4000"/>
        <c:axId val="83905920"/>
      </c:lineChart>
      <c:lineChart>
        <c:grouping val="standard"/>
        <c:varyColors val="0"/>
        <c:ser>
          <c:idx val="1"/>
          <c:order val="1"/>
          <c:tx>
            <c:strRef>
              <c:f>'Total Imports'!$F$4</c:f>
              <c:strCache>
                <c:ptCount val="1"/>
                <c:pt idx="0">
                  <c:v>CIF VALUE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'Total Imports'!$C$6:$C$25</c:f>
              <c:numCache>
                <c:formatCode>General</c:formatCode>
                <c:ptCount val="2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</c:numCache>
            </c:numRef>
          </c:cat>
          <c:val>
            <c:numRef>
              <c:f>'Total Imports'!$F$6:$F$26</c:f>
              <c:numCache>
                <c:formatCode>#,##0</c:formatCode>
                <c:ptCount val="21"/>
                <c:pt idx="0">
                  <c:v>72067911.739999995</c:v>
                </c:pt>
                <c:pt idx="1">
                  <c:v>85161130</c:v>
                </c:pt>
                <c:pt idx="2">
                  <c:v>100696609</c:v>
                </c:pt>
                <c:pt idx="3">
                  <c:v>107727233</c:v>
                </c:pt>
                <c:pt idx="4">
                  <c:v>78539499</c:v>
                </c:pt>
                <c:pt idx="5">
                  <c:v>99704391</c:v>
                </c:pt>
                <c:pt idx="6">
                  <c:v>143277974</c:v>
                </c:pt>
                <c:pt idx="7">
                  <c:v>123373521</c:v>
                </c:pt>
                <c:pt idx="8">
                  <c:v>122643684</c:v>
                </c:pt>
                <c:pt idx="9">
                  <c:v>153193965.63999999</c:v>
                </c:pt>
                <c:pt idx="10">
                  <c:v>185702255.28999999</c:v>
                </c:pt>
                <c:pt idx="11">
                  <c:v>240663147</c:v>
                </c:pt>
                <c:pt idx="12" formatCode="_(* #,##0_);_(* \(#,##0\);_(* &quot;-&quot;??_);_(@_)">
                  <c:v>251594083</c:v>
                </c:pt>
                <c:pt idx="13" formatCode="_(* #,##0_);_(* \(#,##0\);_(* &quot;-&quot;??_);_(@_)">
                  <c:v>319122553.60357141</c:v>
                </c:pt>
                <c:pt idx="14" formatCode="_(* #,##0_);_(* \(#,##0\);_(* &quot;-&quot;??_);_(@_)">
                  <c:v>405960935.74627972</c:v>
                </c:pt>
                <c:pt idx="15" formatCode="_(* #,##0_);_(* \(#,##0\);_(* &quot;-&quot;??_);_(@_)">
                  <c:v>282909992.98791796</c:v>
                </c:pt>
                <c:pt idx="16" formatCode="_(* #,##0_);_(* \(#,##0\);_(* &quot;-&quot;??_);_(@_)">
                  <c:v>375951700.18973172</c:v>
                </c:pt>
                <c:pt idx="17" formatCode="_(* #,##0_);_(* \(#,##0\);_(* &quot;-&quot;??_);_(@_)">
                  <c:v>534982445.88344431</c:v>
                </c:pt>
                <c:pt idx="18" formatCode="_(* #,##0_);_(* \(#,##0\);_(* &quot;-&quot;??_);_(@_)">
                  <c:v>604000602.41087043</c:v>
                </c:pt>
                <c:pt idx="19" formatCode="_(* #,##0_);_(* \(#,##0\);_(* &quot;-&quot;??_);_(@_)">
                  <c:v>582281795.38170362</c:v>
                </c:pt>
                <c:pt idx="20" formatCode="_(* #,##0_);_(* \(#,##0\);_(* &quot;-&quot;??_);_(@_)">
                  <c:v>561608234.50000012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2192"/>
        <c:axId val="83913728"/>
      </c:lineChart>
      <c:catAx>
        <c:axId val="839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05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3905920"/>
        <c:scaling>
          <c:orientation val="minMax"/>
          <c:max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BBLS</a:t>
                </a:r>
              </a:p>
            </c:rich>
          </c:tx>
          <c:layout>
            <c:manualLayout>
              <c:xMode val="edge"/>
              <c:yMode val="edge"/>
              <c:x val="4.5204969319679281E-2"/>
              <c:y val="8.932549892172365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04000"/>
        <c:crosses val="autoZero"/>
        <c:crossBetween val="between"/>
        <c:majorUnit val="500000"/>
      </c:valAx>
      <c:catAx>
        <c:axId val="8391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3913728"/>
        <c:crosses val="autoZero"/>
        <c:auto val="1"/>
        <c:lblAlgn val="ctr"/>
        <c:lblOffset val="100"/>
        <c:noMultiLvlLbl val="0"/>
      </c:catAx>
      <c:valAx>
        <c:axId val="83913728"/>
        <c:scaling>
          <c:orientation val="minMax"/>
          <c:max val="65000000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50"/>
                  <a:t>US$</a:t>
                </a:r>
              </a:p>
            </c:rich>
          </c:tx>
          <c:layout>
            <c:manualLayout>
              <c:xMode val="edge"/>
              <c:yMode val="edge"/>
              <c:x val="0.89135737467009712"/>
              <c:y val="8.910241495090925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12192"/>
        <c:crosses val="max"/>
        <c:crossBetween val="between"/>
        <c:majorUnit val="50000000"/>
        <c:minorUnit val="1000000"/>
      </c:valAx>
      <c:spPr>
        <a:solidFill>
          <a:srgbClr val="4F81BD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3212389230436827"/>
          <c:y val="0.67442879906982911"/>
          <c:w val="0.17427823264244541"/>
          <c:h val="0.10482938872538074"/>
        </c:manualLayout>
      </c:layout>
      <c:overlay val="0"/>
      <c:spPr>
        <a:solidFill>
          <a:schemeClr val="accent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Average Retail Prices By Product</a:t>
            </a:r>
          </a:p>
        </c:rich>
      </c:tx>
      <c:layout>
        <c:manualLayout>
          <c:xMode val="edge"/>
          <c:yMode val="edge"/>
          <c:x val="0.37757247010790462"/>
          <c:y val="1.535087719298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56448493766303"/>
          <c:y val="0.10196627309080783"/>
          <c:w val="0.87777262997112326"/>
          <c:h val="0.77416705747836168"/>
        </c:manualLayout>
      </c:layout>
      <c:lineChart>
        <c:grouping val="standard"/>
        <c:varyColors val="0"/>
        <c:ser>
          <c:idx val="0"/>
          <c:order val="0"/>
          <c:tx>
            <c:strRef>
              <c:f>'Prices RT &amp; WS (UK Gal)'!$A$7</c:f>
              <c:strCache>
                <c:ptCount val="1"/>
                <c:pt idx="0">
                  <c:v>KERO</c:v>
                </c:pt>
              </c:strCache>
            </c:strRef>
          </c:tx>
          <c:cat>
            <c:numRef>
              <c:f>'Prices RT &amp; WS (UK Gal)'!$B$4:$V$4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(UK Gal)'!$B$7:$V$7</c:f>
              <c:numCache>
                <c:formatCode>_(* #,##0.00_);_(* \(#,##0.00\);_(* "-"??_);_(@_)</c:formatCode>
                <c:ptCount val="21"/>
                <c:pt idx="0">
                  <c:v>32.278926528816541</c:v>
                </c:pt>
                <c:pt idx="1">
                  <c:v>32.978442586889571</c:v>
                </c:pt>
                <c:pt idx="2">
                  <c:v>37.615486141662998</c:v>
                </c:pt>
                <c:pt idx="3">
                  <c:v>34.975802903651562</c:v>
                </c:pt>
                <c:pt idx="4">
                  <c:v>32.958644962604488</c:v>
                </c:pt>
                <c:pt idx="5">
                  <c:v>39.595248570171577</c:v>
                </c:pt>
                <c:pt idx="6">
                  <c:v>59.392872855257366</c:v>
                </c:pt>
                <c:pt idx="7">
                  <c:v>62.032556093268802</c:v>
                </c:pt>
                <c:pt idx="8">
                  <c:v>55.3233611966564</c:v>
                </c:pt>
                <c:pt idx="9">
                  <c:v>67.091948966124065</c:v>
                </c:pt>
                <c:pt idx="10">
                  <c:v>80.750109986801576</c:v>
                </c:pt>
                <c:pt idx="11">
                  <c:v>117.03695556533215</c:v>
                </c:pt>
                <c:pt idx="12">
                  <c:v>128.54817421909371</c:v>
                </c:pt>
                <c:pt idx="13">
                  <c:v>136.847778266608</c:v>
                </c:pt>
                <c:pt idx="14">
                  <c:v>211.21205455345356</c:v>
                </c:pt>
                <c:pt idx="15">
                  <c:v>134.37527496700395</c:v>
                </c:pt>
                <c:pt idx="16">
                  <c:v>140.67311922569291</c:v>
                </c:pt>
                <c:pt idx="17">
                  <c:v>188.76154861416629</c:v>
                </c:pt>
                <c:pt idx="18">
                  <c:v>199.47646282446107</c:v>
                </c:pt>
                <c:pt idx="19">
                  <c:v>202.49808429118787</c:v>
                </c:pt>
                <c:pt idx="20">
                  <c:v>202.66666666666666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'Prices RT &amp; WS (UK Gal)'!$A$5</c:f>
              <c:strCache>
                <c:ptCount val="1"/>
                <c:pt idx="0">
                  <c:v>MOGAS</c:v>
                </c:pt>
              </c:strCache>
            </c:strRef>
          </c:tx>
          <c:cat>
            <c:numRef>
              <c:f>'Prices RT &amp; WS (UK Gal)'!$B$4:$V$4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(UK Gal)'!$B$5:$V$5</c:f>
              <c:numCache>
                <c:formatCode>_(* #,##0.00_);_(* \(#,##0.00\);_(* "-"??_);_(@_)</c:formatCode>
                <c:ptCount val="21"/>
                <c:pt idx="0">
                  <c:v>42.853057633084028</c:v>
                </c:pt>
                <c:pt idx="1">
                  <c:v>48.369995600527929</c:v>
                </c:pt>
                <c:pt idx="2">
                  <c:v>55.103387593488776</c:v>
                </c:pt>
                <c:pt idx="3">
                  <c:v>52.90365156181258</c:v>
                </c:pt>
                <c:pt idx="4">
                  <c:v>45.525736911570611</c:v>
                </c:pt>
                <c:pt idx="5">
                  <c:v>59.392872855257366</c:v>
                </c:pt>
                <c:pt idx="6">
                  <c:v>80.290365156181252</c:v>
                </c:pt>
                <c:pt idx="7">
                  <c:v>79.410470743510771</c:v>
                </c:pt>
                <c:pt idx="8">
                  <c:v>87.421909370875497</c:v>
                </c:pt>
                <c:pt idx="9">
                  <c:v>100.74791025076991</c:v>
                </c:pt>
                <c:pt idx="10">
                  <c:v>122.89045314562252</c:v>
                </c:pt>
                <c:pt idx="11">
                  <c:v>155.96348438187417</c:v>
                </c:pt>
                <c:pt idx="12">
                  <c:v>173.76594808622966</c:v>
                </c:pt>
                <c:pt idx="13">
                  <c:v>174.35547734271887</c:v>
                </c:pt>
                <c:pt idx="14">
                  <c:v>209.1948966124065</c:v>
                </c:pt>
                <c:pt idx="15">
                  <c:v>152.57149142102946</c:v>
                </c:pt>
                <c:pt idx="16">
                  <c:v>188.47118345798503</c:v>
                </c:pt>
                <c:pt idx="17">
                  <c:v>221.98636163660359</c:v>
                </c:pt>
                <c:pt idx="18">
                  <c:v>221.77298724153098</c:v>
                </c:pt>
                <c:pt idx="19">
                  <c:v>228.93742017879893</c:v>
                </c:pt>
                <c:pt idx="20">
                  <c:v>226.85304798962233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'Prices RT &amp; WS (UK Gal)'!$A$6</c:f>
              <c:strCache>
                <c:ptCount val="1"/>
                <c:pt idx="0">
                  <c:v>GASOIL</c:v>
                </c:pt>
              </c:strCache>
            </c:strRef>
          </c:tx>
          <c:cat>
            <c:numRef>
              <c:f>'Prices RT &amp; WS (UK Gal)'!$B$4:$V$4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(UK Gal)'!$B$6:$V$6</c:f>
              <c:numCache>
                <c:formatCode>_(* #,##0.00_);_(* \(#,##0.00\);_(* "-"??_);_(@_)</c:formatCode>
                <c:ptCount val="21"/>
                <c:pt idx="0">
                  <c:v>43.567971843378793</c:v>
                </c:pt>
                <c:pt idx="1">
                  <c:v>45.103387593488776</c:v>
                </c:pt>
                <c:pt idx="2">
                  <c:v>53.453585569731629</c:v>
                </c:pt>
                <c:pt idx="3">
                  <c:v>48.17421909370875</c:v>
                </c:pt>
                <c:pt idx="4">
                  <c:v>44.104707435107784</c:v>
                </c:pt>
                <c:pt idx="5">
                  <c:v>53.453585569731629</c:v>
                </c:pt>
                <c:pt idx="6">
                  <c:v>74.131104267487899</c:v>
                </c:pt>
                <c:pt idx="7">
                  <c:v>71.051473823141222</c:v>
                </c:pt>
                <c:pt idx="8">
                  <c:v>70.62912450505938</c:v>
                </c:pt>
                <c:pt idx="9">
                  <c:v>81.39023317201935</c:v>
                </c:pt>
                <c:pt idx="10">
                  <c:v>101.92036955565331</c:v>
                </c:pt>
                <c:pt idx="11">
                  <c:v>134.31588209414869</c:v>
                </c:pt>
                <c:pt idx="12">
                  <c:v>140.85789705235371</c:v>
                </c:pt>
                <c:pt idx="13">
                  <c:v>159.66344038715354</c:v>
                </c:pt>
                <c:pt idx="14">
                  <c:v>217.6132864056313</c:v>
                </c:pt>
                <c:pt idx="15">
                  <c:v>156.67399912010558</c:v>
                </c:pt>
                <c:pt idx="16">
                  <c:v>175.56973163220411</c:v>
                </c:pt>
                <c:pt idx="17">
                  <c:v>214.55345358556971</c:v>
                </c:pt>
                <c:pt idx="18">
                  <c:v>217.66608007039153</c:v>
                </c:pt>
                <c:pt idx="19">
                  <c:v>221.80727969348655</c:v>
                </c:pt>
                <c:pt idx="20">
                  <c:v>219.85110246433212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6304"/>
        <c:axId val="93267840"/>
      </c:lineChart>
      <c:catAx>
        <c:axId val="932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67840"/>
        <c:crosses val="autoZero"/>
        <c:auto val="1"/>
        <c:lblAlgn val="ctr"/>
        <c:lblOffset val="100"/>
        <c:noMultiLvlLbl val="0"/>
      </c:catAx>
      <c:valAx>
        <c:axId val="93267840"/>
        <c:scaling>
          <c:orientation val="minMax"/>
          <c:max val="25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G$/Litre</a:t>
                </a:r>
              </a:p>
            </c:rich>
          </c:tx>
          <c:layout>
            <c:manualLayout>
              <c:xMode val="edge"/>
              <c:yMode val="edge"/>
              <c:x val="1.3429900200780796E-2"/>
              <c:y val="0.3894068156486213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66304"/>
        <c:crosses val="autoZero"/>
        <c:crossBetween val="between"/>
        <c:majorUnit val="50"/>
        <c:minorUnit val="10"/>
      </c:valAx>
      <c:spPr>
        <a:solidFill>
          <a:schemeClr val="bg1">
            <a:lumMod val="75000"/>
          </a:schemeClr>
        </a:solidFill>
      </c:spPr>
    </c:plotArea>
    <c:legend>
      <c:legendPos val="r"/>
      <c:layout>
        <c:manualLayout>
          <c:xMode val="edge"/>
          <c:yMode val="edge"/>
          <c:x val="0.13884702334443041"/>
          <c:y val="0.13444557314472771"/>
          <c:w val="0.11100186737906589"/>
          <c:h val="0.24582980108665262"/>
        </c:manualLayout>
      </c:layout>
      <c:overlay val="0"/>
      <c:spPr>
        <a:solidFill>
          <a:schemeClr val="bg1">
            <a:lumMod val="50000"/>
          </a:scheme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/>
              <a:t>LPG: Average Retail Prices </a:t>
            </a:r>
          </a:p>
        </c:rich>
      </c:tx>
      <c:layout>
        <c:manualLayout>
          <c:xMode val="edge"/>
          <c:yMode val="edge"/>
          <c:x val="0.37757247010790462"/>
          <c:y val="1.535087719298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240278240533"/>
          <c:y val="0.10752626505222365"/>
          <c:w val="0.87777262997112326"/>
          <c:h val="0.77416705747836168"/>
        </c:manualLayout>
      </c:layout>
      <c:lineChart>
        <c:grouping val="standard"/>
        <c:varyColors val="0"/>
        <c:ser>
          <c:idx val="0"/>
          <c:order val="0"/>
          <c:tx>
            <c:strRef>
              <c:f>'Prices RT &amp; WS (UK Gal)'!$A$8</c:f>
              <c:strCache>
                <c:ptCount val="1"/>
                <c:pt idx="0">
                  <c:v>*LPG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'Prices RT &amp; WS (UK Gal)'!$B$4:$V$4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(UK Gal)'!$B$8:$V$8</c:f>
              <c:numCache>
                <c:formatCode>_(* #,##0.00_);_(* \(#,##0.00\);_(* "-"??_);_(@_)</c:formatCode>
                <c:ptCount val="21"/>
                <c:pt idx="0">
                  <c:v>825</c:v>
                </c:pt>
                <c:pt idx="1">
                  <c:v>1000</c:v>
                </c:pt>
                <c:pt idx="2">
                  <c:v>1087</c:v>
                </c:pt>
                <c:pt idx="3">
                  <c:v>1239</c:v>
                </c:pt>
                <c:pt idx="4">
                  <c:v>1200</c:v>
                </c:pt>
                <c:pt idx="5">
                  <c:v>1379</c:v>
                </c:pt>
                <c:pt idx="6">
                  <c:v>1715</c:v>
                </c:pt>
                <c:pt idx="7">
                  <c:v>1802</c:v>
                </c:pt>
                <c:pt idx="8">
                  <c:v>1559</c:v>
                </c:pt>
                <c:pt idx="9">
                  <c:v>1932.67</c:v>
                </c:pt>
                <c:pt idx="10">
                  <c:v>2112</c:v>
                </c:pt>
                <c:pt idx="11">
                  <c:v>2210.83</c:v>
                </c:pt>
                <c:pt idx="12">
                  <c:v>2715</c:v>
                </c:pt>
                <c:pt idx="13">
                  <c:v>2779.75</c:v>
                </c:pt>
                <c:pt idx="14">
                  <c:v>3326.22</c:v>
                </c:pt>
                <c:pt idx="15">
                  <c:v>2922.5</c:v>
                </c:pt>
                <c:pt idx="16">
                  <c:v>3100</c:v>
                </c:pt>
                <c:pt idx="17">
                  <c:v>3583.14</c:v>
                </c:pt>
                <c:pt idx="18">
                  <c:v>3419.85</c:v>
                </c:pt>
                <c:pt idx="19">
                  <c:v>3537.2</c:v>
                </c:pt>
                <c:pt idx="20">
                  <c:v>3649.2245989304811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99072"/>
        <c:axId val="93300992"/>
      </c:lineChart>
      <c:catAx>
        <c:axId val="932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00992"/>
        <c:crosses val="autoZero"/>
        <c:auto val="1"/>
        <c:lblAlgn val="ctr"/>
        <c:lblOffset val="100"/>
        <c:noMultiLvlLbl val="0"/>
      </c:catAx>
      <c:valAx>
        <c:axId val="933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G$/20lb.</a:t>
                </a:r>
                <a:r>
                  <a:rPr lang="en-US" sz="1600" baseline="0"/>
                  <a:t> Tank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7108431291575632E-3"/>
              <c:y val="0.2420694821063175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99072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Retail Prices By Product</a:t>
            </a:r>
          </a:p>
        </c:rich>
      </c:tx>
      <c:layout>
        <c:manualLayout>
          <c:xMode val="edge"/>
          <c:yMode val="edge"/>
          <c:x val="0.37757247010790462"/>
          <c:y val="1.535087719298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738777861847"/>
          <c:y val="0.10594769531014732"/>
          <c:w val="0.83336187450635812"/>
          <c:h val="0.77656495788679869"/>
        </c:manualLayout>
      </c:layout>
      <c:lineChart>
        <c:grouping val="standard"/>
        <c:varyColors val="0"/>
        <c:ser>
          <c:idx val="1"/>
          <c:order val="0"/>
          <c:tx>
            <c:strRef>
              <c:f>'Prices RT &amp; WS (Ltr)'!$A$7</c:f>
              <c:strCache>
                <c:ptCount val="1"/>
                <c:pt idx="0">
                  <c:v>KERO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'Prices RT &amp; WS (Ltr)'!$B$4:$V$4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(Ltr)'!$B$7:$V$7</c:f>
              <c:numCache>
                <c:formatCode>#,##0.00</c:formatCode>
                <c:ptCount val="21"/>
                <c:pt idx="0">
                  <c:v>146.74</c:v>
                </c:pt>
                <c:pt idx="1">
                  <c:v>149.91999999999999</c:v>
                </c:pt>
                <c:pt idx="2">
                  <c:v>171</c:v>
                </c:pt>
                <c:pt idx="3">
                  <c:v>159</c:v>
                </c:pt>
                <c:pt idx="4">
                  <c:v>149.83000000000001</c:v>
                </c:pt>
                <c:pt idx="5">
                  <c:v>180</c:v>
                </c:pt>
                <c:pt idx="6">
                  <c:v>270</c:v>
                </c:pt>
                <c:pt idx="7">
                  <c:v>282</c:v>
                </c:pt>
                <c:pt idx="8">
                  <c:v>251.5</c:v>
                </c:pt>
                <c:pt idx="9">
                  <c:v>305</c:v>
                </c:pt>
                <c:pt idx="10">
                  <c:v>367.09</c:v>
                </c:pt>
                <c:pt idx="11" formatCode="General">
                  <c:v>532.04999999999995</c:v>
                </c:pt>
                <c:pt idx="12" formatCode="General">
                  <c:v>584.38</c:v>
                </c:pt>
                <c:pt idx="13" formatCode="General">
                  <c:v>622.11</c:v>
                </c:pt>
                <c:pt idx="14" formatCode="General">
                  <c:v>960.17</c:v>
                </c:pt>
                <c:pt idx="15" formatCode="General">
                  <c:v>610.87</c:v>
                </c:pt>
                <c:pt idx="16" formatCode="0.00">
                  <c:v>639.5</c:v>
                </c:pt>
                <c:pt idx="17" formatCode="0.00">
                  <c:v>853.04</c:v>
                </c:pt>
                <c:pt idx="18" formatCode="0.00">
                  <c:v>906.82</c:v>
                </c:pt>
                <c:pt idx="19" formatCode="0.00">
                  <c:v>920.55629118774004</c:v>
                </c:pt>
                <c:pt idx="20" formatCode="0.00">
                  <c:v>921.32266666666669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'Prices RT &amp; WS (Ltr)'!$A$5</c:f>
              <c:strCache>
                <c:ptCount val="1"/>
                <c:pt idx="0">
                  <c:v>MOGAS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'Prices RT &amp; WS (Ltr)'!$B$4:$V$4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(Ltr)'!$B$5:$V$5</c:f>
              <c:numCache>
                <c:formatCode>#,##0.00</c:formatCode>
                <c:ptCount val="21"/>
                <c:pt idx="0">
                  <c:v>194.81</c:v>
                </c:pt>
                <c:pt idx="1">
                  <c:v>219.89</c:v>
                </c:pt>
                <c:pt idx="2">
                  <c:v>250.5</c:v>
                </c:pt>
                <c:pt idx="3">
                  <c:v>240.5</c:v>
                </c:pt>
                <c:pt idx="4">
                  <c:v>206.96</c:v>
                </c:pt>
                <c:pt idx="5">
                  <c:v>270</c:v>
                </c:pt>
                <c:pt idx="6">
                  <c:v>365</c:v>
                </c:pt>
                <c:pt idx="7">
                  <c:v>361</c:v>
                </c:pt>
                <c:pt idx="8">
                  <c:v>397.42</c:v>
                </c:pt>
                <c:pt idx="9">
                  <c:v>458</c:v>
                </c:pt>
                <c:pt idx="10">
                  <c:v>558.66</c:v>
                </c:pt>
                <c:pt idx="11" formatCode="General">
                  <c:v>709.01</c:v>
                </c:pt>
                <c:pt idx="12" formatCode="General">
                  <c:v>789.94</c:v>
                </c:pt>
                <c:pt idx="13" formatCode="General">
                  <c:v>792.62</c:v>
                </c:pt>
                <c:pt idx="14" formatCode="0.00">
                  <c:v>951</c:v>
                </c:pt>
                <c:pt idx="15" formatCode="0.00">
                  <c:v>693.59</c:v>
                </c:pt>
                <c:pt idx="16" formatCode="0.00">
                  <c:v>856.79</c:v>
                </c:pt>
                <c:pt idx="17" formatCode="0.00">
                  <c:v>1004.94</c:v>
                </c:pt>
                <c:pt idx="18" formatCode="0.00">
                  <c:v>1008.18</c:v>
                </c:pt>
                <c:pt idx="19" formatCode="0.00">
                  <c:v>1040.74951213282</c:v>
                </c:pt>
                <c:pt idx="20" formatCode="0.00">
                  <c:v>1031.2739561608232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'Prices RT &amp; WS (Ltr)'!$A$6</c:f>
              <c:strCache>
                <c:ptCount val="1"/>
                <c:pt idx="0">
                  <c:v>GASOIL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'Prices RT &amp; WS (Ltr)'!$B$4:$V$4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(Ltr)'!$B$6:$V$6</c:f>
              <c:numCache>
                <c:formatCode>#,##0.00</c:formatCode>
                <c:ptCount val="21"/>
                <c:pt idx="0">
                  <c:v>198.06</c:v>
                </c:pt>
                <c:pt idx="1">
                  <c:v>205.04</c:v>
                </c:pt>
                <c:pt idx="2">
                  <c:v>243</c:v>
                </c:pt>
                <c:pt idx="3">
                  <c:v>219</c:v>
                </c:pt>
                <c:pt idx="4">
                  <c:v>200.5</c:v>
                </c:pt>
                <c:pt idx="5">
                  <c:v>243</c:v>
                </c:pt>
                <c:pt idx="6">
                  <c:v>337</c:v>
                </c:pt>
                <c:pt idx="7">
                  <c:v>323</c:v>
                </c:pt>
                <c:pt idx="8">
                  <c:v>321.08</c:v>
                </c:pt>
                <c:pt idx="9">
                  <c:v>370</c:v>
                </c:pt>
                <c:pt idx="10">
                  <c:v>463.33</c:v>
                </c:pt>
                <c:pt idx="11" formatCode="General">
                  <c:v>610.6</c:v>
                </c:pt>
                <c:pt idx="12" formatCode="General">
                  <c:v>640.34</c:v>
                </c:pt>
                <c:pt idx="13" formatCode="General">
                  <c:v>725.83</c:v>
                </c:pt>
                <c:pt idx="14" formatCode="General">
                  <c:v>989.27</c:v>
                </c:pt>
                <c:pt idx="15" formatCode="General">
                  <c:v>712.24</c:v>
                </c:pt>
                <c:pt idx="16" formatCode="0.00">
                  <c:v>798.14</c:v>
                </c:pt>
                <c:pt idx="17" formatCode="0.00">
                  <c:v>970.79</c:v>
                </c:pt>
                <c:pt idx="18" formatCode="0.00">
                  <c:v>989.51</c:v>
                </c:pt>
                <c:pt idx="19" formatCode="0.00">
                  <c:v>1008.33589348659</c:v>
                </c:pt>
                <c:pt idx="20" formatCode="0.00">
                  <c:v>999.44311180285388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'Prices RT &amp; WS (Ltr)'!$A$8</c:f>
              <c:strCache>
                <c:ptCount val="1"/>
                <c:pt idx="0">
                  <c:v>*LPG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FFFF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/>
            </c:spPr>
          </c:marker>
          <c:cat>
            <c:numRef>
              <c:f>'Prices RT &amp; WS (Ltr)'!$B$4:$V$4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'Prices RT &amp; WS (Ltr)'!$B$8:$V$8</c:f>
              <c:numCache>
                <c:formatCode>#,##0.00</c:formatCode>
                <c:ptCount val="21"/>
                <c:pt idx="0">
                  <c:v>825</c:v>
                </c:pt>
                <c:pt idx="1">
                  <c:v>1000</c:v>
                </c:pt>
                <c:pt idx="2">
                  <c:v>1087</c:v>
                </c:pt>
                <c:pt idx="3">
                  <c:v>1239</c:v>
                </c:pt>
                <c:pt idx="4">
                  <c:v>1200</c:v>
                </c:pt>
                <c:pt idx="5">
                  <c:v>1379</c:v>
                </c:pt>
                <c:pt idx="6">
                  <c:v>1715</c:v>
                </c:pt>
                <c:pt idx="7">
                  <c:v>1802</c:v>
                </c:pt>
                <c:pt idx="8">
                  <c:v>1559</c:v>
                </c:pt>
                <c:pt idx="9">
                  <c:v>1932.67</c:v>
                </c:pt>
                <c:pt idx="10">
                  <c:v>2112</c:v>
                </c:pt>
                <c:pt idx="11">
                  <c:v>2210.83</c:v>
                </c:pt>
                <c:pt idx="12">
                  <c:v>2715</c:v>
                </c:pt>
                <c:pt idx="13">
                  <c:v>2779.75</c:v>
                </c:pt>
                <c:pt idx="14">
                  <c:v>3326.22</c:v>
                </c:pt>
                <c:pt idx="15">
                  <c:v>2922.5</c:v>
                </c:pt>
                <c:pt idx="16">
                  <c:v>3100</c:v>
                </c:pt>
                <c:pt idx="17">
                  <c:v>3583.14</c:v>
                </c:pt>
                <c:pt idx="18">
                  <c:v>3419.85</c:v>
                </c:pt>
                <c:pt idx="19">
                  <c:v>3537.2</c:v>
                </c:pt>
                <c:pt idx="20">
                  <c:v>3649.2245989304811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46816"/>
        <c:axId val="93348992"/>
      </c:lineChart>
      <c:catAx>
        <c:axId val="933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34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G$/Gal</a:t>
                </a:r>
              </a:p>
            </c:rich>
          </c:tx>
          <c:layout>
            <c:manualLayout>
              <c:xMode val="edge"/>
              <c:yMode val="edge"/>
              <c:x val="1.7514237023732625E-2"/>
              <c:y val="0.396930805373323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46816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legend>
      <c:legendPos val="r"/>
      <c:layout>
        <c:manualLayout>
          <c:xMode val="edge"/>
          <c:yMode val="edge"/>
          <c:x val="0.16002433029204691"/>
          <c:y val="0.21271998894874991"/>
          <c:w val="0.10831046119235076"/>
          <c:h val="0.18011695906432787"/>
        </c:manualLayout>
      </c:layout>
      <c:overlay val="0"/>
      <c:spPr>
        <a:solidFill>
          <a:schemeClr val="bg1">
            <a:lumMod val="50000"/>
          </a:scheme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Petroleum Consumption by Product</a:t>
            </a:r>
          </a:p>
        </c:rich>
      </c:tx>
      <c:layout>
        <c:manualLayout>
          <c:xMode val="edge"/>
          <c:yMode val="edge"/>
          <c:x val="0.2065344276953156"/>
          <c:y val="1.366721863629707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38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0000FF"/>
            </a:gs>
            <a:gs pos="100000">
              <a:srgbClr val="CCFFFF"/>
            </a:gs>
          </a:gsLst>
          <a:path path="rect">
            <a:fillToRect l="50000" t="50000" r="50000" b="50000"/>
          </a:path>
        </a:gradFill>
        <a:ln w="3175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0000FF"/>
            </a:gs>
            <a:gs pos="100000">
              <a:srgbClr val="CCFFFF"/>
            </a:gs>
          </a:gsLst>
          <a:path path="rect">
            <a:fillToRect l="50000" t="50000" r="50000" b="50000"/>
          </a:path>
        </a:gradFill>
        <a:ln w="3175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9508804448563485E-2"/>
          <c:y val="6.3781392125872152E-2"/>
          <c:w val="0.92771084337349397"/>
          <c:h val="0.8519371662527208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'Oil Consumption by Product'!$A$7</c:f>
              <c:strCache>
                <c:ptCount val="1"/>
                <c:pt idx="0">
                  <c:v>KERO/AVJET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Product'!$B$7:$V$7</c:f>
              <c:numCache>
                <c:formatCode>#,##0.0</c:formatCode>
                <c:ptCount val="21"/>
                <c:pt idx="0">
                  <c:v>211.4</c:v>
                </c:pt>
                <c:pt idx="1">
                  <c:v>259.5</c:v>
                </c:pt>
                <c:pt idx="2">
                  <c:v>226.1</c:v>
                </c:pt>
                <c:pt idx="3">
                  <c:v>253.4</c:v>
                </c:pt>
                <c:pt idx="4">
                  <c:v>198.8</c:v>
                </c:pt>
                <c:pt idx="5">
                  <c:v>231.8</c:v>
                </c:pt>
                <c:pt idx="6">
                  <c:v>255.3</c:v>
                </c:pt>
                <c:pt idx="7">
                  <c:v>197</c:v>
                </c:pt>
                <c:pt idx="8">
                  <c:v>204.7</c:v>
                </c:pt>
                <c:pt idx="9">
                  <c:v>201</c:v>
                </c:pt>
                <c:pt idx="10">
                  <c:v>192.5</c:v>
                </c:pt>
                <c:pt idx="11" formatCode="General">
                  <c:v>190.4</c:v>
                </c:pt>
                <c:pt idx="12" formatCode="General">
                  <c:v>163.4</c:v>
                </c:pt>
                <c:pt idx="13" formatCode="General">
                  <c:v>174.5</c:v>
                </c:pt>
                <c:pt idx="14" formatCode="0.0">
                  <c:v>171.82599999999999</c:v>
                </c:pt>
                <c:pt idx="15" formatCode="0.0">
                  <c:v>179.1</c:v>
                </c:pt>
                <c:pt idx="16" formatCode="0.0">
                  <c:v>175.96100000000001</c:v>
                </c:pt>
                <c:pt idx="17" formatCode="0.0">
                  <c:v>150.54133474371901</c:v>
                </c:pt>
                <c:pt idx="18" formatCode="0.0">
                  <c:v>229.90899999999999</c:v>
                </c:pt>
                <c:pt idx="19" formatCode="0.0">
                  <c:v>160.90299999999999</c:v>
                </c:pt>
                <c:pt idx="20" formatCode="0.0">
                  <c:v>163.3314849884236</c:v>
                </c:pt>
              </c:numCache>
            </c:numRef>
          </c:val>
        </c:ser>
        <c:ser>
          <c:idx val="2"/>
          <c:order val="1"/>
          <c:tx>
            <c:strRef>
              <c:f>'Oil Consumption by Product'!$A$5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Product'!$B$5:$V$5</c:f>
              <c:numCache>
                <c:formatCode>#,##0.0</c:formatCode>
                <c:ptCount val="21"/>
                <c:pt idx="0">
                  <c:v>576.29999999999995</c:v>
                </c:pt>
                <c:pt idx="1">
                  <c:v>571</c:v>
                </c:pt>
                <c:pt idx="2">
                  <c:v>623.4</c:v>
                </c:pt>
                <c:pt idx="3">
                  <c:v>648.20000000000005</c:v>
                </c:pt>
                <c:pt idx="4">
                  <c:v>684.3</c:v>
                </c:pt>
                <c:pt idx="5">
                  <c:v>727.6</c:v>
                </c:pt>
                <c:pt idx="6">
                  <c:v>717</c:v>
                </c:pt>
                <c:pt idx="7">
                  <c:v>749</c:v>
                </c:pt>
                <c:pt idx="8">
                  <c:v>723.5</c:v>
                </c:pt>
                <c:pt idx="9">
                  <c:v>744.8</c:v>
                </c:pt>
                <c:pt idx="10">
                  <c:v>748.4</c:v>
                </c:pt>
                <c:pt idx="11" formatCode="General">
                  <c:v>730.1</c:v>
                </c:pt>
                <c:pt idx="12" formatCode="General">
                  <c:v>724.8</c:v>
                </c:pt>
                <c:pt idx="13" formatCode="General">
                  <c:v>778.2</c:v>
                </c:pt>
                <c:pt idx="14" formatCode="0.0">
                  <c:v>842.471</c:v>
                </c:pt>
                <c:pt idx="15" formatCode="0.0">
                  <c:v>957</c:v>
                </c:pt>
                <c:pt idx="16" formatCode="0.0">
                  <c:v>1008.136</c:v>
                </c:pt>
                <c:pt idx="17" formatCode="0.0">
                  <c:v>1026.2720121154332</c:v>
                </c:pt>
                <c:pt idx="18" formatCode="0.0">
                  <c:v>1140.1189999999999</c:v>
                </c:pt>
                <c:pt idx="19" formatCode="0.0">
                  <c:v>1150.201</c:v>
                </c:pt>
                <c:pt idx="20" formatCode="0.0">
                  <c:v>1214.867750705245</c:v>
                </c:pt>
              </c:numCache>
            </c:numRef>
          </c:val>
        </c:ser>
        <c:ser>
          <c:idx val="4"/>
          <c:order val="2"/>
          <c:tx>
            <c:strRef>
              <c:f>'Oil Consumption by Product'!$A$6</c:f>
              <c:strCache>
                <c:ptCount val="1"/>
                <c:pt idx="0">
                  <c:v>GASOIL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Product'!$B$6:$V$6</c:f>
              <c:numCache>
                <c:formatCode>#,##0.0</c:formatCode>
                <c:ptCount val="21"/>
                <c:pt idx="0">
                  <c:v>1302.0999999999999</c:v>
                </c:pt>
                <c:pt idx="1">
                  <c:v>1474.2</c:v>
                </c:pt>
                <c:pt idx="2">
                  <c:v>1713.4</c:v>
                </c:pt>
                <c:pt idx="3">
                  <c:v>1914.5</c:v>
                </c:pt>
                <c:pt idx="4">
                  <c:v>1752.7</c:v>
                </c:pt>
                <c:pt idx="5">
                  <c:v>2152.6999999999998</c:v>
                </c:pt>
                <c:pt idx="6">
                  <c:v>1950.9</c:v>
                </c:pt>
                <c:pt idx="7">
                  <c:v>1997.2</c:v>
                </c:pt>
                <c:pt idx="8">
                  <c:v>1902.4</c:v>
                </c:pt>
                <c:pt idx="9">
                  <c:v>1839.1</c:v>
                </c:pt>
                <c:pt idx="10">
                  <c:v>1965.2</c:v>
                </c:pt>
                <c:pt idx="11">
                  <c:v>1836.1</c:v>
                </c:pt>
                <c:pt idx="12" formatCode="General">
                  <c:v>1584.3</c:v>
                </c:pt>
                <c:pt idx="13" formatCode="General">
                  <c:v>1822.3</c:v>
                </c:pt>
                <c:pt idx="14" formatCode="0.0">
                  <c:v>1668.12</c:v>
                </c:pt>
                <c:pt idx="15" formatCode="0.0">
                  <c:v>1679</c:v>
                </c:pt>
                <c:pt idx="16" formatCode="0.0">
                  <c:v>1626.569</c:v>
                </c:pt>
                <c:pt idx="17" formatCode="0.0">
                  <c:v>1984.948221894397</c:v>
                </c:pt>
                <c:pt idx="18" formatCode="0.0">
                  <c:v>2085.171579154493</c:v>
                </c:pt>
                <c:pt idx="19" formatCode="0.0">
                  <c:v>1968.022112837039</c:v>
                </c:pt>
                <c:pt idx="20" formatCode="0.0">
                  <c:v>2110.1426876354367</c:v>
                </c:pt>
              </c:numCache>
            </c:numRef>
          </c:val>
        </c:ser>
        <c:ser>
          <c:idx val="5"/>
          <c:order val="3"/>
          <c:tx>
            <c:strRef>
              <c:f>'Oil Consumption by Product'!$A$9</c:f>
              <c:strCache>
                <c:ptCount val="1"/>
                <c:pt idx="0">
                  <c:v>LPG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Product'!$B$9:$V$9</c:f>
              <c:numCache>
                <c:formatCode>#,##0.0</c:formatCode>
                <c:ptCount val="21"/>
                <c:pt idx="0">
                  <c:v>68.599999999999994</c:v>
                </c:pt>
                <c:pt idx="1">
                  <c:v>40.700000000000003</c:v>
                </c:pt>
                <c:pt idx="2">
                  <c:v>64.5</c:v>
                </c:pt>
                <c:pt idx="3">
                  <c:v>68</c:v>
                </c:pt>
                <c:pt idx="4">
                  <c:v>54.5</c:v>
                </c:pt>
                <c:pt idx="5">
                  <c:v>93.2</c:v>
                </c:pt>
                <c:pt idx="6">
                  <c:v>75.7</c:v>
                </c:pt>
                <c:pt idx="7">
                  <c:v>90</c:v>
                </c:pt>
                <c:pt idx="8">
                  <c:v>99.3</c:v>
                </c:pt>
                <c:pt idx="9">
                  <c:v>122.7</c:v>
                </c:pt>
                <c:pt idx="10">
                  <c:v>130.6</c:v>
                </c:pt>
                <c:pt idx="11" formatCode="General">
                  <c:v>122.1</c:v>
                </c:pt>
                <c:pt idx="12" formatCode="General">
                  <c:v>128.1</c:v>
                </c:pt>
                <c:pt idx="13" formatCode="General">
                  <c:v>109.2</c:v>
                </c:pt>
                <c:pt idx="14" formatCode="0.0">
                  <c:v>133.37200000000001</c:v>
                </c:pt>
                <c:pt idx="15" formatCode="0.0">
                  <c:v>151.6</c:v>
                </c:pt>
                <c:pt idx="16" formatCode="0.0">
                  <c:v>166.602</c:v>
                </c:pt>
                <c:pt idx="17" formatCode="0.0">
                  <c:v>173.86990389106552</c:v>
                </c:pt>
                <c:pt idx="18" formatCode="0.0">
                  <c:v>180.56485714285714</c:v>
                </c:pt>
                <c:pt idx="19" formatCode="0.0">
                  <c:v>194.2978</c:v>
                </c:pt>
                <c:pt idx="20" formatCode="0.0">
                  <c:v>197.1209031518855</c:v>
                </c:pt>
              </c:numCache>
            </c:numRef>
          </c:val>
        </c:ser>
        <c:ser>
          <c:idx val="6"/>
          <c:order val="4"/>
          <c:tx>
            <c:strRef>
              <c:f>'Oil Consumption by Product'!$A$8</c:f>
              <c:strCache>
                <c:ptCount val="1"/>
                <c:pt idx="0">
                  <c:v>FUEL OIL</c:v>
                </c:pt>
              </c:strCache>
            </c:strRef>
          </c:tx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Product'!$B$8:$V$8</c:f>
              <c:numCache>
                <c:formatCode>#,##0.0</c:formatCode>
                <c:ptCount val="21"/>
                <c:pt idx="0">
                  <c:v>1166.3</c:v>
                </c:pt>
                <c:pt idx="1">
                  <c:v>1239.5</c:v>
                </c:pt>
                <c:pt idx="2">
                  <c:v>1091.8</c:v>
                </c:pt>
                <c:pt idx="3">
                  <c:v>1175.8</c:v>
                </c:pt>
                <c:pt idx="4">
                  <c:v>1380.3</c:v>
                </c:pt>
                <c:pt idx="5">
                  <c:v>906.5</c:v>
                </c:pt>
                <c:pt idx="6">
                  <c:v>944.5</c:v>
                </c:pt>
                <c:pt idx="7">
                  <c:v>873.2</c:v>
                </c:pt>
                <c:pt idx="8">
                  <c:v>927.2</c:v>
                </c:pt>
                <c:pt idx="9">
                  <c:v>941.3</c:v>
                </c:pt>
                <c:pt idx="10">
                  <c:v>946.7</c:v>
                </c:pt>
                <c:pt idx="11" formatCode="General">
                  <c:v>673.9</c:v>
                </c:pt>
                <c:pt idx="12" formatCode="General">
                  <c:v>608.1</c:v>
                </c:pt>
                <c:pt idx="13" formatCode="General">
                  <c:v>932.4</c:v>
                </c:pt>
                <c:pt idx="14" formatCode="0.0">
                  <c:v>1006.641</c:v>
                </c:pt>
                <c:pt idx="15" formatCode="0.0">
                  <c:v>905.9</c:v>
                </c:pt>
                <c:pt idx="16" formatCode="0.0">
                  <c:v>1231.3810000000001</c:v>
                </c:pt>
                <c:pt idx="17" formatCode="0.0">
                  <c:v>1044.81525677373</c:v>
                </c:pt>
                <c:pt idx="18" formatCode="0.0">
                  <c:v>1190.9730102699432</c:v>
                </c:pt>
                <c:pt idx="19" formatCode="0.0">
                  <c:v>1275.9353114016071</c:v>
                </c:pt>
                <c:pt idx="20" formatCode="0.0">
                  <c:v>1258.668747239841</c:v>
                </c:pt>
              </c:numCache>
            </c:numRef>
          </c:val>
        </c:ser>
        <c:ser>
          <c:idx val="7"/>
          <c:order val="5"/>
          <c:tx>
            <c:strRef>
              <c:f>'Oil Consumption by Product'!$A$10</c:f>
              <c:strCache>
                <c:ptCount val="1"/>
                <c:pt idx="0">
                  <c:v>AVGAS</c:v>
                </c:pt>
              </c:strCache>
            </c:strRef>
          </c:tx>
          <c:invertIfNegative val="0"/>
          <c:cat>
            <c:numRef>
              <c:f>'Oil Consumption by Product'!$B$4:$V$4</c:f>
              <c:numCache>
                <c:formatCode>General</c:formatCod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numCache>
            </c:numRef>
          </c:cat>
          <c:val>
            <c:numRef>
              <c:f>'Oil Consumption by Product'!$F$10:$V$10</c:f>
              <c:numCache>
                <c:formatCode>#,##0.0</c:formatCode>
                <c:ptCount val="17"/>
                <c:pt idx="0">
                  <c:v>19</c:v>
                </c:pt>
                <c:pt idx="1">
                  <c:v>11.2</c:v>
                </c:pt>
                <c:pt idx="2">
                  <c:v>13.3</c:v>
                </c:pt>
                <c:pt idx="3">
                  <c:v>7.4</c:v>
                </c:pt>
                <c:pt idx="4">
                  <c:v>8.6</c:v>
                </c:pt>
                <c:pt idx="5">
                  <c:v>8.5</c:v>
                </c:pt>
                <c:pt idx="6">
                  <c:v>8.3000000000000007</c:v>
                </c:pt>
                <c:pt idx="7" formatCode="General">
                  <c:v>5.7</c:v>
                </c:pt>
                <c:pt idx="8" formatCode="General">
                  <c:v>10.1</c:v>
                </c:pt>
                <c:pt idx="9" formatCode="General">
                  <c:v>8.6</c:v>
                </c:pt>
                <c:pt idx="10" formatCode="0.0">
                  <c:v>9.9879999999999995</c:v>
                </c:pt>
                <c:pt idx="11" formatCode="0.0">
                  <c:v>8.1999999999999993</c:v>
                </c:pt>
                <c:pt idx="12" formatCode="0.0">
                  <c:v>9.0370000000000008</c:v>
                </c:pt>
                <c:pt idx="13" formatCode="0.0">
                  <c:v>13.67478163850344</c:v>
                </c:pt>
                <c:pt idx="14" formatCode="0.0">
                  <c:v>12.333486253304509</c:v>
                </c:pt>
                <c:pt idx="15" formatCode="0.0">
                  <c:v>11.005000000000001</c:v>
                </c:pt>
                <c:pt idx="16" formatCode="0.0">
                  <c:v>9.812915475009639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446144"/>
        <c:axId val="93447680"/>
        <c:axId val="0"/>
      </c:bar3DChart>
      <c:catAx>
        <c:axId val="934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4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34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446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943992025446698"/>
          <c:y val="2.1411915785204991E-3"/>
          <c:w val="6.868982452987997E-2"/>
          <c:h val="0.248186272853232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5" orientation="landscape" horizontalDpi="300" verticalDpi="3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sng" strike="noStrike" baseline="0">
                <a:solidFill>
                  <a:srgbClr val="000000"/>
                </a:solidFill>
                <a:latin typeface="Bodoni MT"/>
                <a:ea typeface="Bodoni MT"/>
                <a:cs typeface="Bodoni MT"/>
              </a:defRPr>
            </a:pPr>
            <a:r>
              <a:rPr lang="en-GB"/>
              <a:t>Petroleum Cost as a % of GDP</a:t>
            </a:r>
          </a:p>
        </c:rich>
      </c:tx>
      <c:layout>
        <c:manualLayout>
          <c:xMode val="edge"/>
          <c:yMode val="edge"/>
          <c:x val="0.32718120805369127"/>
          <c:y val="3.11112252893347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8456375838926"/>
          <c:y val="0.17333370949155705"/>
          <c:w val="0.77242219722534688"/>
          <c:h val="0.60222352913092259"/>
        </c:manualLayout>
      </c:layout>
      <c:lineChart>
        <c:grouping val="standard"/>
        <c:varyColors val="0"/>
        <c:ser>
          <c:idx val="0"/>
          <c:order val="0"/>
          <c:tx>
            <c:strRef>
              <c:f>'Cost VS GDP'!$D$6:$D$7</c:f>
              <c:strCache>
                <c:ptCount val="1"/>
                <c:pt idx="0">
                  <c:v>Petroleum as a % of GDP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'Cost VS GDP'!$A$8:$A$28</c:f>
              <c:strCache>
                <c:ptCount val="21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2006*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</c:strCache>
            </c:strRef>
          </c:cat>
          <c:val>
            <c:numRef>
              <c:f>'Cost VS GDP'!$D$8:$D$28</c:f>
              <c:numCache>
                <c:formatCode>0%</c:formatCode>
                <c:ptCount val="21"/>
                <c:pt idx="0">
                  <c:v>0.15776327627837333</c:v>
                </c:pt>
                <c:pt idx="1">
                  <c:v>0.16346308879419555</c:v>
                </c:pt>
                <c:pt idx="2">
                  <c:v>0.17268006763361241</c:v>
                </c:pt>
                <c:pt idx="3">
                  <c:v>0.17127035809904165</c:v>
                </c:pt>
                <c:pt idx="4">
                  <c:v>0.1323974147609463</c:v>
                </c:pt>
                <c:pt idx="5">
                  <c:v>0.16853706567948815</c:v>
                </c:pt>
                <c:pt idx="6">
                  <c:v>0.24184022590974075</c:v>
                </c:pt>
                <c:pt idx="7">
                  <c:v>0.21307749434379372</c:v>
                </c:pt>
                <c:pt idx="8">
                  <c:v>0.1996994185393304</c:v>
                </c:pt>
                <c:pt idx="9">
                  <c:v>0.24087523526350299</c:v>
                </c:pt>
                <c:pt idx="10">
                  <c:v>0.28213655748489441</c:v>
                </c:pt>
                <c:pt idx="11">
                  <c:v>0.37709652146662487</c:v>
                </c:pt>
                <c:pt idx="12">
                  <c:v>0.19229413865617759</c:v>
                </c:pt>
                <c:pt idx="13">
                  <c:v>0.21658127281161368</c:v>
                </c:pt>
                <c:pt idx="14">
                  <c:v>0.23940065573594099</c:v>
                </c:pt>
                <c:pt idx="15">
                  <c:v>0.15796708624336775</c:v>
                </c:pt>
                <c:pt idx="16">
                  <c:v>0.1946616722300587</c:v>
                </c:pt>
                <c:pt idx="17">
                  <c:v>0.24014900646041953</c:v>
                </c:pt>
                <c:pt idx="18">
                  <c:v>0.23932775787946467</c:v>
                </c:pt>
                <c:pt idx="19">
                  <c:v>0.22104589292096619</c:v>
                </c:pt>
                <c:pt idx="20">
                  <c:v>0.20865354143128567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96992"/>
        <c:axId val="106615552"/>
      </c:lineChart>
      <c:catAx>
        <c:axId val="1065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1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61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 of GDP</a:t>
                </a:r>
              </a:p>
            </c:rich>
          </c:tx>
          <c:layout>
            <c:manualLayout>
              <c:xMode val="edge"/>
              <c:yMode val="edge"/>
              <c:x val="2.3489932885906041E-2"/>
              <c:y val="0.384445158058342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96992"/>
        <c:crosses val="autoZero"/>
        <c:crossBetween val="between"/>
      </c:valAx>
      <c:spPr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3000000"/>
        </a:gra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3238255033557047"/>
          <c:y val="0.93111302359635717"/>
          <c:w val="0.38758389261744963"/>
          <c:h val="5.55556982783350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0175610353056403E-2"/>
          <c:y val="0.12156909301889177"/>
          <c:w val="0.85965122682494155"/>
          <c:h val="0.53333537582481549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0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year'!$A$5:$A$10</c:f>
              <c:strCache>
                <c:ptCount val="6"/>
                <c:pt idx="0">
                  <c:v>MOGAS: 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year'!$C$5:$C$10</c:f>
              <c:numCache>
                <c:formatCode>#,##0</c:formatCode>
                <c:ptCount val="6"/>
                <c:pt idx="0">
                  <c:v>547008</c:v>
                </c:pt>
                <c:pt idx="1">
                  <c:v>1124901</c:v>
                </c:pt>
                <c:pt idx="2">
                  <c:v>239312</c:v>
                </c:pt>
                <c:pt idx="3">
                  <c:v>1094555</c:v>
                </c:pt>
                <c:pt idx="4">
                  <c:v>18465</c:v>
                </c:pt>
                <c:pt idx="5">
                  <c:v>71487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822134075345845"/>
          <c:y val="0.73333621532602544"/>
          <c:w val="0.45363513771304903"/>
          <c:h val="0.25490278421079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4507530773011"/>
          <c:y val="8.8461538461538453E-2"/>
          <c:w val="0.8045995074522001"/>
          <c:h val="0.5346153846153846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year'!$A$5:$A$10</c:f>
              <c:strCache>
                <c:ptCount val="6"/>
                <c:pt idx="0">
                  <c:v>MOGAS: 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year'!$H$5:$H$10</c:f>
              <c:numCache>
                <c:formatCode>#,##0</c:formatCode>
                <c:ptCount val="6"/>
                <c:pt idx="0">
                  <c:v>593604</c:v>
                </c:pt>
                <c:pt idx="1">
                  <c:v>1490839</c:v>
                </c:pt>
                <c:pt idx="2">
                  <c:v>250210</c:v>
                </c:pt>
                <c:pt idx="3">
                  <c:v>1233096</c:v>
                </c:pt>
                <c:pt idx="4">
                  <c:v>14175</c:v>
                </c:pt>
                <c:pt idx="5">
                  <c:v>42129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55244818535631"/>
          <c:y val="0.73846153846153861"/>
          <c:w val="0.41609291941955595"/>
          <c:h val="0.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63461538461517"/>
          <c:y val="0.1166671413864806"/>
          <c:w val="0.76201923076923073"/>
          <c:h val="0.52500213623916114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year'!$A$39:$A$44</c:f>
              <c:strCache>
                <c:ptCount val="6"/>
                <c:pt idx="0">
                  <c:v>MOGAS TOTAL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year'!$C$39:$C$44</c:f>
              <c:numCache>
                <c:formatCode>#,##0</c:formatCode>
                <c:ptCount val="6"/>
                <c:pt idx="0">
                  <c:v>614676</c:v>
                </c:pt>
                <c:pt idx="1">
                  <c:v>1689005</c:v>
                </c:pt>
                <c:pt idx="2">
                  <c:v>238062</c:v>
                </c:pt>
                <c:pt idx="3">
                  <c:v>1093885</c:v>
                </c:pt>
                <c:pt idx="4">
                  <c:v>11417</c:v>
                </c:pt>
                <c:pt idx="5">
                  <c:v>64848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326923076923078"/>
          <c:y val="0.716669728783902"/>
          <c:w val="0.4350961538461538"/>
          <c:h val="0.270834645669291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45708781126498"/>
          <c:y val="0.11570247933884299"/>
          <c:w val="0.80987849604190032"/>
          <c:h val="0.53719008264462864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year'!$A$39:$A$44</c:f>
              <c:strCache>
                <c:ptCount val="6"/>
                <c:pt idx="0">
                  <c:v>MOGAS TOTAL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year'!$H$39:$H$44</c:f>
              <c:numCache>
                <c:formatCode>#,##0</c:formatCode>
                <c:ptCount val="6"/>
                <c:pt idx="0">
                  <c:v>645519</c:v>
                </c:pt>
                <c:pt idx="1">
                  <c:v>1887690</c:v>
                </c:pt>
                <c:pt idx="2">
                  <c:v>258741</c:v>
                </c:pt>
                <c:pt idx="3">
                  <c:v>1224930</c:v>
                </c:pt>
                <c:pt idx="4">
                  <c:v>9909</c:v>
                </c:pt>
                <c:pt idx="5">
                  <c:v>66888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48225916205044"/>
          <c:y val="0.71900826446281063"/>
          <c:w val="0.44691461715433778"/>
          <c:h val="0.268595041322314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400954653937949"/>
          <c:y val="2.1008446462313094E-2"/>
          <c:w val="0.56085918854415273"/>
          <c:h val="0.61764832599200281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year'!$A$39:$A$44</c:f>
              <c:strCache>
                <c:ptCount val="6"/>
                <c:pt idx="0">
                  <c:v>MOGAS TOTAL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year'!$C$71:$C$76</c:f>
              <c:numCache>
                <c:formatCode>#,##0</c:formatCode>
                <c:ptCount val="6"/>
                <c:pt idx="0">
                  <c:v>688129</c:v>
                </c:pt>
                <c:pt idx="1">
                  <c:v>1821012</c:v>
                </c:pt>
                <c:pt idx="2">
                  <c:v>210972</c:v>
                </c:pt>
                <c:pt idx="3">
                  <c:v>1330869</c:v>
                </c:pt>
                <c:pt idx="4">
                  <c:v>20066</c:v>
                </c:pt>
                <c:pt idx="5">
                  <c:v>54717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116953993085753"/>
          <c:y val="0.71428703764970713"/>
          <c:w val="0.43198099136286622"/>
          <c:h val="0.27310968481880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155172413793105"/>
          <c:y val="6.7924653457866829E-2"/>
          <c:w val="0.5517241379310347"/>
          <c:h val="0.60377469740326206"/>
        </c:manualLayout>
      </c:layout>
      <c:pie3DChart>
        <c:varyColors val="1"/>
        <c:ser>
          <c:idx val="0"/>
          <c:order val="0"/>
          <c:tx>
            <c:strRef>
              <c:f>'Total by Product &amp; year'!$B$3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9"/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 by Product &amp; year'!$F$69:$F$74</c:f>
              <c:strCache>
                <c:ptCount val="6"/>
                <c:pt idx="0">
                  <c:v>MOGAS: UNLEADED</c:v>
                </c:pt>
                <c:pt idx="1">
                  <c:v>GASOIL (0.5S)/DIESEL</c:v>
                </c:pt>
                <c:pt idx="2">
                  <c:v>JET A-1/KERO</c:v>
                </c:pt>
                <c:pt idx="3">
                  <c:v>FUELOIL</c:v>
                </c:pt>
                <c:pt idx="4">
                  <c:v>AVGAS</c:v>
                </c:pt>
                <c:pt idx="5">
                  <c:v>L.P.G</c:v>
                </c:pt>
              </c:strCache>
            </c:strRef>
          </c:cat>
          <c:val>
            <c:numRef>
              <c:f>'Total by Product &amp; year'!$H$69:$H$74</c:f>
              <c:numCache>
                <c:formatCode>#,##0</c:formatCode>
                <c:ptCount val="6"/>
                <c:pt idx="0">
                  <c:v>742441</c:v>
                </c:pt>
                <c:pt idx="1">
                  <c:v>2148733</c:v>
                </c:pt>
                <c:pt idx="2">
                  <c:v>235045</c:v>
                </c:pt>
                <c:pt idx="3">
                  <c:v>906524</c:v>
                </c:pt>
                <c:pt idx="4">
                  <c:v>10891</c:v>
                </c:pt>
                <c:pt idx="5">
                  <c:v>93632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96551724138"/>
          <c:y val="0.74339741494577494"/>
          <c:w val="0.39008620689655277"/>
          <c:h val="0.24528341504481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22</xdr:row>
      <xdr:rowOff>0</xdr:rowOff>
    </xdr:from>
    <xdr:to>
      <xdr:col>11</xdr:col>
      <xdr:colOff>219075</xdr:colOff>
      <xdr:row>45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22</xdr:row>
      <xdr:rowOff>9525</xdr:rowOff>
    </xdr:from>
    <xdr:to>
      <xdr:col>4</xdr:col>
      <xdr:colOff>1066800</xdr:colOff>
      <xdr:row>45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60614</xdr:colOff>
      <xdr:row>3</xdr:row>
      <xdr:rowOff>173182</xdr:rowOff>
    </xdr:from>
    <xdr:to>
      <xdr:col>18</xdr:col>
      <xdr:colOff>261071</xdr:colOff>
      <xdr:row>31</xdr:row>
      <xdr:rowOff>94383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0</xdr:rowOff>
    </xdr:from>
    <xdr:to>
      <xdr:col>3</xdr:col>
      <xdr:colOff>381000</xdr:colOff>
      <xdr:row>26</xdr:row>
      <xdr:rowOff>123825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12</xdr:row>
      <xdr:rowOff>28575</xdr:rowOff>
    </xdr:from>
    <xdr:to>
      <xdr:col>8</xdr:col>
      <xdr:colOff>409575</xdr:colOff>
      <xdr:row>27</xdr:row>
      <xdr:rowOff>19050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46</xdr:row>
      <xdr:rowOff>19050</xdr:rowOff>
    </xdr:from>
    <xdr:to>
      <xdr:col>3</xdr:col>
      <xdr:colOff>495300</xdr:colOff>
      <xdr:row>60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733425</xdr:colOff>
      <xdr:row>45</xdr:row>
      <xdr:rowOff>171450</xdr:rowOff>
    </xdr:from>
    <xdr:to>
      <xdr:col>8</xdr:col>
      <xdr:colOff>790575</xdr:colOff>
      <xdr:row>60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77</xdr:row>
      <xdr:rowOff>95250</xdr:rowOff>
    </xdr:from>
    <xdr:to>
      <xdr:col>3</xdr:col>
      <xdr:colOff>923925</xdr:colOff>
      <xdr:row>91</xdr:row>
      <xdr:rowOff>28575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257175</xdr:colOff>
      <xdr:row>76</xdr:row>
      <xdr:rowOff>114300</xdr:rowOff>
    </xdr:from>
    <xdr:to>
      <xdr:col>8</xdr:col>
      <xdr:colOff>876300</xdr:colOff>
      <xdr:row>91</xdr:row>
      <xdr:rowOff>95250</xdr:rowOff>
    </xdr:to>
    <xdr:graphicFrame macro="">
      <xdr:nvGraphicFramePr>
        <xdr:cNvPr id="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647700</xdr:colOff>
      <xdr:row>105</xdr:row>
      <xdr:rowOff>95250</xdr:rowOff>
    </xdr:from>
    <xdr:to>
      <xdr:col>3</xdr:col>
      <xdr:colOff>638175</xdr:colOff>
      <xdr:row>119</xdr:row>
      <xdr:rowOff>66675</xdr:rowOff>
    </xdr:to>
    <xdr:graphicFrame macro="">
      <xdr:nvGraphicFramePr>
        <xdr:cNvPr id="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266700</xdr:colOff>
      <xdr:row>105</xdr:row>
      <xdr:rowOff>114300</xdr:rowOff>
    </xdr:from>
    <xdr:to>
      <xdr:col>8</xdr:col>
      <xdr:colOff>600075</xdr:colOff>
      <xdr:row>119</xdr:row>
      <xdr:rowOff>95250</xdr:rowOff>
    </xdr:to>
    <xdr:graphicFrame macro="">
      <xdr:nvGraphicFramePr>
        <xdr:cNvPr id="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133</xdr:row>
      <xdr:rowOff>161925</xdr:rowOff>
    </xdr:from>
    <xdr:to>
      <xdr:col>3</xdr:col>
      <xdr:colOff>542925</xdr:colOff>
      <xdr:row>147</xdr:row>
      <xdr:rowOff>66675</xdr:rowOff>
    </xdr:to>
    <xdr:graphicFrame macro="">
      <xdr:nvGraphicFramePr>
        <xdr:cNvPr id="1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361950</xdr:colOff>
      <xdr:row>133</xdr:row>
      <xdr:rowOff>161925</xdr:rowOff>
    </xdr:from>
    <xdr:to>
      <xdr:col>8</xdr:col>
      <xdr:colOff>552450</xdr:colOff>
      <xdr:row>147</xdr:row>
      <xdr:rowOff>95250</xdr:rowOff>
    </xdr:to>
    <xdr:graphicFrame macro="">
      <xdr:nvGraphicFramePr>
        <xdr:cNvPr id="1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428625</xdr:colOff>
      <xdr:row>161</xdr:row>
      <xdr:rowOff>95250</xdr:rowOff>
    </xdr:from>
    <xdr:to>
      <xdr:col>3</xdr:col>
      <xdr:colOff>590550</xdr:colOff>
      <xdr:row>175</xdr:row>
      <xdr:rowOff>57150</xdr:rowOff>
    </xdr:to>
    <xdr:graphicFrame macro="">
      <xdr:nvGraphicFramePr>
        <xdr:cNvPr id="12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619125</xdr:colOff>
      <xdr:row>161</xdr:row>
      <xdr:rowOff>95250</xdr:rowOff>
    </xdr:from>
    <xdr:to>
      <xdr:col>8</xdr:col>
      <xdr:colOff>733425</xdr:colOff>
      <xdr:row>175</xdr:row>
      <xdr:rowOff>76200</xdr:rowOff>
    </xdr:to>
    <xdr:graphicFrame macro="">
      <xdr:nvGraphicFramePr>
        <xdr:cNvPr id="1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619125</xdr:colOff>
      <xdr:row>193</xdr:row>
      <xdr:rowOff>95250</xdr:rowOff>
    </xdr:from>
    <xdr:to>
      <xdr:col>3</xdr:col>
      <xdr:colOff>733425</xdr:colOff>
      <xdr:row>209</xdr:row>
      <xdr:rowOff>104775</xdr:rowOff>
    </xdr:to>
    <xdr:graphicFrame macro="">
      <xdr:nvGraphicFramePr>
        <xdr:cNvPr id="1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628650</xdr:colOff>
      <xdr:row>194</xdr:row>
      <xdr:rowOff>152400</xdr:rowOff>
    </xdr:from>
    <xdr:to>
      <xdr:col>8</xdr:col>
      <xdr:colOff>742950</xdr:colOff>
      <xdr:row>211</xdr:row>
      <xdr:rowOff>0</xdr:rowOff>
    </xdr:to>
    <xdr:graphicFrame macro="">
      <xdr:nvGraphicFramePr>
        <xdr:cNvPr id="15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47625</xdr:colOff>
      <xdr:row>225</xdr:row>
      <xdr:rowOff>0</xdr:rowOff>
    </xdr:from>
    <xdr:to>
      <xdr:col>4</xdr:col>
      <xdr:colOff>38100</xdr:colOff>
      <xdr:row>241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57150</xdr:colOff>
      <xdr:row>225</xdr:row>
      <xdr:rowOff>9525</xdr:rowOff>
    </xdr:from>
    <xdr:to>
      <xdr:col>9</xdr:col>
      <xdr:colOff>47625</xdr:colOff>
      <xdr:row>242</xdr:row>
      <xdr:rowOff>0</xdr:rowOff>
    </xdr:to>
    <xdr:graphicFrame macro="">
      <xdr:nvGraphicFramePr>
        <xdr:cNvPr id="1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</xdr:colOff>
      <xdr:row>261</xdr:row>
      <xdr:rowOff>9525</xdr:rowOff>
    </xdr:from>
    <xdr:to>
      <xdr:col>4</xdr:col>
      <xdr:colOff>47625</xdr:colOff>
      <xdr:row>278</xdr:row>
      <xdr:rowOff>0</xdr:rowOff>
    </xdr:to>
    <xdr:graphicFrame macro="">
      <xdr:nvGraphicFramePr>
        <xdr:cNvPr id="18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123825</xdr:colOff>
      <xdr:row>261</xdr:row>
      <xdr:rowOff>47625</xdr:rowOff>
    </xdr:from>
    <xdr:to>
      <xdr:col>9</xdr:col>
      <xdr:colOff>95250</xdr:colOff>
      <xdr:row>278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</xdr:colOff>
      <xdr:row>295</xdr:row>
      <xdr:rowOff>47625</xdr:rowOff>
    </xdr:from>
    <xdr:to>
      <xdr:col>4</xdr:col>
      <xdr:colOff>95250</xdr:colOff>
      <xdr:row>312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85725</xdr:colOff>
      <xdr:row>295</xdr:row>
      <xdr:rowOff>9525</xdr:rowOff>
    </xdr:from>
    <xdr:to>
      <xdr:col>9</xdr:col>
      <xdr:colOff>361949</xdr:colOff>
      <xdr:row>311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85725</xdr:colOff>
      <xdr:row>329</xdr:row>
      <xdr:rowOff>9525</xdr:rowOff>
    </xdr:from>
    <xdr:to>
      <xdr:col>4</xdr:col>
      <xdr:colOff>361949</xdr:colOff>
      <xdr:row>345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114300</xdr:rowOff>
    </xdr:from>
    <xdr:to>
      <xdr:col>13</xdr:col>
      <xdr:colOff>714375</xdr:colOff>
      <xdr:row>42</xdr:row>
      <xdr:rowOff>0</xdr:rowOff>
    </xdr:to>
    <xdr:graphicFrame macro="">
      <xdr:nvGraphicFramePr>
        <xdr:cNvPr id="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1152525</xdr:colOff>
      <xdr:row>11</xdr:row>
      <xdr:rowOff>57150</xdr:rowOff>
    </xdr:from>
    <xdr:to>
      <xdr:col>37</xdr:col>
      <xdr:colOff>647700</xdr:colOff>
      <xdr:row>38</xdr:row>
      <xdr:rowOff>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47</xdr:row>
      <xdr:rowOff>142875</xdr:rowOff>
    </xdr:from>
    <xdr:to>
      <xdr:col>13</xdr:col>
      <xdr:colOff>790575</xdr:colOff>
      <xdr:row>80</xdr:row>
      <xdr:rowOff>85725</xdr:rowOff>
    </xdr:to>
    <xdr:graphicFrame macro="">
      <xdr:nvGraphicFramePr>
        <xdr:cNvPr id="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82</xdr:row>
      <xdr:rowOff>28575</xdr:rowOff>
    </xdr:from>
    <xdr:to>
      <xdr:col>13</xdr:col>
      <xdr:colOff>790575</xdr:colOff>
      <xdr:row>114</xdr:row>
      <xdr:rowOff>85725</xdr:rowOff>
    </xdr:to>
    <xdr:graphicFrame macro="">
      <xdr:nvGraphicFramePr>
        <xdr:cNvPr id="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542924</xdr:colOff>
      <xdr:row>15</xdr:row>
      <xdr:rowOff>52918</xdr:rowOff>
    </xdr:from>
    <xdr:to>
      <xdr:col>59</xdr:col>
      <xdr:colOff>84665</xdr:colOff>
      <xdr:row>37</xdr:row>
      <xdr:rowOff>103718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142873</xdr:colOff>
      <xdr:row>11</xdr:row>
      <xdr:rowOff>3571</xdr:rowOff>
    </xdr:from>
    <xdr:to>
      <xdr:col>19</xdr:col>
      <xdr:colOff>416718</xdr:colOff>
      <xdr:row>33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166689</xdr:colOff>
      <xdr:row>35</xdr:row>
      <xdr:rowOff>0</xdr:rowOff>
    </xdr:from>
    <xdr:to>
      <xdr:col>19</xdr:col>
      <xdr:colOff>440534</xdr:colOff>
      <xdr:row>57</xdr:row>
      <xdr:rowOff>8334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383117</xdr:colOff>
      <xdr:row>10</xdr:row>
      <xdr:rowOff>169333</xdr:rowOff>
    </xdr:from>
    <xdr:to>
      <xdr:col>13</xdr:col>
      <xdr:colOff>383117</xdr:colOff>
      <xdr:row>32</xdr:row>
      <xdr:rowOff>112183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13</xdr:row>
      <xdr:rowOff>123825</xdr:rowOff>
    </xdr:from>
    <xdr:to>
      <xdr:col>18</xdr:col>
      <xdr:colOff>285750</xdr:colOff>
      <xdr:row>39</xdr:row>
      <xdr:rowOff>57150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9525</xdr:rowOff>
    </xdr:from>
    <xdr:to>
      <xdr:col>13</xdr:col>
      <xdr:colOff>504825</xdr:colOff>
      <xdr:row>29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bles%20for%20Annual%20Report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py%20of%20cif%20VALUES%202014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 2011 vs. 2012"/>
      <sheetName val="Consumption 2012 vs. 2013 (2)"/>
      <sheetName val="Consumption 2013 vs. 2014"/>
      <sheetName val="Total by Product &amp; year"/>
      <sheetName val="Total Imports"/>
      <sheetName val="Total by Product and Year 2"/>
      <sheetName val="Prices RT &amp; WS"/>
      <sheetName val="Prices RT &amp; WS (2)"/>
      <sheetName val="Sheet1"/>
    </sheetNames>
    <sheetDataSet>
      <sheetData sheetId="0"/>
      <sheetData sheetId="1"/>
      <sheetData sheetId="2"/>
      <sheetData sheetId="3">
        <row r="294">
          <cell r="B294">
            <v>775102846.88994503</v>
          </cell>
        </row>
      </sheetData>
      <sheetData sheetId="4"/>
      <sheetData sheetId="5">
        <row r="10">
          <cell r="V10">
            <v>4938855.2512896955</v>
          </cell>
        </row>
      </sheetData>
      <sheetData sheetId="6"/>
      <sheetData sheetId="7">
        <row r="5">
          <cell r="V5">
            <v>226.85304798962233</v>
          </cell>
        </row>
        <row r="6">
          <cell r="V6">
            <v>219.85110246433212</v>
          </cell>
        </row>
        <row r="7">
          <cell r="V7">
            <v>202.66666666666666</v>
          </cell>
        </row>
        <row r="8">
          <cell r="V8">
            <v>3649.2245989304811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yoil"/>
      <sheetName val="RUBIS"/>
      <sheetName val="SOL"/>
      <sheetName val="BCGI"/>
      <sheetName val="GPL"/>
      <sheetName val="LPG (Majors)&amp;GUYGAS"/>
      <sheetName val="BOSAI"/>
      <sheetName val="TRAWLERS"/>
      <sheetName val="ASL&amp;CAMS"/>
      <sheetName val="TOTAL"/>
    </sheetNames>
    <sheetDataSet>
      <sheetData sheetId="0"/>
      <sheetData sheetId="1">
        <row r="15">
          <cell r="R15">
            <v>8043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5">
          <cell r="N15">
            <v>10819181.690425668</v>
          </cell>
          <cell r="O15">
            <v>8744200.3812455796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0"/>
  <sheetViews>
    <sheetView tabSelected="1" workbookViewId="0">
      <selection activeCell="C15" sqref="C15"/>
    </sheetView>
  </sheetViews>
  <sheetFormatPr defaultRowHeight="12.75" x14ac:dyDescent="0.2"/>
  <cols>
    <col min="1" max="1" width="15" style="52" customWidth="1"/>
    <col min="2" max="2" width="16.7109375" style="52" customWidth="1"/>
    <col min="3" max="3" width="26.42578125" style="52" customWidth="1"/>
    <col min="4" max="4" width="28.28515625" style="52" customWidth="1"/>
    <col min="5" max="5" width="26.7109375" style="52" customWidth="1"/>
    <col min="6" max="6" width="22.28515625" style="52" customWidth="1"/>
    <col min="7" max="7" width="21.140625" style="52" customWidth="1"/>
    <col min="8" max="9" width="9.140625" style="52"/>
    <col min="10" max="10" width="10.28515625" style="52" customWidth="1"/>
    <col min="11" max="11" width="15" style="52" customWidth="1"/>
    <col min="12" max="12" width="17.28515625" style="52" customWidth="1"/>
    <col min="13" max="256" width="9.140625" style="52"/>
    <col min="257" max="257" width="15" style="52" customWidth="1"/>
    <col min="258" max="258" width="16.7109375" style="52" customWidth="1"/>
    <col min="259" max="259" width="26.42578125" style="52" customWidth="1"/>
    <col min="260" max="260" width="28.28515625" style="52" customWidth="1"/>
    <col min="261" max="261" width="26.7109375" style="52" customWidth="1"/>
    <col min="262" max="262" width="22.28515625" style="52" customWidth="1"/>
    <col min="263" max="263" width="21.140625" style="52" customWidth="1"/>
    <col min="264" max="265" width="9.140625" style="52"/>
    <col min="266" max="266" width="10.28515625" style="52" customWidth="1"/>
    <col min="267" max="267" width="15" style="52" customWidth="1"/>
    <col min="268" max="268" width="17.28515625" style="52" customWidth="1"/>
    <col min="269" max="512" width="9.140625" style="52"/>
    <col min="513" max="513" width="15" style="52" customWidth="1"/>
    <col min="514" max="514" width="16.7109375" style="52" customWidth="1"/>
    <col min="515" max="515" width="26.42578125" style="52" customWidth="1"/>
    <col min="516" max="516" width="28.28515625" style="52" customWidth="1"/>
    <col min="517" max="517" width="26.7109375" style="52" customWidth="1"/>
    <col min="518" max="518" width="22.28515625" style="52" customWidth="1"/>
    <col min="519" max="519" width="21.140625" style="52" customWidth="1"/>
    <col min="520" max="521" width="9.140625" style="52"/>
    <col min="522" max="522" width="10.28515625" style="52" customWidth="1"/>
    <col min="523" max="523" width="15" style="52" customWidth="1"/>
    <col min="524" max="524" width="17.28515625" style="52" customWidth="1"/>
    <col min="525" max="768" width="9.140625" style="52"/>
    <col min="769" max="769" width="15" style="52" customWidth="1"/>
    <col min="770" max="770" width="16.7109375" style="52" customWidth="1"/>
    <col min="771" max="771" width="26.42578125" style="52" customWidth="1"/>
    <col min="772" max="772" width="28.28515625" style="52" customWidth="1"/>
    <col min="773" max="773" width="26.7109375" style="52" customWidth="1"/>
    <col min="774" max="774" width="22.28515625" style="52" customWidth="1"/>
    <col min="775" max="775" width="21.140625" style="52" customWidth="1"/>
    <col min="776" max="777" width="9.140625" style="52"/>
    <col min="778" max="778" width="10.28515625" style="52" customWidth="1"/>
    <col min="779" max="779" width="15" style="52" customWidth="1"/>
    <col min="780" max="780" width="17.28515625" style="52" customWidth="1"/>
    <col min="781" max="1024" width="9.140625" style="52"/>
    <col min="1025" max="1025" width="15" style="52" customWidth="1"/>
    <col min="1026" max="1026" width="16.7109375" style="52" customWidth="1"/>
    <col min="1027" max="1027" width="26.42578125" style="52" customWidth="1"/>
    <col min="1028" max="1028" width="28.28515625" style="52" customWidth="1"/>
    <col min="1029" max="1029" width="26.7109375" style="52" customWidth="1"/>
    <col min="1030" max="1030" width="22.28515625" style="52" customWidth="1"/>
    <col min="1031" max="1031" width="21.140625" style="52" customWidth="1"/>
    <col min="1032" max="1033" width="9.140625" style="52"/>
    <col min="1034" max="1034" width="10.28515625" style="52" customWidth="1"/>
    <col min="1035" max="1035" width="15" style="52" customWidth="1"/>
    <col min="1036" max="1036" width="17.28515625" style="52" customWidth="1"/>
    <col min="1037" max="1280" width="9.140625" style="52"/>
    <col min="1281" max="1281" width="15" style="52" customWidth="1"/>
    <col min="1282" max="1282" width="16.7109375" style="52" customWidth="1"/>
    <col min="1283" max="1283" width="26.42578125" style="52" customWidth="1"/>
    <col min="1284" max="1284" width="28.28515625" style="52" customWidth="1"/>
    <col min="1285" max="1285" width="26.7109375" style="52" customWidth="1"/>
    <col min="1286" max="1286" width="22.28515625" style="52" customWidth="1"/>
    <col min="1287" max="1287" width="21.140625" style="52" customWidth="1"/>
    <col min="1288" max="1289" width="9.140625" style="52"/>
    <col min="1290" max="1290" width="10.28515625" style="52" customWidth="1"/>
    <col min="1291" max="1291" width="15" style="52" customWidth="1"/>
    <col min="1292" max="1292" width="17.28515625" style="52" customWidth="1"/>
    <col min="1293" max="1536" width="9.140625" style="52"/>
    <col min="1537" max="1537" width="15" style="52" customWidth="1"/>
    <col min="1538" max="1538" width="16.7109375" style="52" customWidth="1"/>
    <col min="1539" max="1539" width="26.42578125" style="52" customWidth="1"/>
    <col min="1540" max="1540" width="28.28515625" style="52" customWidth="1"/>
    <col min="1541" max="1541" width="26.7109375" style="52" customWidth="1"/>
    <col min="1542" max="1542" width="22.28515625" style="52" customWidth="1"/>
    <col min="1543" max="1543" width="21.140625" style="52" customWidth="1"/>
    <col min="1544" max="1545" width="9.140625" style="52"/>
    <col min="1546" max="1546" width="10.28515625" style="52" customWidth="1"/>
    <col min="1547" max="1547" width="15" style="52" customWidth="1"/>
    <col min="1548" max="1548" width="17.28515625" style="52" customWidth="1"/>
    <col min="1549" max="1792" width="9.140625" style="52"/>
    <col min="1793" max="1793" width="15" style="52" customWidth="1"/>
    <col min="1794" max="1794" width="16.7109375" style="52" customWidth="1"/>
    <col min="1795" max="1795" width="26.42578125" style="52" customWidth="1"/>
    <col min="1796" max="1796" width="28.28515625" style="52" customWidth="1"/>
    <col min="1797" max="1797" width="26.7109375" style="52" customWidth="1"/>
    <col min="1798" max="1798" width="22.28515625" style="52" customWidth="1"/>
    <col min="1799" max="1799" width="21.140625" style="52" customWidth="1"/>
    <col min="1800" max="1801" width="9.140625" style="52"/>
    <col min="1802" max="1802" width="10.28515625" style="52" customWidth="1"/>
    <col min="1803" max="1803" width="15" style="52" customWidth="1"/>
    <col min="1804" max="1804" width="17.28515625" style="52" customWidth="1"/>
    <col min="1805" max="2048" width="9.140625" style="52"/>
    <col min="2049" max="2049" width="15" style="52" customWidth="1"/>
    <col min="2050" max="2050" width="16.7109375" style="52" customWidth="1"/>
    <col min="2051" max="2051" width="26.42578125" style="52" customWidth="1"/>
    <col min="2052" max="2052" width="28.28515625" style="52" customWidth="1"/>
    <col min="2053" max="2053" width="26.7109375" style="52" customWidth="1"/>
    <col min="2054" max="2054" width="22.28515625" style="52" customWidth="1"/>
    <col min="2055" max="2055" width="21.140625" style="52" customWidth="1"/>
    <col min="2056" max="2057" width="9.140625" style="52"/>
    <col min="2058" max="2058" width="10.28515625" style="52" customWidth="1"/>
    <col min="2059" max="2059" width="15" style="52" customWidth="1"/>
    <col min="2060" max="2060" width="17.28515625" style="52" customWidth="1"/>
    <col min="2061" max="2304" width="9.140625" style="52"/>
    <col min="2305" max="2305" width="15" style="52" customWidth="1"/>
    <col min="2306" max="2306" width="16.7109375" style="52" customWidth="1"/>
    <col min="2307" max="2307" width="26.42578125" style="52" customWidth="1"/>
    <col min="2308" max="2308" width="28.28515625" style="52" customWidth="1"/>
    <col min="2309" max="2309" width="26.7109375" style="52" customWidth="1"/>
    <col min="2310" max="2310" width="22.28515625" style="52" customWidth="1"/>
    <col min="2311" max="2311" width="21.140625" style="52" customWidth="1"/>
    <col min="2312" max="2313" width="9.140625" style="52"/>
    <col min="2314" max="2314" width="10.28515625" style="52" customWidth="1"/>
    <col min="2315" max="2315" width="15" style="52" customWidth="1"/>
    <col min="2316" max="2316" width="17.28515625" style="52" customWidth="1"/>
    <col min="2317" max="2560" width="9.140625" style="52"/>
    <col min="2561" max="2561" width="15" style="52" customWidth="1"/>
    <col min="2562" max="2562" width="16.7109375" style="52" customWidth="1"/>
    <col min="2563" max="2563" width="26.42578125" style="52" customWidth="1"/>
    <col min="2564" max="2564" width="28.28515625" style="52" customWidth="1"/>
    <col min="2565" max="2565" width="26.7109375" style="52" customWidth="1"/>
    <col min="2566" max="2566" width="22.28515625" style="52" customWidth="1"/>
    <col min="2567" max="2567" width="21.140625" style="52" customWidth="1"/>
    <col min="2568" max="2569" width="9.140625" style="52"/>
    <col min="2570" max="2570" width="10.28515625" style="52" customWidth="1"/>
    <col min="2571" max="2571" width="15" style="52" customWidth="1"/>
    <col min="2572" max="2572" width="17.28515625" style="52" customWidth="1"/>
    <col min="2573" max="2816" width="9.140625" style="52"/>
    <col min="2817" max="2817" width="15" style="52" customWidth="1"/>
    <col min="2818" max="2818" width="16.7109375" style="52" customWidth="1"/>
    <col min="2819" max="2819" width="26.42578125" style="52" customWidth="1"/>
    <col min="2820" max="2820" width="28.28515625" style="52" customWidth="1"/>
    <col min="2821" max="2821" width="26.7109375" style="52" customWidth="1"/>
    <col min="2822" max="2822" width="22.28515625" style="52" customWidth="1"/>
    <col min="2823" max="2823" width="21.140625" style="52" customWidth="1"/>
    <col min="2824" max="2825" width="9.140625" style="52"/>
    <col min="2826" max="2826" width="10.28515625" style="52" customWidth="1"/>
    <col min="2827" max="2827" width="15" style="52" customWidth="1"/>
    <col min="2828" max="2828" width="17.28515625" style="52" customWidth="1"/>
    <col min="2829" max="3072" width="9.140625" style="52"/>
    <col min="3073" max="3073" width="15" style="52" customWidth="1"/>
    <col min="3074" max="3074" width="16.7109375" style="52" customWidth="1"/>
    <col min="3075" max="3075" width="26.42578125" style="52" customWidth="1"/>
    <col min="3076" max="3076" width="28.28515625" style="52" customWidth="1"/>
    <col min="3077" max="3077" width="26.7109375" style="52" customWidth="1"/>
    <col min="3078" max="3078" width="22.28515625" style="52" customWidth="1"/>
    <col min="3079" max="3079" width="21.140625" style="52" customWidth="1"/>
    <col min="3080" max="3081" width="9.140625" style="52"/>
    <col min="3082" max="3082" width="10.28515625" style="52" customWidth="1"/>
    <col min="3083" max="3083" width="15" style="52" customWidth="1"/>
    <col min="3084" max="3084" width="17.28515625" style="52" customWidth="1"/>
    <col min="3085" max="3328" width="9.140625" style="52"/>
    <col min="3329" max="3329" width="15" style="52" customWidth="1"/>
    <col min="3330" max="3330" width="16.7109375" style="52" customWidth="1"/>
    <col min="3331" max="3331" width="26.42578125" style="52" customWidth="1"/>
    <col min="3332" max="3332" width="28.28515625" style="52" customWidth="1"/>
    <col min="3333" max="3333" width="26.7109375" style="52" customWidth="1"/>
    <col min="3334" max="3334" width="22.28515625" style="52" customWidth="1"/>
    <col min="3335" max="3335" width="21.140625" style="52" customWidth="1"/>
    <col min="3336" max="3337" width="9.140625" style="52"/>
    <col min="3338" max="3338" width="10.28515625" style="52" customWidth="1"/>
    <col min="3339" max="3339" width="15" style="52" customWidth="1"/>
    <col min="3340" max="3340" width="17.28515625" style="52" customWidth="1"/>
    <col min="3341" max="3584" width="9.140625" style="52"/>
    <col min="3585" max="3585" width="15" style="52" customWidth="1"/>
    <col min="3586" max="3586" width="16.7109375" style="52" customWidth="1"/>
    <col min="3587" max="3587" width="26.42578125" style="52" customWidth="1"/>
    <col min="3588" max="3588" width="28.28515625" style="52" customWidth="1"/>
    <col min="3589" max="3589" width="26.7109375" style="52" customWidth="1"/>
    <col min="3590" max="3590" width="22.28515625" style="52" customWidth="1"/>
    <col min="3591" max="3591" width="21.140625" style="52" customWidth="1"/>
    <col min="3592" max="3593" width="9.140625" style="52"/>
    <col min="3594" max="3594" width="10.28515625" style="52" customWidth="1"/>
    <col min="3595" max="3595" width="15" style="52" customWidth="1"/>
    <col min="3596" max="3596" width="17.28515625" style="52" customWidth="1"/>
    <col min="3597" max="3840" width="9.140625" style="52"/>
    <col min="3841" max="3841" width="15" style="52" customWidth="1"/>
    <col min="3842" max="3842" width="16.7109375" style="52" customWidth="1"/>
    <col min="3843" max="3843" width="26.42578125" style="52" customWidth="1"/>
    <col min="3844" max="3844" width="28.28515625" style="52" customWidth="1"/>
    <col min="3845" max="3845" width="26.7109375" style="52" customWidth="1"/>
    <col min="3846" max="3846" width="22.28515625" style="52" customWidth="1"/>
    <col min="3847" max="3847" width="21.140625" style="52" customWidth="1"/>
    <col min="3848" max="3849" width="9.140625" style="52"/>
    <col min="3850" max="3850" width="10.28515625" style="52" customWidth="1"/>
    <col min="3851" max="3851" width="15" style="52" customWidth="1"/>
    <col min="3852" max="3852" width="17.28515625" style="52" customWidth="1"/>
    <col min="3853" max="4096" width="9.140625" style="52"/>
    <col min="4097" max="4097" width="15" style="52" customWidth="1"/>
    <col min="4098" max="4098" width="16.7109375" style="52" customWidth="1"/>
    <col min="4099" max="4099" width="26.42578125" style="52" customWidth="1"/>
    <col min="4100" max="4100" width="28.28515625" style="52" customWidth="1"/>
    <col min="4101" max="4101" width="26.7109375" style="52" customWidth="1"/>
    <col min="4102" max="4102" width="22.28515625" style="52" customWidth="1"/>
    <col min="4103" max="4103" width="21.140625" style="52" customWidth="1"/>
    <col min="4104" max="4105" width="9.140625" style="52"/>
    <col min="4106" max="4106" width="10.28515625" style="52" customWidth="1"/>
    <col min="4107" max="4107" width="15" style="52" customWidth="1"/>
    <col min="4108" max="4108" width="17.28515625" style="52" customWidth="1"/>
    <col min="4109" max="4352" width="9.140625" style="52"/>
    <col min="4353" max="4353" width="15" style="52" customWidth="1"/>
    <col min="4354" max="4354" width="16.7109375" style="52" customWidth="1"/>
    <col min="4355" max="4355" width="26.42578125" style="52" customWidth="1"/>
    <col min="4356" max="4356" width="28.28515625" style="52" customWidth="1"/>
    <col min="4357" max="4357" width="26.7109375" style="52" customWidth="1"/>
    <col min="4358" max="4358" width="22.28515625" style="52" customWidth="1"/>
    <col min="4359" max="4359" width="21.140625" style="52" customWidth="1"/>
    <col min="4360" max="4361" width="9.140625" style="52"/>
    <col min="4362" max="4362" width="10.28515625" style="52" customWidth="1"/>
    <col min="4363" max="4363" width="15" style="52" customWidth="1"/>
    <col min="4364" max="4364" width="17.28515625" style="52" customWidth="1"/>
    <col min="4365" max="4608" width="9.140625" style="52"/>
    <col min="4609" max="4609" width="15" style="52" customWidth="1"/>
    <col min="4610" max="4610" width="16.7109375" style="52" customWidth="1"/>
    <col min="4611" max="4611" width="26.42578125" style="52" customWidth="1"/>
    <col min="4612" max="4612" width="28.28515625" style="52" customWidth="1"/>
    <col min="4613" max="4613" width="26.7109375" style="52" customWidth="1"/>
    <col min="4614" max="4614" width="22.28515625" style="52" customWidth="1"/>
    <col min="4615" max="4615" width="21.140625" style="52" customWidth="1"/>
    <col min="4616" max="4617" width="9.140625" style="52"/>
    <col min="4618" max="4618" width="10.28515625" style="52" customWidth="1"/>
    <col min="4619" max="4619" width="15" style="52" customWidth="1"/>
    <col min="4620" max="4620" width="17.28515625" style="52" customWidth="1"/>
    <col min="4621" max="4864" width="9.140625" style="52"/>
    <col min="4865" max="4865" width="15" style="52" customWidth="1"/>
    <col min="4866" max="4866" width="16.7109375" style="52" customWidth="1"/>
    <col min="4867" max="4867" width="26.42578125" style="52" customWidth="1"/>
    <col min="4868" max="4868" width="28.28515625" style="52" customWidth="1"/>
    <col min="4869" max="4869" width="26.7109375" style="52" customWidth="1"/>
    <col min="4870" max="4870" width="22.28515625" style="52" customWidth="1"/>
    <col min="4871" max="4871" width="21.140625" style="52" customWidth="1"/>
    <col min="4872" max="4873" width="9.140625" style="52"/>
    <col min="4874" max="4874" width="10.28515625" style="52" customWidth="1"/>
    <col min="4875" max="4875" width="15" style="52" customWidth="1"/>
    <col min="4876" max="4876" width="17.28515625" style="52" customWidth="1"/>
    <col min="4877" max="5120" width="9.140625" style="52"/>
    <col min="5121" max="5121" width="15" style="52" customWidth="1"/>
    <col min="5122" max="5122" width="16.7109375" style="52" customWidth="1"/>
    <col min="5123" max="5123" width="26.42578125" style="52" customWidth="1"/>
    <col min="5124" max="5124" width="28.28515625" style="52" customWidth="1"/>
    <col min="5125" max="5125" width="26.7109375" style="52" customWidth="1"/>
    <col min="5126" max="5126" width="22.28515625" style="52" customWidth="1"/>
    <col min="5127" max="5127" width="21.140625" style="52" customWidth="1"/>
    <col min="5128" max="5129" width="9.140625" style="52"/>
    <col min="5130" max="5130" width="10.28515625" style="52" customWidth="1"/>
    <col min="5131" max="5131" width="15" style="52" customWidth="1"/>
    <col min="5132" max="5132" width="17.28515625" style="52" customWidth="1"/>
    <col min="5133" max="5376" width="9.140625" style="52"/>
    <col min="5377" max="5377" width="15" style="52" customWidth="1"/>
    <col min="5378" max="5378" width="16.7109375" style="52" customWidth="1"/>
    <col min="5379" max="5379" width="26.42578125" style="52" customWidth="1"/>
    <col min="5380" max="5380" width="28.28515625" style="52" customWidth="1"/>
    <col min="5381" max="5381" width="26.7109375" style="52" customWidth="1"/>
    <col min="5382" max="5382" width="22.28515625" style="52" customWidth="1"/>
    <col min="5383" max="5383" width="21.140625" style="52" customWidth="1"/>
    <col min="5384" max="5385" width="9.140625" style="52"/>
    <col min="5386" max="5386" width="10.28515625" style="52" customWidth="1"/>
    <col min="5387" max="5387" width="15" style="52" customWidth="1"/>
    <col min="5388" max="5388" width="17.28515625" style="52" customWidth="1"/>
    <col min="5389" max="5632" width="9.140625" style="52"/>
    <col min="5633" max="5633" width="15" style="52" customWidth="1"/>
    <col min="5634" max="5634" width="16.7109375" style="52" customWidth="1"/>
    <col min="5635" max="5635" width="26.42578125" style="52" customWidth="1"/>
    <col min="5636" max="5636" width="28.28515625" style="52" customWidth="1"/>
    <col min="5637" max="5637" width="26.7109375" style="52" customWidth="1"/>
    <col min="5638" max="5638" width="22.28515625" style="52" customWidth="1"/>
    <col min="5639" max="5639" width="21.140625" style="52" customWidth="1"/>
    <col min="5640" max="5641" width="9.140625" style="52"/>
    <col min="5642" max="5642" width="10.28515625" style="52" customWidth="1"/>
    <col min="5643" max="5643" width="15" style="52" customWidth="1"/>
    <col min="5644" max="5644" width="17.28515625" style="52" customWidth="1"/>
    <col min="5645" max="5888" width="9.140625" style="52"/>
    <col min="5889" max="5889" width="15" style="52" customWidth="1"/>
    <col min="5890" max="5890" width="16.7109375" style="52" customWidth="1"/>
    <col min="5891" max="5891" width="26.42578125" style="52" customWidth="1"/>
    <col min="5892" max="5892" width="28.28515625" style="52" customWidth="1"/>
    <col min="5893" max="5893" width="26.7109375" style="52" customWidth="1"/>
    <col min="5894" max="5894" width="22.28515625" style="52" customWidth="1"/>
    <col min="5895" max="5895" width="21.140625" style="52" customWidth="1"/>
    <col min="5896" max="5897" width="9.140625" style="52"/>
    <col min="5898" max="5898" width="10.28515625" style="52" customWidth="1"/>
    <col min="5899" max="5899" width="15" style="52" customWidth="1"/>
    <col min="5900" max="5900" width="17.28515625" style="52" customWidth="1"/>
    <col min="5901" max="6144" width="9.140625" style="52"/>
    <col min="6145" max="6145" width="15" style="52" customWidth="1"/>
    <col min="6146" max="6146" width="16.7109375" style="52" customWidth="1"/>
    <col min="6147" max="6147" width="26.42578125" style="52" customWidth="1"/>
    <col min="6148" max="6148" width="28.28515625" style="52" customWidth="1"/>
    <col min="6149" max="6149" width="26.7109375" style="52" customWidth="1"/>
    <col min="6150" max="6150" width="22.28515625" style="52" customWidth="1"/>
    <col min="6151" max="6151" width="21.140625" style="52" customWidth="1"/>
    <col min="6152" max="6153" width="9.140625" style="52"/>
    <col min="6154" max="6154" width="10.28515625" style="52" customWidth="1"/>
    <col min="6155" max="6155" width="15" style="52" customWidth="1"/>
    <col min="6156" max="6156" width="17.28515625" style="52" customWidth="1"/>
    <col min="6157" max="6400" width="9.140625" style="52"/>
    <col min="6401" max="6401" width="15" style="52" customWidth="1"/>
    <col min="6402" max="6402" width="16.7109375" style="52" customWidth="1"/>
    <col min="6403" max="6403" width="26.42578125" style="52" customWidth="1"/>
    <col min="6404" max="6404" width="28.28515625" style="52" customWidth="1"/>
    <col min="6405" max="6405" width="26.7109375" style="52" customWidth="1"/>
    <col min="6406" max="6406" width="22.28515625" style="52" customWidth="1"/>
    <col min="6407" max="6407" width="21.140625" style="52" customWidth="1"/>
    <col min="6408" max="6409" width="9.140625" style="52"/>
    <col min="6410" max="6410" width="10.28515625" style="52" customWidth="1"/>
    <col min="6411" max="6411" width="15" style="52" customWidth="1"/>
    <col min="6412" max="6412" width="17.28515625" style="52" customWidth="1"/>
    <col min="6413" max="6656" width="9.140625" style="52"/>
    <col min="6657" max="6657" width="15" style="52" customWidth="1"/>
    <col min="6658" max="6658" width="16.7109375" style="52" customWidth="1"/>
    <col min="6659" max="6659" width="26.42578125" style="52" customWidth="1"/>
    <col min="6660" max="6660" width="28.28515625" style="52" customWidth="1"/>
    <col min="6661" max="6661" width="26.7109375" style="52" customWidth="1"/>
    <col min="6662" max="6662" width="22.28515625" style="52" customWidth="1"/>
    <col min="6663" max="6663" width="21.140625" style="52" customWidth="1"/>
    <col min="6664" max="6665" width="9.140625" style="52"/>
    <col min="6666" max="6666" width="10.28515625" style="52" customWidth="1"/>
    <col min="6667" max="6667" width="15" style="52" customWidth="1"/>
    <col min="6668" max="6668" width="17.28515625" style="52" customWidth="1"/>
    <col min="6669" max="6912" width="9.140625" style="52"/>
    <col min="6913" max="6913" width="15" style="52" customWidth="1"/>
    <col min="6914" max="6914" width="16.7109375" style="52" customWidth="1"/>
    <col min="6915" max="6915" width="26.42578125" style="52" customWidth="1"/>
    <col min="6916" max="6916" width="28.28515625" style="52" customWidth="1"/>
    <col min="6917" max="6917" width="26.7109375" style="52" customWidth="1"/>
    <col min="6918" max="6918" width="22.28515625" style="52" customWidth="1"/>
    <col min="6919" max="6919" width="21.140625" style="52" customWidth="1"/>
    <col min="6920" max="6921" width="9.140625" style="52"/>
    <col min="6922" max="6922" width="10.28515625" style="52" customWidth="1"/>
    <col min="6923" max="6923" width="15" style="52" customWidth="1"/>
    <col min="6924" max="6924" width="17.28515625" style="52" customWidth="1"/>
    <col min="6925" max="7168" width="9.140625" style="52"/>
    <col min="7169" max="7169" width="15" style="52" customWidth="1"/>
    <col min="7170" max="7170" width="16.7109375" style="52" customWidth="1"/>
    <col min="7171" max="7171" width="26.42578125" style="52" customWidth="1"/>
    <col min="7172" max="7172" width="28.28515625" style="52" customWidth="1"/>
    <col min="7173" max="7173" width="26.7109375" style="52" customWidth="1"/>
    <col min="7174" max="7174" width="22.28515625" style="52" customWidth="1"/>
    <col min="7175" max="7175" width="21.140625" style="52" customWidth="1"/>
    <col min="7176" max="7177" width="9.140625" style="52"/>
    <col min="7178" max="7178" width="10.28515625" style="52" customWidth="1"/>
    <col min="7179" max="7179" width="15" style="52" customWidth="1"/>
    <col min="7180" max="7180" width="17.28515625" style="52" customWidth="1"/>
    <col min="7181" max="7424" width="9.140625" style="52"/>
    <col min="7425" max="7425" width="15" style="52" customWidth="1"/>
    <col min="7426" max="7426" width="16.7109375" style="52" customWidth="1"/>
    <col min="7427" max="7427" width="26.42578125" style="52" customWidth="1"/>
    <col min="7428" max="7428" width="28.28515625" style="52" customWidth="1"/>
    <col min="7429" max="7429" width="26.7109375" style="52" customWidth="1"/>
    <col min="7430" max="7430" width="22.28515625" style="52" customWidth="1"/>
    <col min="7431" max="7431" width="21.140625" style="52" customWidth="1"/>
    <col min="7432" max="7433" width="9.140625" style="52"/>
    <col min="7434" max="7434" width="10.28515625" style="52" customWidth="1"/>
    <col min="7435" max="7435" width="15" style="52" customWidth="1"/>
    <col min="7436" max="7436" width="17.28515625" style="52" customWidth="1"/>
    <col min="7437" max="7680" width="9.140625" style="52"/>
    <col min="7681" max="7681" width="15" style="52" customWidth="1"/>
    <col min="7682" max="7682" width="16.7109375" style="52" customWidth="1"/>
    <col min="7683" max="7683" width="26.42578125" style="52" customWidth="1"/>
    <col min="7684" max="7684" width="28.28515625" style="52" customWidth="1"/>
    <col min="7685" max="7685" width="26.7109375" style="52" customWidth="1"/>
    <col min="7686" max="7686" width="22.28515625" style="52" customWidth="1"/>
    <col min="7687" max="7687" width="21.140625" style="52" customWidth="1"/>
    <col min="7688" max="7689" width="9.140625" style="52"/>
    <col min="7690" max="7690" width="10.28515625" style="52" customWidth="1"/>
    <col min="7691" max="7691" width="15" style="52" customWidth="1"/>
    <col min="7692" max="7692" width="17.28515625" style="52" customWidth="1"/>
    <col min="7693" max="7936" width="9.140625" style="52"/>
    <col min="7937" max="7937" width="15" style="52" customWidth="1"/>
    <col min="7938" max="7938" width="16.7109375" style="52" customWidth="1"/>
    <col min="7939" max="7939" width="26.42578125" style="52" customWidth="1"/>
    <col min="7940" max="7940" width="28.28515625" style="52" customWidth="1"/>
    <col min="7941" max="7941" width="26.7109375" style="52" customWidth="1"/>
    <col min="7942" max="7942" width="22.28515625" style="52" customWidth="1"/>
    <col min="7943" max="7943" width="21.140625" style="52" customWidth="1"/>
    <col min="7944" max="7945" width="9.140625" style="52"/>
    <col min="7946" max="7946" width="10.28515625" style="52" customWidth="1"/>
    <col min="7947" max="7947" width="15" style="52" customWidth="1"/>
    <col min="7948" max="7948" width="17.28515625" style="52" customWidth="1"/>
    <col min="7949" max="8192" width="9.140625" style="52"/>
    <col min="8193" max="8193" width="15" style="52" customWidth="1"/>
    <col min="8194" max="8194" width="16.7109375" style="52" customWidth="1"/>
    <col min="8195" max="8195" width="26.42578125" style="52" customWidth="1"/>
    <col min="8196" max="8196" width="28.28515625" style="52" customWidth="1"/>
    <col min="8197" max="8197" width="26.7109375" style="52" customWidth="1"/>
    <col min="8198" max="8198" width="22.28515625" style="52" customWidth="1"/>
    <col min="8199" max="8199" width="21.140625" style="52" customWidth="1"/>
    <col min="8200" max="8201" width="9.140625" style="52"/>
    <col min="8202" max="8202" width="10.28515625" style="52" customWidth="1"/>
    <col min="8203" max="8203" width="15" style="52" customWidth="1"/>
    <col min="8204" max="8204" width="17.28515625" style="52" customWidth="1"/>
    <col min="8205" max="8448" width="9.140625" style="52"/>
    <col min="8449" max="8449" width="15" style="52" customWidth="1"/>
    <col min="8450" max="8450" width="16.7109375" style="52" customWidth="1"/>
    <col min="8451" max="8451" width="26.42578125" style="52" customWidth="1"/>
    <col min="8452" max="8452" width="28.28515625" style="52" customWidth="1"/>
    <col min="8453" max="8453" width="26.7109375" style="52" customWidth="1"/>
    <col min="8454" max="8454" width="22.28515625" style="52" customWidth="1"/>
    <col min="8455" max="8455" width="21.140625" style="52" customWidth="1"/>
    <col min="8456" max="8457" width="9.140625" style="52"/>
    <col min="8458" max="8458" width="10.28515625" style="52" customWidth="1"/>
    <col min="8459" max="8459" width="15" style="52" customWidth="1"/>
    <col min="8460" max="8460" width="17.28515625" style="52" customWidth="1"/>
    <col min="8461" max="8704" width="9.140625" style="52"/>
    <col min="8705" max="8705" width="15" style="52" customWidth="1"/>
    <col min="8706" max="8706" width="16.7109375" style="52" customWidth="1"/>
    <col min="8707" max="8707" width="26.42578125" style="52" customWidth="1"/>
    <col min="8708" max="8708" width="28.28515625" style="52" customWidth="1"/>
    <col min="8709" max="8709" width="26.7109375" style="52" customWidth="1"/>
    <col min="8710" max="8710" width="22.28515625" style="52" customWidth="1"/>
    <col min="8711" max="8711" width="21.140625" style="52" customWidth="1"/>
    <col min="8712" max="8713" width="9.140625" style="52"/>
    <col min="8714" max="8714" width="10.28515625" style="52" customWidth="1"/>
    <col min="8715" max="8715" width="15" style="52" customWidth="1"/>
    <col min="8716" max="8716" width="17.28515625" style="52" customWidth="1"/>
    <col min="8717" max="8960" width="9.140625" style="52"/>
    <col min="8961" max="8961" width="15" style="52" customWidth="1"/>
    <col min="8962" max="8962" width="16.7109375" style="52" customWidth="1"/>
    <col min="8963" max="8963" width="26.42578125" style="52" customWidth="1"/>
    <col min="8964" max="8964" width="28.28515625" style="52" customWidth="1"/>
    <col min="8965" max="8965" width="26.7109375" style="52" customWidth="1"/>
    <col min="8966" max="8966" width="22.28515625" style="52" customWidth="1"/>
    <col min="8967" max="8967" width="21.140625" style="52" customWidth="1"/>
    <col min="8968" max="8969" width="9.140625" style="52"/>
    <col min="8970" max="8970" width="10.28515625" style="52" customWidth="1"/>
    <col min="8971" max="8971" width="15" style="52" customWidth="1"/>
    <col min="8972" max="8972" width="17.28515625" style="52" customWidth="1"/>
    <col min="8973" max="9216" width="9.140625" style="52"/>
    <col min="9217" max="9217" width="15" style="52" customWidth="1"/>
    <col min="9218" max="9218" width="16.7109375" style="52" customWidth="1"/>
    <col min="9219" max="9219" width="26.42578125" style="52" customWidth="1"/>
    <col min="9220" max="9220" width="28.28515625" style="52" customWidth="1"/>
    <col min="9221" max="9221" width="26.7109375" style="52" customWidth="1"/>
    <col min="9222" max="9222" width="22.28515625" style="52" customWidth="1"/>
    <col min="9223" max="9223" width="21.140625" style="52" customWidth="1"/>
    <col min="9224" max="9225" width="9.140625" style="52"/>
    <col min="9226" max="9226" width="10.28515625" style="52" customWidth="1"/>
    <col min="9227" max="9227" width="15" style="52" customWidth="1"/>
    <col min="9228" max="9228" width="17.28515625" style="52" customWidth="1"/>
    <col min="9229" max="9472" width="9.140625" style="52"/>
    <col min="9473" max="9473" width="15" style="52" customWidth="1"/>
    <col min="9474" max="9474" width="16.7109375" style="52" customWidth="1"/>
    <col min="9475" max="9475" width="26.42578125" style="52" customWidth="1"/>
    <col min="9476" max="9476" width="28.28515625" style="52" customWidth="1"/>
    <col min="9477" max="9477" width="26.7109375" style="52" customWidth="1"/>
    <col min="9478" max="9478" width="22.28515625" style="52" customWidth="1"/>
    <col min="9479" max="9479" width="21.140625" style="52" customWidth="1"/>
    <col min="9480" max="9481" width="9.140625" style="52"/>
    <col min="9482" max="9482" width="10.28515625" style="52" customWidth="1"/>
    <col min="9483" max="9483" width="15" style="52" customWidth="1"/>
    <col min="9484" max="9484" width="17.28515625" style="52" customWidth="1"/>
    <col min="9485" max="9728" width="9.140625" style="52"/>
    <col min="9729" max="9729" width="15" style="52" customWidth="1"/>
    <col min="9730" max="9730" width="16.7109375" style="52" customWidth="1"/>
    <col min="9731" max="9731" width="26.42578125" style="52" customWidth="1"/>
    <col min="9732" max="9732" width="28.28515625" style="52" customWidth="1"/>
    <col min="9733" max="9733" width="26.7109375" style="52" customWidth="1"/>
    <col min="9734" max="9734" width="22.28515625" style="52" customWidth="1"/>
    <col min="9735" max="9735" width="21.140625" style="52" customWidth="1"/>
    <col min="9736" max="9737" width="9.140625" style="52"/>
    <col min="9738" max="9738" width="10.28515625" style="52" customWidth="1"/>
    <col min="9739" max="9739" width="15" style="52" customWidth="1"/>
    <col min="9740" max="9740" width="17.28515625" style="52" customWidth="1"/>
    <col min="9741" max="9984" width="9.140625" style="52"/>
    <col min="9985" max="9985" width="15" style="52" customWidth="1"/>
    <col min="9986" max="9986" width="16.7109375" style="52" customWidth="1"/>
    <col min="9987" max="9987" width="26.42578125" style="52" customWidth="1"/>
    <col min="9988" max="9988" width="28.28515625" style="52" customWidth="1"/>
    <col min="9989" max="9989" width="26.7109375" style="52" customWidth="1"/>
    <col min="9990" max="9990" width="22.28515625" style="52" customWidth="1"/>
    <col min="9991" max="9991" width="21.140625" style="52" customWidth="1"/>
    <col min="9992" max="9993" width="9.140625" style="52"/>
    <col min="9994" max="9994" width="10.28515625" style="52" customWidth="1"/>
    <col min="9995" max="9995" width="15" style="52" customWidth="1"/>
    <col min="9996" max="9996" width="17.28515625" style="52" customWidth="1"/>
    <col min="9997" max="10240" width="9.140625" style="52"/>
    <col min="10241" max="10241" width="15" style="52" customWidth="1"/>
    <col min="10242" max="10242" width="16.7109375" style="52" customWidth="1"/>
    <col min="10243" max="10243" width="26.42578125" style="52" customWidth="1"/>
    <col min="10244" max="10244" width="28.28515625" style="52" customWidth="1"/>
    <col min="10245" max="10245" width="26.7109375" style="52" customWidth="1"/>
    <col min="10246" max="10246" width="22.28515625" style="52" customWidth="1"/>
    <col min="10247" max="10247" width="21.140625" style="52" customWidth="1"/>
    <col min="10248" max="10249" width="9.140625" style="52"/>
    <col min="10250" max="10250" width="10.28515625" style="52" customWidth="1"/>
    <col min="10251" max="10251" width="15" style="52" customWidth="1"/>
    <col min="10252" max="10252" width="17.28515625" style="52" customWidth="1"/>
    <col min="10253" max="10496" width="9.140625" style="52"/>
    <col min="10497" max="10497" width="15" style="52" customWidth="1"/>
    <col min="10498" max="10498" width="16.7109375" style="52" customWidth="1"/>
    <col min="10499" max="10499" width="26.42578125" style="52" customWidth="1"/>
    <col min="10500" max="10500" width="28.28515625" style="52" customWidth="1"/>
    <col min="10501" max="10501" width="26.7109375" style="52" customWidth="1"/>
    <col min="10502" max="10502" width="22.28515625" style="52" customWidth="1"/>
    <col min="10503" max="10503" width="21.140625" style="52" customWidth="1"/>
    <col min="10504" max="10505" width="9.140625" style="52"/>
    <col min="10506" max="10506" width="10.28515625" style="52" customWidth="1"/>
    <col min="10507" max="10507" width="15" style="52" customWidth="1"/>
    <col min="10508" max="10508" width="17.28515625" style="52" customWidth="1"/>
    <col min="10509" max="10752" width="9.140625" style="52"/>
    <col min="10753" max="10753" width="15" style="52" customWidth="1"/>
    <col min="10754" max="10754" width="16.7109375" style="52" customWidth="1"/>
    <col min="10755" max="10755" width="26.42578125" style="52" customWidth="1"/>
    <col min="10756" max="10756" width="28.28515625" style="52" customWidth="1"/>
    <col min="10757" max="10757" width="26.7109375" style="52" customWidth="1"/>
    <col min="10758" max="10758" width="22.28515625" style="52" customWidth="1"/>
    <col min="10759" max="10759" width="21.140625" style="52" customWidth="1"/>
    <col min="10760" max="10761" width="9.140625" style="52"/>
    <col min="10762" max="10762" width="10.28515625" style="52" customWidth="1"/>
    <col min="10763" max="10763" width="15" style="52" customWidth="1"/>
    <col min="10764" max="10764" width="17.28515625" style="52" customWidth="1"/>
    <col min="10765" max="11008" width="9.140625" style="52"/>
    <col min="11009" max="11009" width="15" style="52" customWidth="1"/>
    <col min="11010" max="11010" width="16.7109375" style="52" customWidth="1"/>
    <col min="11011" max="11011" width="26.42578125" style="52" customWidth="1"/>
    <col min="11012" max="11012" width="28.28515625" style="52" customWidth="1"/>
    <col min="11013" max="11013" width="26.7109375" style="52" customWidth="1"/>
    <col min="11014" max="11014" width="22.28515625" style="52" customWidth="1"/>
    <col min="11015" max="11015" width="21.140625" style="52" customWidth="1"/>
    <col min="11016" max="11017" width="9.140625" style="52"/>
    <col min="11018" max="11018" width="10.28515625" style="52" customWidth="1"/>
    <col min="11019" max="11019" width="15" style="52" customWidth="1"/>
    <col min="11020" max="11020" width="17.28515625" style="52" customWidth="1"/>
    <col min="11021" max="11264" width="9.140625" style="52"/>
    <col min="11265" max="11265" width="15" style="52" customWidth="1"/>
    <col min="11266" max="11266" width="16.7109375" style="52" customWidth="1"/>
    <col min="11267" max="11267" width="26.42578125" style="52" customWidth="1"/>
    <col min="11268" max="11268" width="28.28515625" style="52" customWidth="1"/>
    <col min="11269" max="11269" width="26.7109375" style="52" customWidth="1"/>
    <col min="11270" max="11270" width="22.28515625" style="52" customWidth="1"/>
    <col min="11271" max="11271" width="21.140625" style="52" customWidth="1"/>
    <col min="11272" max="11273" width="9.140625" style="52"/>
    <col min="11274" max="11274" width="10.28515625" style="52" customWidth="1"/>
    <col min="11275" max="11275" width="15" style="52" customWidth="1"/>
    <col min="11276" max="11276" width="17.28515625" style="52" customWidth="1"/>
    <col min="11277" max="11520" width="9.140625" style="52"/>
    <col min="11521" max="11521" width="15" style="52" customWidth="1"/>
    <col min="11522" max="11522" width="16.7109375" style="52" customWidth="1"/>
    <col min="11523" max="11523" width="26.42578125" style="52" customWidth="1"/>
    <col min="11524" max="11524" width="28.28515625" style="52" customWidth="1"/>
    <col min="11525" max="11525" width="26.7109375" style="52" customWidth="1"/>
    <col min="11526" max="11526" width="22.28515625" style="52" customWidth="1"/>
    <col min="11527" max="11527" width="21.140625" style="52" customWidth="1"/>
    <col min="11528" max="11529" width="9.140625" style="52"/>
    <col min="11530" max="11530" width="10.28515625" style="52" customWidth="1"/>
    <col min="11531" max="11531" width="15" style="52" customWidth="1"/>
    <col min="11532" max="11532" width="17.28515625" style="52" customWidth="1"/>
    <col min="11533" max="11776" width="9.140625" style="52"/>
    <col min="11777" max="11777" width="15" style="52" customWidth="1"/>
    <col min="11778" max="11778" width="16.7109375" style="52" customWidth="1"/>
    <col min="11779" max="11779" width="26.42578125" style="52" customWidth="1"/>
    <col min="11780" max="11780" width="28.28515625" style="52" customWidth="1"/>
    <col min="11781" max="11781" width="26.7109375" style="52" customWidth="1"/>
    <col min="11782" max="11782" width="22.28515625" style="52" customWidth="1"/>
    <col min="11783" max="11783" width="21.140625" style="52" customWidth="1"/>
    <col min="11784" max="11785" width="9.140625" style="52"/>
    <col min="11786" max="11786" width="10.28515625" style="52" customWidth="1"/>
    <col min="11787" max="11787" width="15" style="52" customWidth="1"/>
    <col min="11788" max="11788" width="17.28515625" style="52" customWidth="1"/>
    <col min="11789" max="12032" width="9.140625" style="52"/>
    <col min="12033" max="12033" width="15" style="52" customWidth="1"/>
    <col min="12034" max="12034" width="16.7109375" style="52" customWidth="1"/>
    <col min="12035" max="12035" width="26.42578125" style="52" customWidth="1"/>
    <col min="12036" max="12036" width="28.28515625" style="52" customWidth="1"/>
    <col min="12037" max="12037" width="26.7109375" style="52" customWidth="1"/>
    <col min="12038" max="12038" width="22.28515625" style="52" customWidth="1"/>
    <col min="12039" max="12039" width="21.140625" style="52" customWidth="1"/>
    <col min="12040" max="12041" width="9.140625" style="52"/>
    <col min="12042" max="12042" width="10.28515625" style="52" customWidth="1"/>
    <col min="12043" max="12043" width="15" style="52" customWidth="1"/>
    <col min="12044" max="12044" width="17.28515625" style="52" customWidth="1"/>
    <col min="12045" max="12288" width="9.140625" style="52"/>
    <col min="12289" max="12289" width="15" style="52" customWidth="1"/>
    <col min="12290" max="12290" width="16.7109375" style="52" customWidth="1"/>
    <col min="12291" max="12291" width="26.42578125" style="52" customWidth="1"/>
    <col min="12292" max="12292" width="28.28515625" style="52" customWidth="1"/>
    <col min="12293" max="12293" width="26.7109375" style="52" customWidth="1"/>
    <col min="12294" max="12294" width="22.28515625" style="52" customWidth="1"/>
    <col min="12295" max="12295" width="21.140625" style="52" customWidth="1"/>
    <col min="12296" max="12297" width="9.140625" style="52"/>
    <col min="12298" max="12298" width="10.28515625" style="52" customWidth="1"/>
    <col min="12299" max="12299" width="15" style="52" customWidth="1"/>
    <col min="12300" max="12300" width="17.28515625" style="52" customWidth="1"/>
    <col min="12301" max="12544" width="9.140625" style="52"/>
    <col min="12545" max="12545" width="15" style="52" customWidth="1"/>
    <col min="12546" max="12546" width="16.7109375" style="52" customWidth="1"/>
    <col min="12547" max="12547" width="26.42578125" style="52" customWidth="1"/>
    <col min="12548" max="12548" width="28.28515625" style="52" customWidth="1"/>
    <col min="12549" max="12549" width="26.7109375" style="52" customWidth="1"/>
    <col min="12550" max="12550" width="22.28515625" style="52" customWidth="1"/>
    <col min="12551" max="12551" width="21.140625" style="52" customWidth="1"/>
    <col min="12552" max="12553" width="9.140625" style="52"/>
    <col min="12554" max="12554" width="10.28515625" style="52" customWidth="1"/>
    <col min="12555" max="12555" width="15" style="52" customWidth="1"/>
    <col min="12556" max="12556" width="17.28515625" style="52" customWidth="1"/>
    <col min="12557" max="12800" width="9.140625" style="52"/>
    <col min="12801" max="12801" width="15" style="52" customWidth="1"/>
    <col min="12802" max="12802" width="16.7109375" style="52" customWidth="1"/>
    <col min="12803" max="12803" width="26.42578125" style="52" customWidth="1"/>
    <col min="12804" max="12804" width="28.28515625" style="52" customWidth="1"/>
    <col min="12805" max="12805" width="26.7109375" style="52" customWidth="1"/>
    <col min="12806" max="12806" width="22.28515625" style="52" customWidth="1"/>
    <col min="12807" max="12807" width="21.140625" style="52" customWidth="1"/>
    <col min="12808" max="12809" width="9.140625" style="52"/>
    <col min="12810" max="12810" width="10.28515625" style="52" customWidth="1"/>
    <col min="12811" max="12811" width="15" style="52" customWidth="1"/>
    <col min="12812" max="12812" width="17.28515625" style="52" customWidth="1"/>
    <col min="12813" max="13056" width="9.140625" style="52"/>
    <col min="13057" max="13057" width="15" style="52" customWidth="1"/>
    <col min="13058" max="13058" width="16.7109375" style="52" customWidth="1"/>
    <col min="13059" max="13059" width="26.42578125" style="52" customWidth="1"/>
    <col min="13060" max="13060" width="28.28515625" style="52" customWidth="1"/>
    <col min="13061" max="13061" width="26.7109375" style="52" customWidth="1"/>
    <col min="13062" max="13062" width="22.28515625" style="52" customWidth="1"/>
    <col min="13063" max="13063" width="21.140625" style="52" customWidth="1"/>
    <col min="13064" max="13065" width="9.140625" style="52"/>
    <col min="13066" max="13066" width="10.28515625" style="52" customWidth="1"/>
    <col min="13067" max="13067" width="15" style="52" customWidth="1"/>
    <col min="13068" max="13068" width="17.28515625" style="52" customWidth="1"/>
    <col min="13069" max="13312" width="9.140625" style="52"/>
    <col min="13313" max="13313" width="15" style="52" customWidth="1"/>
    <col min="13314" max="13314" width="16.7109375" style="52" customWidth="1"/>
    <col min="13315" max="13315" width="26.42578125" style="52" customWidth="1"/>
    <col min="13316" max="13316" width="28.28515625" style="52" customWidth="1"/>
    <col min="13317" max="13317" width="26.7109375" style="52" customWidth="1"/>
    <col min="13318" max="13318" width="22.28515625" style="52" customWidth="1"/>
    <col min="13319" max="13319" width="21.140625" style="52" customWidth="1"/>
    <col min="13320" max="13321" width="9.140625" style="52"/>
    <col min="13322" max="13322" width="10.28515625" style="52" customWidth="1"/>
    <col min="13323" max="13323" width="15" style="52" customWidth="1"/>
    <col min="13324" max="13324" width="17.28515625" style="52" customWidth="1"/>
    <col min="13325" max="13568" width="9.140625" style="52"/>
    <col min="13569" max="13569" width="15" style="52" customWidth="1"/>
    <col min="13570" max="13570" width="16.7109375" style="52" customWidth="1"/>
    <col min="13571" max="13571" width="26.42578125" style="52" customWidth="1"/>
    <col min="13572" max="13572" width="28.28515625" style="52" customWidth="1"/>
    <col min="13573" max="13573" width="26.7109375" style="52" customWidth="1"/>
    <col min="13574" max="13574" width="22.28515625" style="52" customWidth="1"/>
    <col min="13575" max="13575" width="21.140625" style="52" customWidth="1"/>
    <col min="13576" max="13577" width="9.140625" style="52"/>
    <col min="13578" max="13578" width="10.28515625" style="52" customWidth="1"/>
    <col min="13579" max="13579" width="15" style="52" customWidth="1"/>
    <col min="13580" max="13580" width="17.28515625" style="52" customWidth="1"/>
    <col min="13581" max="13824" width="9.140625" style="52"/>
    <col min="13825" max="13825" width="15" style="52" customWidth="1"/>
    <col min="13826" max="13826" width="16.7109375" style="52" customWidth="1"/>
    <col min="13827" max="13827" width="26.42578125" style="52" customWidth="1"/>
    <col min="13828" max="13828" width="28.28515625" style="52" customWidth="1"/>
    <col min="13829" max="13829" width="26.7109375" style="52" customWidth="1"/>
    <col min="13830" max="13830" width="22.28515625" style="52" customWidth="1"/>
    <col min="13831" max="13831" width="21.140625" style="52" customWidth="1"/>
    <col min="13832" max="13833" width="9.140625" style="52"/>
    <col min="13834" max="13834" width="10.28515625" style="52" customWidth="1"/>
    <col min="13835" max="13835" width="15" style="52" customWidth="1"/>
    <col min="13836" max="13836" width="17.28515625" style="52" customWidth="1"/>
    <col min="13837" max="14080" width="9.140625" style="52"/>
    <col min="14081" max="14081" width="15" style="52" customWidth="1"/>
    <col min="14082" max="14082" width="16.7109375" style="52" customWidth="1"/>
    <col min="14083" max="14083" width="26.42578125" style="52" customWidth="1"/>
    <col min="14084" max="14084" width="28.28515625" style="52" customWidth="1"/>
    <col min="14085" max="14085" width="26.7109375" style="52" customWidth="1"/>
    <col min="14086" max="14086" width="22.28515625" style="52" customWidth="1"/>
    <col min="14087" max="14087" width="21.140625" style="52" customWidth="1"/>
    <col min="14088" max="14089" width="9.140625" style="52"/>
    <col min="14090" max="14090" width="10.28515625" style="52" customWidth="1"/>
    <col min="14091" max="14091" width="15" style="52" customWidth="1"/>
    <col min="14092" max="14092" width="17.28515625" style="52" customWidth="1"/>
    <col min="14093" max="14336" width="9.140625" style="52"/>
    <col min="14337" max="14337" width="15" style="52" customWidth="1"/>
    <col min="14338" max="14338" width="16.7109375" style="52" customWidth="1"/>
    <col min="14339" max="14339" width="26.42578125" style="52" customWidth="1"/>
    <col min="14340" max="14340" width="28.28515625" style="52" customWidth="1"/>
    <col min="14341" max="14341" width="26.7109375" style="52" customWidth="1"/>
    <col min="14342" max="14342" width="22.28515625" style="52" customWidth="1"/>
    <col min="14343" max="14343" width="21.140625" style="52" customWidth="1"/>
    <col min="14344" max="14345" width="9.140625" style="52"/>
    <col min="14346" max="14346" width="10.28515625" style="52" customWidth="1"/>
    <col min="14347" max="14347" width="15" style="52" customWidth="1"/>
    <col min="14348" max="14348" width="17.28515625" style="52" customWidth="1"/>
    <col min="14349" max="14592" width="9.140625" style="52"/>
    <col min="14593" max="14593" width="15" style="52" customWidth="1"/>
    <col min="14594" max="14594" width="16.7109375" style="52" customWidth="1"/>
    <col min="14595" max="14595" width="26.42578125" style="52" customWidth="1"/>
    <col min="14596" max="14596" width="28.28515625" style="52" customWidth="1"/>
    <col min="14597" max="14597" width="26.7109375" style="52" customWidth="1"/>
    <col min="14598" max="14598" width="22.28515625" style="52" customWidth="1"/>
    <col min="14599" max="14599" width="21.140625" style="52" customWidth="1"/>
    <col min="14600" max="14601" width="9.140625" style="52"/>
    <col min="14602" max="14602" width="10.28515625" style="52" customWidth="1"/>
    <col min="14603" max="14603" width="15" style="52" customWidth="1"/>
    <col min="14604" max="14604" width="17.28515625" style="52" customWidth="1"/>
    <col min="14605" max="14848" width="9.140625" style="52"/>
    <col min="14849" max="14849" width="15" style="52" customWidth="1"/>
    <col min="14850" max="14850" width="16.7109375" style="52" customWidth="1"/>
    <col min="14851" max="14851" width="26.42578125" style="52" customWidth="1"/>
    <col min="14852" max="14852" width="28.28515625" style="52" customWidth="1"/>
    <col min="14853" max="14853" width="26.7109375" style="52" customWidth="1"/>
    <col min="14854" max="14854" width="22.28515625" style="52" customWidth="1"/>
    <col min="14855" max="14855" width="21.140625" style="52" customWidth="1"/>
    <col min="14856" max="14857" width="9.140625" style="52"/>
    <col min="14858" max="14858" width="10.28515625" style="52" customWidth="1"/>
    <col min="14859" max="14859" width="15" style="52" customWidth="1"/>
    <col min="14860" max="14860" width="17.28515625" style="52" customWidth="1"/>
    <col min="14861" max="15104" width="9.140625" style="52"/>
    <col min="15105" max="15105" width="15" style="52" customWidth="1"/>
    <col min="15106" max="15106" width="16.7109375" style="52" customWidth="1"/>
    <col min="15107" max="15107" width="26.42578125" style="52" customWidth="1"/>
    <col min="15108" max="15108" width="28.28515625" style="52" customWidth="1"/>
    <col min="15109" max="15109" width="26.7109375" style="52" customWidth="1"/>
    <col min="15110" max="15110" width="22.28515625" style="52" customWidth="1"/>
    <col min="15111" max="15111" width="21.140625" style="52" customWidth="1"/>
    <col min="15112" max="15113" width="9.140625" style="52"/>
    <col min="15114" max="15114" width="10.28515625" style="52" customWidth="1"/>
    <col min="15115" max="15115" width="15" style="52" customWidth="1"/>
    <col min="15116" max="15116" width="17.28515625" style="52" customWidth="1"/>
    <col min="15117" max="15360" width="9.140625" style="52"/>
    <col min="15361" max="15361" width="15" style="52" customWidth="1"/>
    <col min="15362" max="15362" width="16.7109375" style="52" customWidth="1"/>
    <col min="15363" max="15363" width="26.42578125" style="52" customWidth="1"/>
    <col min="15364" max="15364" width="28.28515625" style="52" customWidth="1"/>
    <col min="15365" max="15365" width="26.7109375" style="52" customWidth="1"/>
    <col min="15366" max="15366" width="22.28515625" style="52" customWidth="1"/>
    <col min="15367" max="15367" width="21.140625" style="52" customWidth="1"/>
    <col min="15368" max="15369" width="9.140625" style="52"/>
    <col min="15370" max="15370" width="10.28515625" style="52" customWidth="1"/>
    <col min="15371" max="15371" width="15" style="52" customWidth="1"/>
    <col min="15372" max="15372" width="17.28515625" style="52" customWidth="1"/>
    <col min="15373" max="15616" width="9.140625" style="52"/>
    <col min="15617" max="15617" width="15" style="52" customWidth="1"/>
    <col min="15618" max="15618" width="16.7109375" style="52" customWidth="1"/>
    <col min="15619" max="15619" width="26.42578125" style="52" customWidth="1"/>
    <col min="15620" max="15620" width="28.28515625" style="52" customWidth="1"/>
    <col min="15621" max="15621" width="26.7109375" style="52" customWidth="1"/>
    <col min="15622" max="15622" width="22.28515625" style="52" customWidth="1"/>
    <col min="15623" max="15623" width="21.140625" style="52" customWidth="1"/>
    <col min="15624" max="15625" width="9.140625" style="52"/>
    <col min="15626" max="15626" width="10.28515625" style="52" customWidth="1"/>
    <col min="15627" max="15627" width="15" style="52" customWidth="1"/>
    <col min="15628" max="15628" width="17.28515625" style="52" customWidth="1"/>
    <col min="15629" max="15872" width="9.140625" style="52"/>
    <col min="15873" max="15873" width="15" style="52" customWidth="1"/>
    <col min="15874" max="15874" width="16.7109375" style="52" customWidth="1"/>
    <col min="15875" max="15875" width="26.42578125" style="52" customWidth="1"/>
    <col min="15876" max="15876" width="28.28515625" style="52" customWidth="1"/>
    <col min="15877" max="15877" width="26.7109375" style="52" customWidth="1"/>
    <col min="15878" max="15878" width="22.28515625" style="52" customWidth="1"/>
    <col min="15879" max="15879" width="21.140625" style="52" customWidth="1"/>
    <col min="15880" max="15881" width="9.140625" style="52"/>
    <col min="15882" max="15882" width="10.28515625" style="52" customWidth="1"/>
    <col min="15883" max="15883" width="15" style="52" customWidth="1"/>
    <col min="15884" max="15884" width="17.28515625" style="52" customWidth="1"/>
    <col min="15885" max="16128" width="9.140625" style="52"/>
    <col min="16129" max="16129" width="15" style="52" customWidth="1"/>
    <col min="16130" max="16130" width="16.7109375" style="52" customWidth="1"/>
    <col min="16131" max="16131" width="26.42578125" style="52" customWidth="1"/>
    <col min="16132" max="16132" width="28.28515625" style="52" customWidth="1"/>
    <col min="16133" max="16133" width="26.7109375" style="52" customWidth="1"/>
    <col min="16134" max="16134" width="22.28515625" style="52" customWidth="1"/>
    <col min="16135" max="16135" width="21.140625" style="52" customWidth="1"/>
    <col min="16136" max="16137" width="9.140625" style="52"/>
    <col min="16138" max="16138" width="10.28515625" style="52" customWidth="1"/>
    <col min="16139" max="16139" width="15" style="52" customWidth="1"/>
    <col min="16140" max="16140" width="17.28515625" style="52" customWidth="1"/>
    <col min="16141" max="16384" width="9.140625" style="52"/>
  </cols>
  <sheetData>
    <row r="1" spans="1:9" ht="26.25" x14ac:dyDescent="0.35">
      <c r="A1" s="365" t="s">
        <v>58</v>
      </c>
      <c r="B1" s="365"/>
      <c r="C1" s="365"/>
      <c r="D1" s="365"/>
      <c r="E1" s="365"/>
      <c r="F1" s="365"/>
      <c r="G1" s="365"/>
    </row>
    <row r="2" spans="1:9" ht="15.75" thickBot="1" x14ac:dyDescent="0.25">
      <c r="A2" s="55"/>
      <c r="B2" s="56"/>
      <c r="C2" s="55"/>
      <c r="D2" s="55"/>
      <c r="E2" s="55"/>
      <c r="F2" s="55"/>
      <c r="G2" s="55"/>
    </row>
    <row r="3" spans="1:9" ht="65.25" customHeight="1" thickBot="1" x14ac:dyDescent="0.3">
      <c r="A3" s="57" t="s">
        <v>59</v>
      </c>
      <c r="B3" s="58" t="s">
        <v>60</v>
      </c>
      <c r="C3" s="59" t="s">
        <v>61</v>
      </c>
      <c r="D3" s="59" t="s">
        <v>62</v>
      </c>
      <c r="E3" s="59" t="s">
        <v>63</v>
      </c>
      <c r="F3" s="59" t="s">
        <v>64</v>
      </c>
      <c r="G3" s="60" t="s">
        <v>65</v>
      </c>
    </row>
    <row r="4" spans="1:9" ht="15" x14ac:dyDescent="0.2">
      <c r="A4" s="61">
        <v>2003</v>
      </c>
      <c r="B4" s="62">
        <v>753.2</v>
      </c>
      <c r="C4" s="63">
        <v>631</v>
      </c>
      <c r="D4" s="64">
        <v>3775.2561861665185</v>
      </c>
      <c r="E4" s="69">
        <f>D4*0.136</f>
        <v>513.43484131864659</v>
      </c>
      <c r="F4" s="69">
        <f>D4/C4</f>
        <v>5.982973353671186</v>
      </c>
      <c r="G4" s="69">
        <f>E4/C4</f>
        <v>0.81368437609928146</v>
      </c>
    </row>
    <row r="5" spans="1:9" ht="15" x14ac:dyDescent="0.2">
      <c r="A5" s="65">
        <v>2004</v>
      </c>
      <c r="B5" s="66">
        <v>755.7</v>
      </c>
      <c r="C5" s="67">
        <v>652</v>
      </c>
      <c r="D5" s="68">
        <v>3900.3406744824006</v>
      </c>
      <c r="E5" s="70">
        <f t="shared" ref="E5:E15" si="0">D5*0.136</f>
        <v>530.44633172960653</v>
      </c>
      <c r="F5" s="70">
        <f t="shared" ref="F5:F13" si="1">D5/C5</f>
        <v>5.9821175988993875</v>
      </c>
      <c r="G5" s="70">
        <f>E5/C5</f>
        <v>0.81356799345031672</v>
      </c>
    </row>
    <row r="6" spans="1:9" ht="15" x14ac:dyDescent="0.2">
      <c r="A6" s="65">
        <v>2005</v>
      </c>
      <c r="B6" s="66">
        <v>758.2</v>
      </c>
      <c r="C6" s="70">
        <v>683</v>
      </c>
      <c r="D6" s="68">
        <v>3471.8800489487812</v>
      </c>
      <c r="E6" s="70">
        <f t="shared" si="0"/>
        <v>472.1756866570343</v>
      </c>
      <c r="F6" s="70">
        <f t="shared" si="1"/>
        <v>5.0832797202764004</v>
      </c>
      <c r="G6" s="70">
        <f t="shared" ref="G6:G15" si="2">E6/C6</f>
        <v>0.69132604195759051</v>
      </c>
    </row>
    <row r="7" spans="1:9" ht="15.75" x14ac:dyDescent="0.25">
      <c r="A7" s="71" t="s">
        <v>66</v>
      </c>
      <c r="B7" s="66">
        <v>760.7</v>
      </c>
      <c r="C7" s="68">
        <v>1288.5999999999999</v>
      </c>
      <c r="D7" s="68">
        <v>3129.5927575836704</v>
      </c>
      <c r="E7" s="70">
        <f t="shared" si="0"/>
        <v>425.62461503137922</v>
      </c>
      <c r="F7" s="70">
        <f t="shared" si="1"/>
        <v>2.4286766704824387</v>
      </c>
      <c r="G7" s="70">
        <f t="shared" si="2"/>
        <v>0.33030002718561169</v>
      </c>
    </row>
    <row r="8" spans="1:9" ht="15" x14ac:dyDescent="0.2">
      <c r="A8" s="65">
        <v>2007</v>
      </c>
      <c r="B8" s="66">
        <v>763.2</v>
      </c>
      <c r="C8" s="68">
        <v>1514.6</v>
      </c>
      <c r="D8" s="68">
        <v>3743.6976210188245</v>
      </c>
      <c r="E8" s="70">
        <f t="shared" si="0"/>
        <v>509.14287645856018</v>
      </c>
      <c r="F8" s="70">
        <f t="shared" si="1"/>
        <v>2.4717401432845798</v>
      </c>
      <c r="G8" s="70">
        <f t="shared" si="2"/>
        <v>0.33615665948670292</v>
      </c>
    </row>
    <row r="9" spans="1:9" ht="15" x14ac:dyDescent="0.2">
      <c r="A9" s="65">
        <v>2008</v>
      </c>
      <c r="B9" s="66">
        <v>766.2</v>
      </c>
      <c r="C9" s="68">
        <v>1731.9</v>
      </c>
      <c r="D9" s="68">
        <v>3740.1188222267792</v>
      </c>
      <c r="E9" s="70">
        <f t="shared" si="0"/>
        <v>508.65615982284203</v>
      </c>
      <c r="F9" s="70">
        <f t="shared" si="1"/>
        <v>2.1595466379275821</v>
      </c>
      <c r="G9" s="70">
        <f t="shared" si="2"/>
        <v>0.29369834275815115</v>
      </c>
    </row>
    <row r="10" spans="1:9" ht="15" x14ac:dyDescent="0.2">
      <c r="A10" s="65">
        <v>2009</v>
      </c>
      <c r="B10" s="66">
        <v>753.2</v>
      </c>
      <c r="C10" s="68">
        <v>1776.6</v>
      </c>
      <c r="D10" s="68">
        <v>3770.9093633688453</v>
      </c>
      <c r="E10" s="70">
        <f t="shared" si="0"/>
        <v>512.84367341816301</v>
      </c>
      <c r="F10" s="70">
        <f t="shared" si="1"/>
        <v>2.1225427014346763</v>
      </c>
      <c r="G10" s="70">
        <f t="shared" si="2"/>
        <v>0.28866580739511599</v>
      </c>
    </row>
    <row r="11" spans="1:9" ht="15" x14ac:dyDescent="0.2">
      <c r="A11" s="65">
        <v>2010</v>
      </c>
      <c r="B11" s="72">
        <v>752.1</v>
      </c>
      <c r="C11" s="68">
        <v>1970.1</v>
      </c>
      <c r="D11" s="68">
        <v>4106.8375627877804</v>
      </c>
      <c r="E11" s="70">
        <f t="shared" si="0"/>
        <v>558.52990853913821</v>
      </c>
      <c r="F11" s="70">
        <f t="shared" si="1"/>
        <v>2.0845833017551296</v>
      </c>
      <c r="G11" s="70">
        <f t="shared" si="2"/>
        <v>0.28350332903869763</v>
      </c>
    </row>
    <row r="12" spans="1:9" ht="15" x14ac:dyDescent="0.2">
      <c r="A12" s="65">
        <v>2011</v>
      </c>
      <c r="B12" s="72">
        <v>750.7</v>
      </c>
      <c r="C12" s="68">
        <v>2265.1</v>
      </c>
      <c r="D12" s="68">
        <v>4289.7203981045968</v>
      </c>
      <c r="E12" s="70">
        <f t="shared" si="0"/>
        <v>583.40197414222519</v>
      </c>
      <c r="F12" s="70">
        <f t="shared" si="1"/>
        <v>1.8938326776321561</v>
      </c>
      <c r="G12" s="70">
        <f t="shared" si="2"/>
        <v>0.25756124415797327</v>
      </c>
    </row>
    <row r="13" spans="1:9" ht="15" x14ac:dyDescent="0.2">
      <c r="A13" s="65">
        <v>2012</v>
      </c>
      <c r="B13" s="72">
        <v>748.9</v>
      </c>
      <c r="C13" s="73">
        <v>2506.8000000000002</v>
      </c>
      <c r="D13" s="68">
        <v>4727.095646316774</v>
      </c>
      <c r="E13" s="70">
        <f t="shared" si="0"/>
        <v>642.8850078990813</v>
      </c>
      <c r="F13" s="70">
        <f t="shared" si="1"/>
        <v>1.8857091296939419</v>
      </c>
      <c r="G13" s="70">
        <f t="shared" si="2"/>
        <v>0.25645644163837611</v>
      </c>
    </row>
    <row r="14" spans="1:9" ht="15" x14ac:dyDescent="0.2">
      <c r="A14" s="74">
        <v>2013</v>
      </c>
      <c r="B14" s="75">
        <v>746.9</v>
      </c>
      <c r="C14" s="76">
        <v>2611.3000000000002</v>
      </c>
      <c r="D14" s="76">
        <v>4648.67695285843</v>
      </c>
      <c r="E14" s="70">
        <f t="shared" si="0"/>
        <v>632.22006558874648</v>
      </c>
      <c r="F14" s="70">
        <f>D14/C14</f>
        <v>1.7802155833716653</v>
      </c>
      <c r="G14" s="70">
        <f t="shared" si="2"/>
        <v>0.24210931933854649</v>
      </c>
    </row>
    <row r="15" spans="1:9" ht="15" x14ac:dyDescent="0.2">
      <c r="A15" s="74">
        <v>2014</v>
      </c>
      <c r="B15" s="72">
        <v>746.4</v>
      </c>
      <c r="C15" s="76">
        <v>2691.70460048426</v>
      </c>
      <c r="D15" s="68">
        <v>4834.8280436685145</v>
      </c>
      <c r="E15" s="70">
        <f t="shared" si="0"/>
        <v>657.53661393891798</v>
      </c>
      <c r="F15" s="70">
        <f>D15/C15</f>
        <v>1.7961956311248599</v>
      </c>
      <c r="G15" s="70">
        <f t="shared" si="2"/>
        <v>0.24428260583298095</v>
      </c>
      <c r="I15" s="44"/>
    </row>
    <row r="16" spans="1:9" ht="15" x14ac:dyDescent="0.2">
      <c r="A16" s="55"/>
      <c r="B16" s="55"/>
      <c r="C16" s="355"/>
      <c r="D16" s="77"/>
      <c r="E16" s="77"/>
      <c r="F16" s="55"/>
      <c r="G16" s="55"/>
    </row>
    <row r="17" spans="1:9" ht="15.75" x14ac:dyDescent="0.25">
      <c r="A17" s="78" t="s">
        <v>67</v>
      </c>
      <c r="B17" s="79" t="s">
        <v>68</v>
      </c>
      <c r="D17" s="80"/>
      <c r="E17" s="80"/>
      <c r="F17" s="355"/>
      <c r="G17" s="55"/>
      <c r="I17" s="356"/>
    </row>
    <row r="18" spans="1:9" ht="15.75" x14ac:dyDescent="0.25">
      <c r="A18" s="81">
        <v>2</v>
      </c>
      <c r="B18" s="82" t="s">
        <v>69</v>
      </c>
      <c r="D18" s="55"/>
      <c r="E18" s="55"/>
      <c r="F18" s="55"/>
      <c r="G18" s="55"/>
    </row>
    <row r="19" spans="1:9" ht="15.75" x14ac:dyDescent="0.25">
      <c r="A19" s="81">
        <v>3</v>
      </c>
      <c r="B19" s="83" t="s">
        <v>70</v>
      </c>
      <c r="D19" s="55"/>
      <c r="E19" s="55"/>
      <c r="F19" s="55"/>
      <c r="G19" s="55"/>
    </row>
    <row r="20" spans="1:9" ht="15.75" x14ac:dyDescent="0.25">
      <c r="A20" s="82">
        <v>4</v>
      </c>
      <c r="B20" s="55" t="s">
        <v>71</v>
      </c>
      <c r="C20" s="55"/>
      <c r="D20" s="55"/>
      <c r="E20" s="55"/>
      <c r="F20" s="55"/>
      <c r="G20" s="55"/>
    </row>
    <row r="50" spans="1:2" ht="15" x14ac:dyDescent="0.25">
      <c r="A50" s="84" t="s">
        <v>72</v>
      </c>
      <c r="B50" s="84"/>
    </row>
  </sheetData>
  <mergeCells count="1">
    <mergeCell ref="A1:G1"/>
  </mergeCells>
  <pageMargins left="0.7" right="0.7" top="0.75" bottom="0.75" header="0.3" footer="0.3"/>
  <pageSetup orientation="portrait" horizontalDpi="4294967293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G4" sqref="G4"/>
    </sheetView>
  </sheetViews>
  <sheetFormatPr defaultRowHeight="12.75" x14ac:dyDescent="0.2"/>
  <cols>
    <col min="1" max="2" width="9.140625" style="52"/>
    <col min="3" max="3" width="13" style="52" bestFit="1" customWidth="1"/>
    <col min="4" max="6" width="15.42578125" style="52" customWidth="1"/>
    <col min="7" max="7" width="12.5703125" style="52" bestFit="1" customWidth="1"/>
    <col min="8" max="8" width="8.5703125" style="52" bestFit="1" customWidth="1"/>
    <col min="9" max="9" width="10.7109375" style="52" customWidth="1"/>
    <col min="10" max="16384" width="9.140625" style="52"/>
  </cols>
  <sheetData>
    <row r="1" spans="1:9" ht="16.5" x14ac:dyDescent="0.3">
      <c r="C1" s="366" t="s">
        <v>0</v>
      </c>
      <c r="D1" s="366"/>
      <c r="E1" s="366"/>
      <c r="F1" s="366"/>
      <c r="G1" s="86"/>
    </row>
    <row r="2" spans="1:9" ht="16.5" x14ac:dyDescent="0.3">
      <c r="C2" s="366" t="s">
        <v>92</v>
      </c>
      <c r="D2" s="366"/>
      <c r="E2" s="366"/>
      <c r="F2" s="366"/>
      <c r="G2" s="168"/>
    </row>
    <row r="3" spans="1:9" ht="13.5" thickBot="1" x14ac:dyDescent="0.25"/>
    <row r="4" spans="1:9" ht="15.75" x14ac:dyDescent="0.25">
      <c r="C4" s="169"/>
      <c r="D4" s="367" t="s">
        <v>1</v>
      </c>
      <c r="E4" s="368"/>
      <c r="F4" s="170" t="s">
        <v>2</v>
      </c>
      <c r="I4" s="157"/>
    </row>
    <row r="5" spans="1:9" ht="16.5" thickBot="1" x14ac:dyDescent="0.3">
      <c r="C5" s="169"/>
      <c r="D5" s="171" t="s">
        <v>3</v>
      </c>
      <c r="E5" s="172" t="s">
        <v>4</v>
      </c>
      <c r="F5" s="173" t="s">
        <v>5</v>
      </c>
      <c r="I5" s="157"/>
    </row>
    <row r="6" spans="1:9" x14ac:dyDescent="0.2">
      <c r="C6" s="174">
        <v>1994</v>
      </c>
      <c r="D6" s="175">
        <v>3095728</v>
      </c>
      <c r="E6" s="176">
        <v>492180507.53600001</v>
      </c>
      <c r="F6" s="177">
        <v>72067911.739999995</v>
      </c>
      <c r="G6" s="178"/>
    </row>
    <row r="7" spans="1:9" x14ac:dyDescent="0.2">
      <c r="A7" s="198">
        <f t="shared" ref="A7:A26" si="0">(D7-D6)/D6</f>
        <v>0.17066260343285974</v>
      </c>
      <c r="B7" s="198">
        <f t="shared" ref="B7:B26" si="1">(F7-F6)/F6</f>
        <v>0.1816788907001568</v>
      </c>
      <c r="C7" s="179">
        <v>1995</v>
      </c>
      <c r="D7" s="180">
        <v>3624053</v>
      </c>
      <c r="E7" s="181">
        <v>576177314.31099999</v>
      </c>
      <c r="F7" s="182">
        <v>85161130</v>
      </c>
    </row>
    <row r="8" spans="1:9" x14ac:dyDescent="0.2">
      <c r="A8" s="198">
        <f t="shared" si="0"/>
        <v>2.4238056121143922E-2</v>
      </c>
      <c r="B8" s="198">
        <f t="shared" si="1"/>
        <v>0.18242452865526795</v>
      </c>
      <c r="C8" s="179">
        <v>1996</v>
      </c>
      <c r="D8" s="180">
        <v>3711893</v>
      </c>
      <c r="E8" s="181">
        <v>590142732.39100003</v>
      </c>
      <c r="F8" s="182">
        <v>100696609</v>
      </c>
      <c r="I8" s="157"/>
    </row>
    <row r="9" spans="1:9" x14ac:dyDescent="0.2">
      <c r="A9" s="198">
        <f t="shared" si="0"/>
        <v>0.1028542579217666</v>
      </c>
      <c r="B9" s="198">
        <f t="shared" si="1"/>
        <v>6.9819868512156158E-2</v>
      </c>
      <c r="C9" s="179">
        <v>1997</v>
      </c>
      <c r="D9" s="180">
        <v>4093677</v>
      </c>
      <c r="E9" s="181">
        <v>650841425.199</v>
      </c>
      <c r="F9" s="182">
        <v>107727233</v>
      </c>
      <c r="I9" s="157"/>
    </row>
    <row r="10" spans="1:9" x14ac:dyDescent="0.2">
      <c r="A10" s="198">
        <f t="shared" si="0"/>
        <v>7.8384298516956767E-3</v>
      </c>
      <c r="B10" s="198">
        <f t="shared" si="1"/>
        <v>-0.27094109063397182</v>
      </c>
      <c r="C10" s="179">
        <v>1998</v>
      </c>
      <c r="D10" s="180">
        <v>4125765</v>
      </c>
      <c r="E10" s="181">
        <v>655943000.05499995</v>
      </c>
      <c r="F10" s="182">
        <v>78539499</v>
      </c>
      <c r="I10" s="157"/>
    </row>
    <row r="11" spans="1:9" x14ac:dyDescent="0.2">
      <c r="A11" s="198">
        <f t="shared" si="0"/>
        <v>2.7876042382443014E-3</v>
      </c>
      <c r="B11" s="198">
        <f t="shared" si="1"/>
        <v>0.2694808633806029</v>
      </c>
      <c r="C11" s="179">
        <v>1999</v>
      </c>
      <c r="D11" s="180">
        <v>4137266</v>
      </c>
      <c r="E11" s="181">
        <v>657771509.54199994</v>
      </c>
      <c r="F11" s="182">
        <v>99704391</v>
      </c>
      <c r="I11" s="157"/>
    </row>
    <row r="12" spans="1:9" x14ac:dyDescent="0.2">
      <c r="A12" s="198">
        <f t="shared" si="0"/>
        <v>-5.1399160701777455E-2</v>
      </c>
      <c r="B12" s="198">
        <f t="shared" si="1"/>
        <v>0.43702772328251821</v>
      </c>
      <c r="C12" s="179">
        <v>2000</v>
      </c>
      <c r="D12" s="180">
        <v>3924614</v>
      </c>
      <c r="E12" s="181">
        <v>623962606.01800001</v>
      </c>
      <c r="F12" s="182">
        <v>143277974</v>
      </c>
      <c r="I12" s="157"/>
    </row>
    <row r="13" spans="1:9" x14ac:dyDescent="0.2">
      <c r="A13" s="198">
        <f t="shared" si="0"/>
        <v>-2.2922763869262047E-2</v>
      </c>
      <c r="B13" s="198">
        <f t="shared" si="1"/>
        <v>-0.13892193227132035</v>
      </c>
      <c r="C13" s="179">
        <v>2001</v>
      </c>
      <c r="D13" s="180">
        <v>3834651</v>
      </c>
      <c r="E13" s="181">
        <v>609659658.53699994</v>
      </c>
      <c r="F13" s="182">
        <v>123373521</v>
      </c>
      <c r="I13" s="157"/>
    </row>
    <row r="14" spans="1:9" x14ac:dyDescent="0.2">
      <c r="A14" s="198">
        <f t="shared" si="0"/>
        <v>8.0461038044922478E-3</v>
      </c>
      <c r="B14" s="198">
        <f t="shared" si="1"/>
        <v>-5.9156697003078969E-3</v>
      </c>
      <c r="C14" s="179">
        <v>2002</v>
      </c>
      <c r="D14" s="183">
        <v>3865505</v>
      </c>
      <c r="E14" s="181">
        <v>614565043.43499994</v>
      </c>
      <c r="F14" s="182">
        <v>122643684</v>
      </c>
    </row>
    <row r="15" spans="1:9" x14ac:dyDescent="0.2">
      <c r="A15" s="198">
        <f t="shared" si="0"/>
        <v>2.9671155515256092E-2</v>
      </c>
      <c r="B15" s="198">
        <f t="shared" si="1"/>
        <v>0.24909787967556474</v>
      </c>
      <c r="C15" s="184">
        <v>2003</v>
      </c>
      <c r="D15" s="154">
        <v>3980199</v>
      </c>
      <c r="E15" s="185">
        <v>632799898.41299999</v>
      </c>
      <c r="F15" s="182">
        <v>153193965.63999999</v>
      </c>
    </row>
    <row r="16" spans="1:9" x14ac:dyDescent="0.2">
      <c r="A16" s="198">
        <f t="shared" si="0"/>
        <v>-1.9707306091981833E-2</v>
      </c>
      <c r="B16" s="198">
        <f t="shared" si="1"/>
        <v>0.21220346058795328</v>
      </c>
      <c r="C16" s="184">
        <v>2004</v>
      </c>
      <c r="D16" s="154">
        <v>3901760</v>
      </c>
      <c r="E16" s="186">
        <v>620329117.12</v>
      </c>
      <c r="F16" s="187">
        <v>185702255.28999999</v>
      </c>
    </row>
    <row r="17" spans="1:10" x14ac:dyDescent="0.2">
      <c r="A17" s="198">
        <f t="shared" si="0"/>
        <v>-9.1161680882473548E-2</v>
      </c>
      <c r="B17" s="198">
        <f t="shared" si="1"/>
        <v>0.29596243526590943</v>
      </c>
      <c r="C17" s="188">
        <v>2005</v>
      </c>
      <c r="D17" s="159">
        <v>3546069</v>
      </c>
      <c r="E17" s="189">
        <v>563778872.10299993</v>
      </c>
      <c r="F17" s="190">
        <v>240663147</v>
      </c>
    </row>
    <row r="18" spans="1:10" x14ac:dyDescent="0.2">
      <c r="A18" s="198">
        <f t="shared" si="0"/>
        <v>-0.10325348999131151</v>
      </c>
      <c r="B18" s="198">
        <f t="shared" si="1"/>
        <v>4.5420065914786693E-2</v>
      </c>
      <c r="C18" s="184">
        <v>2006</v>
      </c>
      <c r="D18" s="357">
        <v>3179925</v>
      </c>
      <c r="E18" s="357">
        <v>505566735.97499996</v>
      </c>
      <c r="F18" s="358">
        <v>251594083</v>
      </c>
      <c r="H18" s="133"/>
    </row>
    <row r="19" spans="1:10" x14ac:dyDescent="0.2">
      <c r="A19" s="198">
        <f t="shared" si="0"/>
        <v>0.2296623348034938</v>
      </c>
      <c r="B19" s="198">
        <f t="shared" si="1"/>
        <v>0.26840245922465283</v>
      </c>
      <c r="C19" s="184">
        <v>2007</v>
      </c>
      <c r="D19" s="357">
        <v>3910234</v>
      </c>
      <c r="E19" s="357">
        <v>621676372.95799994</v>
      </c>
      <c r="F19" s="358">
        <v>319122553.60357141</v>
      </c>
      <c r="H19" s="133"/>
    </row>
    <row r="20" spans="1:10" x14ac:dyDescent="0.2">
      <c r="A20" s="198">
        <f t="shared" si="0"/>
        <v>-6.3845539678699534E-2</v>
      </c>
      <c r="B20" s="198">
        <f t="shared" si="1"/>
        <v>0.27211609195940095</v>
      </c>
      <c r="C20" s="179">
        <v>2008</v>
      </c>
      <c r="D20" s="359">
        <v>3660583</v>
      </c>
      <c r="E20" s="357">
        <v>592609733.66999996</v>
      </c>
      <c r="F20" s="358">
        <v>405960935.74627972</v>
      </c>
      <c r="H20" s="133"/>
    </row>
    <row r="21" spans="1:10" x14ac:dyDescent="0.2">
      <c r="A21" s="198">
        <f t="shared" si="0"/>
        <v>7.2157833923718981E-2</v>
      </c>
      <c r="B21" s="198">
        <f t="shared" si="1"/>
        <v>-0.30311030427633801</v>
      </c>
      <c r="C21" s="179">
        <v>2009</v>
      </c>
      <c r="D21" s="360">
        <v>3924722.740177989</v>
      </c>
      <c r="E21" s="357">
        <v>615705616.17299998</v>
      </c>
      <c r="F21" s="358">
        <v>282909992.98791796</v>
      </c>
      <c r="H21" s="133"/>
    </row>
    <row r="22" spans="1:10" x14ac:dyDescent="0.2">
      <c r="A22" s="198">
        <f t="shared" si="0"/>
        <v>5.4324478648851184E-2</v>
      </c>
      <c r="B22" s="198">
        <f t="shared" si="1"/>
        <v>0.32887388041392807</v>
      </c>
      <c r="C22" s="179">
        <v>2010</v>
      </c>
      <c r="D22" s="360">
        <v>4137931.2568794489</v>
      </c>
      <c r="E22" s="361">
        <v>660179526.64399993</v>
      </c>
      <c r="F22" s="358">
        <v>375951700.18973172</v>
      </c>
      <c r="H22" s="133"/>
    </row>
    <row r="23" spans="1:10" x14ac:dyDescent="0.2">
      <c r="A23" s="198">
        <f t="shared" si="0"/>
        <v>4.9158386945962071E-2</v>
      </c>
      <c r="B23" s="198">
        <f t="shared" si="1"/>
        <v>0.42300844925945136</v>
      </c>
      <c r="C23" s="179">
        <v>2011</v>
      </c>
      <c r="D23" s="360">
        <v>4341345.28276092</v>
      </c>
      <c r="E23" s="361">
        <v>683379590.58731031</v>
      </c>
      <c r="F23" s="358">
        <v>534982445.88344431</v>
      </c>
      <c r="H23" s="133"/>
      <c r="I23" s="132"/>
      <c r="J23" s="162">
        <f>I23/D22</f>
        <v>0</v>
      </c>
    </row>
    <row r="24" spans="1:10" x14ac:dyDescent="0.2">
      <c r="A24" s="198">
        <f t="shared" si="0"/>
        <v>0.12125341976688213</v>
      </c>
      <c r="B24" s="198">
        <f t="shared" si="1"/>
        <v>0.129010133058577</v>
      </c>
      <c r="C24" s="179">
        <v>2012</v>
      </c>
      <c r="D24" s="360">
        <v>4867748.2446845034</v>
      </c>
      <c r="E24" s="361">
        <f>'[1]Total by Product &amp; year'!B294</f>
        <v>775102846.88994503</v>
      </c>
      <c r="F24" s="358">
        <v>604000602.41087043</v>
      </c>
      <c r="H24" s="133"/>
      <c r="I24" s="132"/>
      <c r="J24" s="162"/>
    </row>
    <row r="25" spans="1:10" x14ac:dyDescent="0.2">
      <c r="A25" s="198"/>
      <c r="B25" s="198">
        <f t="shared" si="1"/>
        <v>-3.5958253919741348E-2</v>
      </c>
      <c r="C25" s="179">
        <v>2013</v>
      </c>
      <c r="D25" s="360">
        <v>4726150.2981063472</v>
      </c>
      <c r="E25" s="361">
        <v>754011862.01247036</v>
      </c>
      <c r="F25" s="358">
        <v>582281795.38170362</v>
      </c>
      <c r="H25" s="133"/>
      <c r="I25" s="132"/>
      <c r="J25" s="162"/>
    </row>
    <row r="26" spans="1:10" ht="13.5" thickBot="1" x14ac:dyDescent="0.25">
      <c r="A26" s="198">
        <f t="shared" si="0"/>
        <v>4.5005964636497905E-2</v>
      </c>
      <c r="B26" s="198">
        <f t="shared" si="1"/>
        <v>-3.5504391594711186E-2</v>
      </c>
      <c r="C26" s="179">
        <v>2014</v>
      </c>
      <c r="D26" s="360">
        <f>'[1]Total by Product and Year 2'!V10</f>
        <v>4938855.2512896955</v>
      </c>
      <c r="E26" s="192">
        <f>D26*153.9873</f>
        <v>760520985.23692179</v>
      </c>
      <c r="F26" s="191">
        <v>561608234.50000012</v>
      </c>
      <c r="G26" s="356"/>
      <c r="H26" s="133"/>
      <c r="I26" s="132"/>
      <c r="J26" s="162"/>
    </row>
    <row r="27" spans="1:10" ht="13.5" thickBot="1" x14ac:dyDescent="0.25">
      <c r="C27" s="193" t="s">
        <v>6</v>
      </c>
      <c r="D27" s="194">
        <f>SUM(D6:D25)</f>
        <v>78589819.822609201</v>
      </c>
      <c r="E27" s="194">
        <f>SUM(E6:E25)</f>
        <v>12496383969.569725</v>
      </c>
      <c r="F27" s="194">
        <f>SUM(F6:F25)</f>
        <v>4869555429.8735189</v>
      </c>
    </row>
    <row r="28" spans="1:10" x14ac:dyDescent="0.2">
      <c r="C28" s="195"/>
      <c r="D28" s="196"/>
      <c r="E28" s="196"/>
      <c r="F28" s="196"/>
      <c r="I28" s="128"/>
    </row>
    <row r="29" spans="1:10" x14ac:dyDescent="0.2">
      <c r="C29" s="197"/>
      <c r="D29" s="88"/>
      <c r="F29" s="356"/>
      <c r="G29" s="364"/>
      <c r="I29" s="162"/>
    </row>
    <row r="30" spans="1:10" x14ac:dyDescent="0.2">
      <c r="C30" s="197"/>
      <c r="D30" s="88"/>
    </row>
    <row r="31" spans="1:10" x14ac:dyDescent="0.2">
      <c r="C31" s="88"/>
      <c r="D31" s="88"/>
    </row>
  </sheetData>
  <mergeCells count="3">
    <mergeCell ref="C1:F1"/>
    <mergeCell ref="C2:F2"/>
    <mergeCell ref="D4:E4"/>
  </mergeCells>
  <pageMargins left="0.39370078740157483" right="0.39370078740157483" top="0.39370078740157483" bottom="0.39370078740157483" header="0.51181102362204722" footer="0.51181102362204722"/>
  <pageSetup paperSize="5" scale="91" orientation="landscape" horizontalDpi="4294967295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8"/>
  <sheetViews>
    <sheetView zoomScaleNormal="100" workbookViewId="0">
      <selection activeCell="M193" sqref="M193"/>
    </sheetView>
  </sheetViews>
  <sheetFormatPr defaultRowHeight="12.75" x14ac:dyDescent="0.2"/>
  <cols>
    <col min="1" max="1" width="23.28515625" style="52" customWidth="1"/>
    <col min="2" max="3" width="13.7109375" style="52" customWidth="1"/>
    <col min="4" max="4" width="13.7109375" style="128" customWidth="1"/>
    <col min="5" max="5" width="7.7109375" style="52" customWidth="1"/>
    <col min="6" max="6" width="25.5703125" style="52" customWidth="1"/>
    <col min="7" max="7" width="18.42578125" style="52" customWidth="1"/>
    <col min="8" max="8" width="13" style="52" customWidth="1"/>
    <col min="9" max="9" width="15.28515625" style="52" customWidth="1"/>
    <col min="10" max="10" width="12.140625" style="52" bestFit="1" customWidth="1"/>
    <col min="11" max="11" width="10.140625" style="52" bestFit="1" customWidth="1"/>
    <col min="12" max="12" width="15" style="52" bestFit="1" customWidth="1"/>
    <col min="13" max="13" width="15.85546875" style="52" bestFit="1" customWidth="1"/>
    <col min="14" max="14" width="14.85546875" style="52" bestFit="1" customWidth="1"/>
    <col min="15" max="15" width="15" style="52" bestFit="1" customWidth="1"/>
    <col min="16" max="16" width="13.85546875" style="52" bestFit="1" customWidth="1"/>
    <col min="17" max="17" width="14.85546875" style="52" bestFit="1" customWidth="1"/>
    <col min="18" max="18" width="15.85546875" style="52" bestFit="1" customWidth="1"/>
    <col min="19" max="16384" width="9.140625" style="52"/>
  </cols>
  <sheetData>
    <row r="1" spans="1:10" ht="15" x14ac:dyDescent="0.25">
      <c r="A1" s="199" t="s">
        <v>7</v>
      </c>
      <c r="B1" s="200"/>
      <c r="C1" s="200"/>
      <c r="D1" s="201"/>
      <c r="F1" s="199" t="s">
        <v>8</v>
      </c>
      <c r="G1" s="200"/>
      <c r="H1" s="200"/>
      <c r="I1" s="201"/>
    </row>
    <row r="2" spans="1:10" ht="15" x14ac:dyDescent="0.25">
      <c r="A2" s="202"/>
      <c r="B2" s="202">
        <v>1994</v>
      </c>
      <c r="C2" s="202"/>
      <c r="D2" s="203"/>
      <c r="F2" s="202"/>
      <c r="G2" s="202">
        <v>1995</v>
      </c>
      <c r="H2" s="202"/>
      <c r="I2" s="203"/>
    </row>
    <row r="3" spans="1:10" ht="15.75" thickBot="1" x14ac:dyDescent="0.3">
      <c r="A3" s="204" t="s">
        <v>9</v>
      </c>
      <c r="B3" s="369" t="s">
        <v>1</v>
      </c>
      <c r="C3" s="370"/>
      <c r="D3" s="205" t="s">
        <v>10</v>
      </c>
      <c r="F3" s="206" t="s">
        <v>9</v>
      </c>
      <c r="G3" s="207" t="s">
        <v>11</v>
      </c>
      <c r="H3" s="208"/>
      <c r="I3" s="209" t="s">
        <v>10</v>
      </c>
    </row>
    <row r="4" spans="1:10" ht="15" x14ac:dyDescent="0.25">
      <c r="A4" s="210"/>
      <c r="B4" s="211" t="s">
        <v>4</v>
      </c>
      <c r="C4" s="211" t="s">
        <v>3</v>
      </c>
      <c r="D4" s="212" t="s">
        <v>12</v>
      </c>
      <c r="F4" s="213"/>
      <c r="G4" s="214" t="s">
        <v>4</v>
      </c>
      <c r="H4" s="214" t="s">
        <v>3</v>
      </c>
      <c r="I4" s="209" t="s">
        <v>12</v>
      </c>
    </row>
    <row r="5" spans="1:10" ht="12.75" customHeight="1" x14ac:dyDescent="0.2">
      <c r="A5" s="215" t="s">
        <v>13</v>
      </c>
      <c r="B5" s="216">
        <v>86967160.895999998</v>
      </c>
      <c r="C5" s="216">
        <v>547008</v>
      </c>
      <c r="D5" s="216">
        <v>12984924</v>
      </c>
      <c r="F5" s="217" t="s">
        <v>14</v>
      </c>
      <c r="G5" s="216">
        <v>94375319.148000002</v>
      </c>
      <c r="H5" s="216">
        <v>593604</v>
      </c>
      <c r="I5" s="216">
        <v>14950122</v>
      </c>
      <c r="J5" s="130"/>
    </row>
    <row r="6" spans="1:10" ht="14.25" x14ac:dyDescent="0.2">
      <c r="A6" s="217" t="s">
        <v>15</v>
      </c>
      <c r="B6" s="216">
        <v>178844635.287</v>
      </c>
      <c r="C6" s="216">
        <v>1124901</v>
      </c>
      <c r="D6" s="216">
        <v>32719529.829999998</v>
      </c>
      <c r="F6" s="217" t="s">
        <v>15</v>
      </c>
      <c r="G6" s="216">
        <v>237024020.09299999</v>
      </c>
      <c r="H6" s="216">
        <v>1490839</v>
      </c>
      <c r="I6" s="216">
        <v>38303089</v>
      </c>
      <c r="J6" s="130"/>
    </row>
    <row r="7" spans="1:10" ht="14.25" x14ac:dyDescent="0.2">
      <c r="A7" s="217" t="s">
        <v>16</v>
      </c>
      <c r="B7" s="216">
        <v>38047496.943999998</v>
      </c>
      <c r="C7" s="216">
        <v>239312</v>
      </c>
      <c r="D7" s="216">
        <v>6071819.71</v>
      </c>
      <c r="F7" s="217" t="s">
        <v>16</v>
      </c>
      <c r="G7" s="216">
        <v>39780137.269999996</v>
      </c>
      <c r="H7" s="216">
        <v>250210</v>
      </c>
      <c r="I7" s="216">
        <v>6422340</v>
      </c>
      <c r="J7" s="130"/>
    </row>
    <row r="8" spans="1:10" ht="14.25" x14ac:dyDescent="0.2">
      <c r="A8" s="217" t="s">
        <v>17</v>
      </c>
      <c r="B8" s="216">
        <v>174020015.785</v>
      </c>
      <c r="C8" s="216">
        <v>1094555</v>
      </c>
      <c r="D8" s="216">
        <v>16922767.219999999</v>
      </c>
      <c r="F8" s="217" t="s">
        <v>17</v>
      </c>
      <c r="G8" s="216">
        <v>196046233.752</v>
      </c>
      <c r="H8" s="216">
        <v>1233096</v>
      </c>
      <c r="I8" s="216">
        <v>23160746</v>
      </c>
      <c r="J8" s="130"/>
    </row>
    <row r="9" spans="1:10" ht="14.25" x14ac:dyDescent="0.2">
      <c r="A9" s="217" t="s">
        <v>18</v>
      </c>
      <c r="B9" s="216">
        <v>2935694.9550000001</v>
      </c>
      <c r="C9" s="216">
        <v>18465</v>
      </c>
      <c r="D9" s="216">
        <v>868066.47</v>
      </c>
      <c r="F9" s="217" t="s">
        <v>18</v>
      </c>
      <c r="G9" s="216">
        <v>2253640.7250000001</v>
      </c>
      <c r="H9" s="216">
        <v>14175</v>
      </c>
      <c r="I9" s="216">
        <v>650896</v>
      </c>
      <c r="J9" s="130"/>
    </row>
    <row r="10" spans="1:10" ht="15" thickBot="1" x14ac:dyDescent="0.25">
      <c r="A10" s="217" t="s">
        <v>19</v>
      </c>
      <c r="B10" s="218">
        <v>11365503.669</v>
      </c>
      <c r="C10" s="218">
        <v>71487</v>
      </c>
      <c r="D10" s="218">
        <v>2500804.5099999998</v>
      </c>
      <c r="F10" s="217" t="s">
        <v>19</v>
      </c>
      <c r="G10" s="218">
        <v>6697963.3229999999</v>
      </c>
      <c r="H10" s="218">
        <v>42129</v>
      </c>
      <c r="I10" s="218">
        <v>1673937</v>
      </c>
      <c r="J10" s="130"/>
    </row>
    <row r="11" spans="1:10" ht="16.5" thickTop="1" thickBot="1" x14ac:dyDescent="0.3">
      <c r="A11" s="213" t="s">
        <v>6</v>
      </c>
      <c r="B11" s="219">
        <v>492180507.53599989</v>
      </c>
      <c r="C11" s="219">
        <v>3095728</v>
      </c>
      <c r="D11" s="219">
        <v>72067911.739999995</v>
      </c>
      <c r="F11" s="213" t="s">
        <v>6</v>
      </c>
      <c r="G11" s="219">
        <v>576177314.31099999</v>
      </c>
      <c r="H11" s="219">
        <v>3624053</v>
      </c>
      <c r="I11" s="219">
        <v>85161130</v>
      </c>
    </row>
    <row r="12" spans="1:10" ht="15" thickTop="1" x14ac:dyDescent="0.2">
      <c r="A12" s="220"/>
      <c r="B12" s="221"/>
      <c r="C12" s="220"/>
      <c r="D12" s="221"/>
    </row>
    <row r="13" spans="1:10" ht="14.25" x14ac:dyDescent="0.2">
      <c r="A13" s="95"/>
      <c r="B13" s="95"/>
      <c r="C13" s="95"/>
      <c r="D13" s="222"/>
      <c r="F13" s="95"/>
      <c r="G13" s="95"/>
      <c r="H13" s="95"/>
      <c r="I13" s="222"/>
    </row>
    <row r="14" spans="1:10" ht="14.25" x14ac:dyDescent="0.2">
      <c r="A14" s="95"/>
      <c r="B14" s="95"/>
      <c r="C14" s="95"/>
      <c r="D14" s="222"/>
    </row>
    <row r="27" spans="1:9" ht="14.25" x14ac:dyDescent="0.2">
      <c r="A27" s="95"/>
      <c r="B27" s="95"/>
      <c r="C27" s="95"/>
      <c r="D27" s="222"/>
    </row>
    <row r="28" spans="1:9" ht="14.25" x14ac:dyDescent="0.2">
      <c r="A28" s="95"/>
      <c r="B28" s="95"/>
      <c r="C28" s="95"/>
      <c r="D28" s="222"/>
    </row>
    <row r="29" spans="1:9" ht="14.25" x14ac:dyDescent="0.2">
      <c r="A29" s="95"/>
      <c r="B29" s="95"/>
      <c r="C29" s="95"/>
      <c r="D29" s="222"/>
    </row>
    <row r="30" spans="1:9" ht="15" x14ac:dyDescent="0.25">
      <c r="A30" s="84" t="s">
        <v>20</v>
      </c>
      <c r="B30" s="95"/>
      <c r="C30" s="95"/>
      <c r="D30" s="222"/>
    </row>
    <row r="31" spans="1:9" ht="14.25" x14ac:dyDescent="0.2">
      <c r="A31" s="95"/>
      <c r="B31" s="95"/>
      <c r="C31" s="95"/>
      <c r="D31" s="222"/>
    </row>
    <row r="32" spans="1:9" ht="15" x14ac:dyDescent="0.25">
      <c r="A32" s="199" t="s">
        <v>21</v>
      </c>
      <c r="B32" s="200"/>
      <c r="C32" s="200"/>
      <c r="D32" s="201"/>
      <c r="F32" s="199" t="s">
        <v>7</v>
      </c>
      <c r="G32" s="199"/>
      <c r="H32" s="199"/>
      <c r="I32" s="223"/>
    </row>
    <row r="33" spans="1:10" ht="15" x14ac:dyDescent="0.25">
      <c r="A33" s="224"/>
      <c r="B33" s="202">
        <v>1996</v>
      </c>
      <c r="C33" s="224"/>
      <c r="D33" s="225"/>
      <c r="F33" s="224"/>
      <c r="G33" s="202">
        <v>1997</v>
      </c>
      <c r="H33" s="224"/>
      <c r="I33" s="225"/>
    </row>
    <row r="34" spans="1:10" ht="15" x14ac:dyDescent="0.25">
      <c r="A34" s="206" t="s">
        <v>9</v>
      </c>
      <c r="B34" s="207" t="s">
        <v>22</v>
      </c>
      <c r="C34" s="208"/>
      <c r="D34" s="209" t="s">
        <v>10</v>
      </c>
      <c r="F34" s="206" t="s">
        <v>9</v>
      </c>
      <c r="G34" s="207" t="s">
        <v>23</v>
      </c>
      <c r="H34" s="208"/>
      <c r="I34" s="209" t="s">
        <v>10</v>
      </c>
    </row>
    <row r="35" spans="1:10" ht="15" x14ac:dyDescent="0.25">
      <c r="A35" s="213"/>
      <c r="B35" s="214" t="s">
        <v>4</v>
      </c>
      <c r="C35" s="214" t="s">
        <v>3</v>
      </c>
      <c r="D35" s="226" t="s">
        <v>12</v>
      </c>
      <c r="F35" s="213"/>
      <c r="G35" s="214" t="s">
        <v>4</v>
      </c>
      <c r="H35" s="214" t="s">
        <v>3</v>
      </c>
      <c r="I35" s="209" t="s">
        <v>12</v>
      </c>
    </row>
    <row r="36" spans="1:10" ht="14.25" x14ac:dyDescent="0.2">
      <c r="A36" s="217" t="s">
        <v>24</v>
      </c>
      <c r="B36" s="227"/>
      <c r="C36" s="227"/>
      <c r="D36" s="216"/>
      <c r="F36" s="217" t="s">
        <v>24</v>
      </c>
      <c r="G36" s="227"/>
      <c r="H36" s="227"/>
      <c r="I36" s="216"/>
    </row>
    <row r="37" spans="1:10" ht="14.25" x14ac:dyDescent="0.2">
      <c r="A37" s="217" t="s">
        <v>25</v>
      </c>
      <c r="B37" s="216">
        <v>89810961.364999995</v>
      </c>
      <c r="C37" s="216">
        <v>564895</v>
      </c>
      <c r="D37" s="216">
        <v>16677869</v>
      </c>
      <c r="F37" s="217" t="s">
        <v>25</v>
      </c>
      <c r="G37" s="216">
        <v>32779780.673</v>
      </c>
      <c r="H37" s="216">
        <v>206179</v>
      </c>
      <c r="I37" s="216">
        <v>5922029</v>
      </c>
      <c r="J37" s="130"/>
    </row>
    <row r="38" spans="1:10" ht="15" thickBot="1" x14ac:dyDescent="0.25">
      <c r="A38" s="217" t="s">
        <v>26</v>
      </c>
      <c r="B38" s="218">
        <v>7914531.8470000001</v>
      </c>
      <c r="C38" s="218">
        <v>49781</v>
      </c>
      <c r="D38" s="218">
        <v>1638907</v>
      </c>
      <c r="F38" s="217" t="s">
        <v>26</v>
      </c>
      <c r="G38" s="218">
        <v>69849348.579999998</v>
      </c>
      <c r="H38" s="218">
        <v>439340</v>
      </c>
      <c r="I38" s="218">
        <v>13143185</v>
      </c>
      <c r="J38" s="130"/>
    </row>
    <row r="39" spans="1:10" ht="15.75" thickTop="1" x14ac:dyDescent="0.25">
      <c r="A39" s="217" t="s">
        <v>27</v>
      </c>
      <c r="B39" s="228">
        <v>97725493.211999997</v>
      </c>
      <c r="C39" s="228">
        <v>614676</v>
      </c>
      <c r="D39" s="228">
        <v>18316776</v>
      </c>
      <c r="F39" s="217" t="s">
        <v>27</v>
      </c>
      <c r="G39" s="228">
        <v>102629129.25299999</v>
      </c>
      <c r="H39" s="228">
        <v>645519</v>
      </c>
      <c r="I39" s="228">
        <v>19065214</v>
      </c>
    </row>
    <row r="40" spans="1:10" ht="14.25" x14ac:dyDescent="0.2">
      <c r="A40" s="217" t="s">
        <v>15</v>
      </c>
      <c r="B40" s="216">
        <v>268529837.935</v>
      </c>
      <c r="C40" s="216">
        <v>1689005</v>
      </c>
      <c r="D40" s="216">
        <v>49360722</v>
      </c>
      <c r="F40" s="217" t="s">
        <v>15</v>
      </c>
      <c r="G40" s="229">
        <v>300118170.02999997</v>
      </c>
      <c r="H40" s="216">
        <v>1887690</v>
      </c>
      <c r="I40" s="216">
        <v>52069346</v>
      </c>
      <c r="J40" s="130"/>
    </row>
    <row r="41" spans="1:10" ht="14.25" x14ac:dyDescent="0.2">
      <c r="A41" s="217" t="s">
        <v>16</v>
      </c>
      <c r="B41" s="216">
        <v>37848763.193999998</v>
      </c>
      <c r="C41" s="216">
        <v>238062</v>
      </c>
      <c r="D41" s="216">
        <v>7076075</v>
      </c>
      <c r="F41" s="217" t="s">
        <v>16</v>
      </c>
      <c r="G41" s="216">
        <v>41136455.366999999</v>
      </c>
      <c r="H41" s="216">
        <v>258741</v>
      </c>
      <c r="I41" s="216">
        <v>7333798</v>
      </c>
      <c r="J41" s="130"/>
    </row>
    <row r="42" spans="1:10" ht="14.25" x14ac:dyDescent="0.2">
      <c r="A42" s="217" t="s">
        <v>17</v>
      </c>
      <c r="B42" s="216">
        <v>173913494.495</v>
      </c>
      <c r="C42" s="216">
        <v>1093885</v>
      </c>
      <c r="D42" s="216">
        <v>22666955</v>
      </c>
      <c r="F42" s="217" t="s">
        <v>17</v>
      </c>
      <c r="G42" s="216">
        <v>194747945.91</v>
      </c>
      <c r="H42" s="216">
        <v>1224930</v>
      </c>
      <c r="I42" s="216">
        <v>26019906</v>
      </c>
      <c r="J42" s="130"/>
    </row>
    <row r="43" spans="1:10" ht="14.25" x14ac:dyDescent="0.2">
      <c r="A43" s="217" t="s">
        <v>18</v>
      </c>
      <c r="B43" s="216">
        <v>1815154.5789999999</v>
      </c>
      <c r="C43" s="216">
        <v>11417</v>
      </c>
      <c r="D43" s="216">
        <v>577860</v>
      </c>
      <c r="F43" s="217" t="s">
        <v>18</v>
      </c>
      <c r="G43" s="216">
        <v>1575402.183</v>
      </c>
      <c r="H43" s="216">
        <v>9909</v>
      </c>
      <c r="I43" s="216">
        <v>503126</v>
      </c>
      <c r="J43" s="130"/>
    </row>
    <row r="44" spans="1:10" ht="15" thickBot="1" x14ac:dyDescent="0.25">
      <c r="A44" s="217" t="s">
        <v>19</v>
      </c>
      <c r="B44" s="218">
        <v>10309988.976</v>
      </c>
      <c r="C44" s="218">
        <v>64848</v>
      </c>
      <c r="D44" s="218">
        <v>2698221</v>
      </c>
      <c r="F44" s="217" t="s">
        <v>19</v>
      </c>
      <c r="G44" s="218">
        <v>10634322.456</v>
      </c>
      <c r="H44" s="218">
        <v>66888</v>
      </c>
      <c r="I44" s="218">
        <v>2735843</v>
      </c>
      <c r="J44" s="130"/>
    </row>
    <row r="45" spans="1:10" ht="16.5" thickTop="1" thickBot="1" x14ac:dyDescent="0.3">
      <c r="A45" s="213" t="s">
        <v>6</v>
      </c>
      <c r="B45" s="219">
        <v>590142732.39099991</v>
      </c>
      <c r="C45" s="219">
        <v>3711893</v>
      </c>
      <c r="D45" s="219">
        <v>100696609</v>
      </c>
      <c r="F45" s="213" t="s">
        <v>6</v>
      </c>
      <c r="G45" s="219">
        <v>650841425.19899988</v>
      </c>
      <c r="H45" s="219">
        <v>4093677</v>
      </c>
      <c r="I45" s="219">
        <v>107727233</v>
      </c>
    </row>
    <row r="46" spans="1:10" ht="13.5" thickTop="1" x14ac:dyDescent="0.2">
      <c r="D46" s="52"/>
    </row>
    <row r="47" spans="1:10" ht="14.25" x14ac:dyDescent="0.2">
      <c r="A47" s="95"/>
      <c r="B47" s="95"/>
      <c r="C47" s="95"/>
      <c r="D47" s="222"/>
    </row>
    <row r="48" spans="1:10" ht="14.25" x14ac:dyDescent="0.2">
      <c r="A48" s="95"/>
      <c r="B48" s="95"/>
      <c r="C48" s="95"/>
      <c r="D48" s="222"/>
    </row>
    <row r="63" spans="1:4" ht="15" x14ac:dyDescent="0.25">
      <c r="A63" s="84" t="s">
        <v>20</v>
      </c>
      <c r="B63" s="220"/>
      <c r="C63" s="220"/>
      <c r="D63" s="221"/>
    </row>
    <row r="64" spans="1:4" ht="15" x14ac:dyDescent="0.25">
      <c r="A64" s="230" t="s">
        <v>28</v>
      </c>
      <c r="B64" s="230"/>
      <c r="C64" s="230"/>
      <c r="D64" s="231"/>
    </row>
    <row r="65" spans="1:10" ht="15" x14ac:dyDescent="0.25">
      <c r="A65" s="224"/>
      <c r="B65" s="202">
        <v>1998</v>
      </c>
      <c r="C65" s="224"/>
      <c r="D65" s="225"/>
      <c r="F65" s="199" t="s">
        <v>8</v>
      </c>
      <c r="G65" s="199"/>
      <c r="H65" s="199"/>
      <c r="I65" s="223"/>
    </row>
    <row r="66" spans="1:10" ht="15" x14ac:dyDescent="0.25">
      <c r="A66" s="206" t="s">
        <v>9</v>
      </c>
      <c r="B66" s="207" t="s">
        <v>23</v>
      </c>
      <c r="C66" s="208"/>
      <c r="D66" s="209" t="s">
        <v>10</v>
      </c>
      <c r="F66" s="224"/>
      <c r="G66" s="202">
        <v>1999</v>
      </c>
      <c r="H66" s="224"/>
      <c r="I66" s="225"/>
    </row>
    <row r="67" spans="1:10" ht="15" x14ac:dyDescent="0.25">
      <c r="A67" s="213"/>
      <c r="B67" s="214" t="s">
        <v>4</v>
      </c>
      <c r="C67" s="214" t="s">
        <v>3</v>
      </c>
      <c r="D67" s="209" t="s">
        <v>12</v>
      </c>
      <c r="F67" s="206" t="s">
        <v>9</v>
      </c>
      <c r="G67" s="207" t="s">
        <v>23</v>
      </c>
      <c r="H67" s="208"/>
      <c r="I67" s="209" t="s">
        <v>10</v>
      </c>
    </row>
    <row r="68" spans="1:10" ht="15" x14ac:dyDescent="0.25">
      <c r="A68" s="217" t="s">
        <v>24</v>
      </c>
      <c r="B68" s="227"/>
      <c r="C68" s="227"/>
      <c r="D68" s="216"/>
      <c r="F68" s="213"/>
      <c r="G68" s="214" t="s">
        <v>4</v>
      </c>
      <c r="H68" s="214" t="s">
        <v>3</v>
      </c>
      <c r="I68" s="209" t="s">
        <v>5</v>
      </c>
    </row>
    <row r="69" spans="1:10" ht="14.25" x14ac:dyDescent="0.2">
      <c r="A69" s="217" t="s">
        <v>25</v>
      </c>
      <c r="B69" s="216">
        <v>37465286.549999997</v>
      </c>
      <c r="C69" s="216">
        <v>235650</v>
      </c>
      <c r="D69" s="216">
        <v>5278422</v>
      </c>
      <c r="E69" s="130"/>
      <c r="F69" s="217" t="s">
        <v>29</v>
      </c>
      <c r="G69" s="216">
        <v>118038467.26699999</v>
      </c>
      <c r="H69" s="216">
        <v>742441</v>
      </c>
      <c r="I69" s="216">
        <v>20114155</v>
      </c>
      <c r="J69" s="130"/>
    </row>
    <row r="70" spans="1:10" ht="15" thickBot="1" x14ac:dyDescent="0.25">
      <c r="A70" s="217" t="s">
        <v>26</v>
      </c>
      <c r="B70" s="218">
        <v>71938278.773000002</v>
      </c>
      <c r="C70" s="218">
        <v>452479</v>
      </c>
      <c r="D70" s="218">
        <v>10160345</v>
      </c>
      <c r="E70" s="130"/>
      <c r="F70" s="217" t="s">
        <v>15</v>
      </c>
      <c r="G70" s="216">
        <v>341620613.47100002</v>
      </c>
      <c r="H70" s="216">
        <v>2148733</v>
      </c>
      <c r="I70" s="216">
        <v>51810847</v>
      </c>
      <c r="J70" s="130"/>
    </row>
    <row r="71" spans="1:10" ht="15.75" thickTop="1" x14ac:dyDescent="0.25">
      <c r="A71" s="217" t="s">
        <v>27</v>
      </c>
      <c r="B71" s="228">
        <v>109403565.323</v>
      </c>
      <c r="C71" s="228">
        <v>688129</v>
      </c>
      <c r="D71" s="228">
        <v>15438767</v>
      </c>
      <c r="F71" s="217" t="s">
        <v>16</v>
      </c>
      <c r="G71" s="216">
        <v>37369099.414999999</v>
      </c>
      <c r="H71" s="216">
        <v>235045</v>
      </c>
      <c r="I71" s="216">
        <v>5929888</v>
      </c>
      <c r="J71" s="130"/>
    </row>
    <row r="72" spans="1:10" ht="14.25" x14ac:dyDescent="0.2">
      <c r="A72" s="217" t="s">
        <v>15</v>
      </c>
      <c r="B72" s="216">
        <v>289517234.84399998</v>
      </c>
      <c r="C72" s="216">
        <v>1821012</v>
      </c>
      <c r="D72" s="216">
        <v>36340160</v>
      </c>
      <c r="E72" s="130"/>
      <c r="F72" s="217" t="s">
        <v>17</v>
      </c>
      <c r="G72" s="216">
        <v>144125531.18799999</v>
      </c>
      <c r="H72" s="216">
        <v>906524</v>
      </c>
      <c r="I72" s="216">
        <v>17531235</v>
      </c>
      <c r="J72" s="130"/>
    </row>
    <row r="73" spans="1:10" ht="14.25" x14ac:dyDescent="0.2">
      <c r="A73" s="217" t="s">
        <v>16</v>
      </c>
      <c r="B73" s="216">
        <v>33541805.364</v>
      </c>
      <c r="C73" s="216">
        <v>210972</v>
      </c>
      <c r="D73" s="216">
        <v>4454239</v>
      </c>
      <c r="E73" s="130"/>
      <c r="F73" s="217" t="s">
        <v>18</v>
      </c>
      <c r="G73" s="216">
        <v>1731527.4169999999</v>
      </c>
      <c r="H73" s="216">
        <v>10891</v>
      </c>
      <c r="I73" s="216">
        <v>522145</v>
      </c>
      <c r="J73" s="130"/>
    </row>
    <row r="74" spans="1:10" ht="15" thickBot="1" x14ac:dyDescent="0.25">
      <c r="A74" s="217" t="s">
        <v>17</v>
      </c>
      <c r="B74" s="216">
        <v>211590869.70299998</v>
      </c>
      <c r="C74" s="216">
        <v>1330869</v>
      </c>
      <c r="D74" s="216">
        <v>19705980</v>
      </c>
      <c r="E74" s="130"/>
      <c r="F74" s="217" t="s">
        <v>19</v>
      </c>
      <c r="G74" s="218">
        <v>14886270.784</v>
      </c>
      <c r="H74" s="218">
        <v>93632</v>
      </c>
      <c r="I74" s="218">
        <v>3796121</v>
      </c>
      <c r="J74" s="130"/>
    </row>
    <row r="75" spans="1:10" ht="16.5" thickTop="1" thickBot="1" x14ac:dyDescent="0.3">
      <c r="A75" s="217" t="s">
        <v>18</v>
      </c>
      <c r="B75" s="216">
        <v>3190233.142</v>
      </c>
      <c r="C75" s="216">
        <v>20066</v>
      </c>
      <c r="D75" s="216">
        <v>696556</v>
      </c>
      <c r="E75" s="130"/>
      <c r="F75" s="213" t="s">
        <v>6</v>
      </c>
      <c r="G75" s="219">
        <v>657771509.54200017</v>
      </c>
      <c r="H75" s="219">
        <v>4137266</v>
      </c>
      <c r="I75" s="219">
        <v>99704391</v>
      </c>
    </row>
    <row r="76" spans="1:10" ht="15.75" thickTop="1" thickBot="1" x14ac:dyDescent="0.25">
      <c r="A76" s="217" t="s">
        <v>19</v>
      </c>
      <c r="B76" s="218">
        <v>8699291.6789999995</v>
      </c>
      <c r="C76" s="218">
        <v>54717</v>
      </c>
      <c r="D76" s="218">
        <v>1903797</v>
      </c>
      <c r="E76" s="130"/>
    </row>
    <row r="77" spans="1:10" ht="16.5" thickTop="1" thickBot="1" x14ac:dyDescent="0.3">
      <c r="A77" s="213" t="s">
        <v>6</v>
      </c>
      <c r="B77" s="219">
        <v>655943000.05499995</v>
      </c>
      <c r="C77" s="219">
        <v>4125765</v>
      </c>
      <c r="D77" s="219">
        <v>78539499</v>
      </c>
    </row>
    <row r="78" spans="1:10" ht="15" thickTop="1" x14ac:dyDescent="0.2">
      <c r="A78" s="220"/>
      <c r="B78" s="220"/>
      <c r="C78" s="220"/>
      <c r="D78" s="221"/>
    </row>
    <row r="79" spans="1:10" ht="14.25" x14ac:dyDescent="0.2">
      <c r="A79" s="95"/>
      <c r="B79" s="95"/>
      <c r="C79" s="95"/>
      <c r="D79" s="222"/>
    </row>
    <row r="80" spans="1:10" ht="14.25" x14ac:dyDescent="0.2">
      <c r="A80" s="95"/>
      <c r="B80" s="95"/>
      <c r="C80" s="95"/>
      <c r="D80" s="222"/>
    </row>
    <row r="92" spans="1:9" ht="14.25" x14ac:dyDescent="0.2">
      <c r="A92" s="220"/>
      <c r="B92" s="220"/>
      <c r="C92" s="220"/>
      <c r="D92" s="221"/>
    </row>
    <row r="93" spans="1:9" ht="15" x14ac:dyDescent="0.25">
      <c r="A93" s="84" t="s">
        <v>20</v>
      </c>
      <c r="B93" s="95"/>
      <c r="C93" s="95"/>
      <c r="D93" s="222"/>
    </row>
    <row r="94" spans="1:9" ht="14.25" x14ac:dyDescent="0.2">
      <c r="A94" s="95"/>
      <c r="B94" s="95"/>
      <c r="C94" s="95"/>
      <c r="D94" s="222"/>
    </row>
    <row r="95" spans="1:9" ht="15" x14ac:dyDescent="0.25">
      <c r="A95" s="199" t="s">
        <v>30</v>
      </c>
      <c r="B95" s="232"/>
      <c r="C95" s="232"/>
      <c r="D95" s="233"/>
      <c r="F95" s="230" t="s">
        <v>8</v>
      </c>
      <c r="G95" s="202"/>
      <c r="H95" s="202"/>
      <c r="I95" s="203"/>
    </row>
    <row r="96" spans="1:9" ht="15" x14ac:dyDescent="0.25">
      <c r="A96" s="224"/>
      <c r="B96" s="202">
        <v>2000</v>
      </c>
      <c r="C96" s="224"/>
      <c r="D96" s="225"/>
      <c r="F96" s="224"/>
      <c r="G96" s="202">
        <v>2001</v>
      </c>
      <c r="H96" s="224"/>
      <c r="I96" s="225"/>
    </row>
    <row r="97" spans="1:10" ht="15" x14ac:dyDescent="0.25">
      <c r="A97" s="234" t="s">
        <v>9</v>
      </c>
      <c r="B97" s="235" t="s">
        <v>23</v>
      </c>
      <c r="C97" s="236"/>
      <c r="D97" s="237" t="s">
        <v>10</v>
      </c>
      <c r="F97" s="234" t="s">
        <v>9</v>
      </c>
      <c r="G97" s="235" t="s">
        <v>31</v>
      </c>
      <c r="H97" s="236"/>
      <c r="I97" s="237" t="s">
        <v>10</v>
      </c>
    </row>
    <row r="98" spans="1:10" ht="15" x14ac:dyDescent="0.25">
      <c r="A98" s="238"/>
      <c r="B98" s="239" t="s">
        <v>4</v>
      </c>
      <c r="C98" s="239" t="s">
        <v>3</v>
      </c>
      <c r="D98" s="237" t="s">
        <v>12</v>
      </c>
      <c r="F98" s="238"/>
      <c r="G98" s="239" t="s">
        <v>4</v>
      </c>
      <c r="H98" s="239" t="s">
        <v>3</v>
      </c>
      <c r="I98" s="237" t="s">
        <v>12</v>
      </c>
    </row>
    <row r="99" spans="1:10" ht="14.25" customHeight="1" x14ac:dyDescent="0.2">
      <c r="A99" s="240" t="s">
        <v>29</v>
      </c>
      <c r="B99" s="216">
        <v>112579648.62199999</v>
      </c>
      <c r="C99" s="216">
        <v>708106</v>
      </c>
      <c r="D99" s="216">
        <v>28369527</v>
      </c>
      <c r="E99" s="130"/>
      <c r="F99" s="240" t="s">
        <v>29</v>
      </c>
      <c r="G99" s="216">
        <v>116205983.10499999</v>
      </c>
      <c r="H99" s="216">
        <v>730915</v>
      </c>
      <c r="I99" s="216">
        <v>26767040</v>
      </c>
      <c r="J99" s="130"/>
    </row>
    <row r="100" spans="1:10" ht="14.25" x14ac:dyDescent="0.2">
      <c r="A100" s="240" t="s">
        <v>15</v>
      </c>
      <c r="B100" s="216">
        <v>309423838.12699997</v>
      </c>
      <c r="C100" s="216">
        <v>1946221</v>
      </c>
      <c r="D100" s="216">
        <v>74659458</v>
      </c>
      <c r="E100" s="130"/>
      <c r="F100" s="240" t="s">
        <v>15</v>
      </c>
      <c r="G100" s="216">
        <v>306932670.824</v>
      </c>
      <c r="H100" s="216">
        <v>1930552</v>
      </c>
      <c r="I100" s="216">
        <v>64436452</v>
      </c>
      <c r="J100" s="130"/>
    </row>
    <row r="101" spans="1:10" ht="14.25" x14ac:dyDescent="0.2">
      <c r="A101" s="240" t="s">
        <v>16</v>
      </c>
      <c r="B101" s="216">
        <v>38237963.369999997</v>
      </c>
      <c r="C101" s="216">
        <v>240510</v>
      </c>
      <c r="D101" s="216">
        <v>9774805</v>
      </c>
      <c r="E101" s="130"/>
      <c r="F101" s="240" t="s">
        <v>16</v>
      </c>
      <c r="G101" s="216">
        <v>31433160.783</v>
      </c>
      <c r="H101" s="216">
        <v>197709</v>
      </c>
      <c r="I101" s="216">
        <v>7113830</v>
      </c>
      <c r="J101" s="130"/>
    </row>
    <row r="102" spans="1:10" ht="14.25" x14ac:dyDescent="0.2">
      <c r="A102" s="240" t="s">
        <v>17</v>
      </c>
      <c r="B102" s="216">
        <v>149878316.796</v>
      </c>
      <c r="C102" s="216">
        <v>942708</v>
      </c>
      <c r="D102" s="216">
        <v>25617766</v>
      </c>
      <c r="E102" s="130"/>
      <c r="F102" s="240" t="s">
        <v>17</v>
      </c>
      <c r="G102" s="216">
        <v>139260528.98800001</v>
      </c>
      <c r="H102" s="216">
        <v>875924</v>
      </c>
      <c r="I102" s="216">
        <v>20574920</v>
      </c>
      <c r="J102" s="130"/>
    </row>
    <row r="103" spans="1:10" ht="14.25" x14ac:dyDescent="0.2">
      <c r="A103" s="240" t="s">
        <v>18</v>
      </c>
      <c r="B103" s="216">
        <v>2168741.6669999999</v>
      </c>
      <c r="C103" s="216">
        <v>13641</v>
      </c>
      <c r="D103" s="216">
        <v>825833</v>
      </c>
      <c r="E103" s="130"/>
      <c r="F103" s="240" t="s">
        <v>18</v>
      </c>
      <c r="G103" s="216">
        <v>1051699.0049999999</v>
      </c>
      <c r="H103" s="216">
        <v>6615</v>
      </c>
      <c r="I103" s="216">
        <v>387751</v>
      </c>
      <c r="J103" s="130"/>
    </row>
    <row r="104" spans="1:10" ht="15" thickBot="1" x14ac:dyDescent="0.25">
      <c r="A104" s="240" t="s">
        <v>19</v>
      </c>
      <c r="B104" s="218">
        <v>11674097.435999999</v>
      </c>
      <c r="C104" s="218">
        <v>73428</v>
      </c>
      <c r="D104" s="218">
        <v>4030585</v>
      </c>
      <c r="E104" s="130"/>
      <c r="F104" s="240" t="s">
        <v>19</v>
      </c>
      <c r="G104" s="218">
        <v>14775615.832</v>
      </c>
      <c r="H104" s="218">
        <v>92936</v>
      </c>
      <c r="I104" s="218">
        <v>4093528</v>
      </c>
      <c r="J104" s="130"/>
    </row>
    <row r="105" spans="1:10" ht="16.5" thickTop="1" thickBot="1" x14ac:dyDescent="0.3">
      <c r="A105" s="238" t="s">
        <v>6</v>
      </c>
      <c r="B105" s="219">
        <v>623962606.01800001</v>
      </c>
      <c r="C105" s="219">
        <v>3924614</v>
      </c>
      <c r="D105" s="219">
        <v>143277974</v>
      </c>
      <c r="F105" s="238" t="s">
        <v>6</v>
      </c>
      <c r="G105" s="219">
        <v>609659658.53700006</v>
      </c>
      <c r="H105" s="219">
        <v>3834651</v>
      </c>
      <c r="I105" s="219">
        <v>123373521</v>
      </c>
    </row>
    <row r="106" spans="1:10" ht="15" thickTop="1" x14ac:dyDescent="0.2">
      <c r="A106" s="220"/>
      <c r="B106" s="220"/>
      <c r="C106" s="220"/>
      <c r="D106" s="221"/>
    </row>
    <row r="107" spans="1:10" ht="14.25" x14ac:dyDescent="0.2">
      <c r="A107" s="95"/>
      <c r="B107" s="95"/>
      <c r="C107" s="95"/>
      <c r="D107" s="222"/>
    </row>
    <row r="108" spans="1:10" ht="14.25" x14ac:dyDescent="0.2">
      <c r="A108" s="95"/>
      <c r="B108" s="95"/>
      <c r="C108" s="95"/>
      <c r="D108" s="222"/>
    </row>
    <row r="113" spans="1:10" ht="12.6" customHeight="1" x14ac:dyDescent="0.2">
      <c r="D113" s="52"/>
    </row>
    <row r="120" spans="1:10" ht="14.25" x14ac:dyDescent="0.2">
      <c r="A120" s="220"/>
      <c r="B120" s="220"/>
      <c r="C120" s="220"/>
      <c r="D120" s="221"/>
    </row>
    <row r="121" spans="1:10" ht="15" x14ac:dyDescent="0.25">
      <c r="A121" s="84" t="s">
        <v>20</v>
      </c>
      <c r="B121" s="95"/>
      <c r="C121" s="95"/>
      <c r="D121" s="222"/>
    </row>
    <row r="122" spans="1:10" ht="14.25" x14ac:dyDescent="0.2">
      <c r="A122" s="95"/>
      <c r="B122" s="95"/>
      <c r="C122" s="95"/>
      <c r="D122" s="222"/>
    </row>
    <row r="123" spans="1:10" ht="15" x14ac:dyDescent="0.25">
      <c r="A123" s="199" t="s">
        <v>32</v>
      </c>
      <c r="B123" s="241"/>
      <c r="C123" s="241"/>
      <c r="D123" s="242"/>
      <c r="F123" s="199" t="s">
        <v>32</v>
      </c>
      <c r="G123" s="232"/>
      <c r="H123" s="232"/>
      <c r="I123" s="233"/>
    </row>
    <row r="124" spans="1:10" ht="15" x14ac:dyDescent="0.25">
      <c r="A124" s="224"/>
      <c r="B124" s="202">
        <v>2002</v>
      </c>
      <c r="C124" s="224"/>
      <c r="D124" s="225"/>
      <c r="F124" s="202"/>
      <c r="G124" s="202">
        <v>2003</v>
      </c>
      <c r="H124" s="202"/>
      <c r="I124" s="203"/>
    </row>
    <row r="125" spans="1:10" ht="15" x14ac:dyDescent="0.25">
      <c r="A125" s="234" t="s">
        <v>9</v>
      </c>
      <c r="B125" s="235" t="s">
        <v>22</v>
      </c>
      <c r="C125" s="236"/>
      <c r="D125" s="237" t="s">
        <v>10</v>
      </c>
      <c r="F125" s="234" t="s">
        <v>9</v>
      </c>
      <c r="G125" s="235" t="s">
        <v>11</v>
      </c>
      <c r="H125" s="236"/>
      <c r="I125" s="237" t="s">
        <v>10</v>
      </c>
    </row>
    <row r="126" spans="1:10" ht="15" x14ac:dyDescent="0.25">
      <c r="A126" s="238"/>
      <c r="B126" s="239" t="s">
        <v>4</v>
      </c>
      <c r="C126" s="239" t="s">
        <v>3</v>
      </c>
      <c r="D126" s="237" t="s">
        <v>12</v>
      </c>
      <c r="F126" s="238"/>
      <c r="G126" s="239" t="s">
        <v>4</v>
      </c>
      <c r="H126" s="239" t="s">
        <v>3</v>
      </c>
      <c r="I126" s="237" t="s">
        <v>12</v>
      </c>
    </row>
    <row r="127" spans="1:10" ht="12" customHeight="1" x14ac:dyDescent="0.2">
      <c r="A127" s="240" t="s">
        <v>33</v>
      </c>
      <c r="B127" s="216">
        <v>116253838.192</v>
      </c>
      <c r="C127" s="216">
        <v>731216</v>
      </c>
      <c r="D127" s="216">
        <v>26342252</v>
      </c>
      <c r="E127" s="130"/>
      <c r="F127" s="240" t="s">
        <v>29</v>
      </c>
      <c r="G127" s="216">
        <v>114039149.28199999</v>
      </c>
      <c r="H127" s="216">
        <v>717286</v>
      </c>
      <c r="I127" s="216">
        <v>32205673.399999999</v>
      </c>
      <c r="J127" s="130"/>
    </row>
    <row r="128" spans="1:10" ht="14.25" x14ac:dyDescent="0.2">
      <c r="A128" s="240" t="s">
        <v>15</v>
      </c>
      <c r="B128" s="216">
        <v>302467838.903</v>
      </c>
      <c r="C128" s="216">
        <v>1902469</v>
      </c>
      <c r="D128" s="216">
        <v>60924500</v>
      </c>
      <c r="E128" s="130"/>
      <c r="F128" s="240" t="s">
        <v>15</v>
      </c>
      <c r="G128" s="216">
        <v>284785304.76300001</v>
      </c>
      <c r="H128" s="216">
        <v>1791249</v>
      </c>
      <c r="I128" s="216">
        <v>73310706.140000001</v>
      </c>
      <c r="J128" s="130"/>
    </row>
    <row r="129" spans="1:10" ht="14.25" x14ac:dyDescent="0.2">
      <c r="A129" s="240" t="s">
        <v>16</v>
      </c>
      <c r="B129" s="216">
        <v>31905034.198999997</v>
      </c>
      <c r="C129" s="216">
        <v>200677</v>
      </c>
      <c r="D129" s="216">
        <v>6720775</v>
      </c>
      <c r="E129" s="130"/>
      <c r="F129" s="240" t="s">
        <v>16</v>
      </c>
      <c r="G129" s="216">
        <v>31535230.436999999</v>
      </c>
      <c r="H129" s="216">
        <v>198351</v>
      </c>
      <c r="I129" s="216">
        <v>7928272.3899999997</v>
      </c>
      <c r="J129" s="130"/>
    </row>
    <row r="130" spans="1:10" ht="14.25" x14ac:dyDescent="0.2">
      <c r="A130" s="240" t="s">
        <v>17</v>
      </c>
      <c r="B130" s="216">
        <v>146845003.82299998</v>
      </c>
      <c r="C130" s="216">
        <v>923629</v>
      </c>
      <c r="D130" s="216">
        <v>24309573</v>
      </c>
      <c r="E130" s="130"/>
      <c r="F130" s="240" t="s">
        <v>17</v>
      </c>
      <c r="G130" s="216">
        <v>183917751.47</v>
      </c>
      <c r="H130" s="216">
        <v>1156810</v>
      </c>
      <c r="I130" s="216">
        <v>33911015.579999998</v>
      </c>
      <c r="J130" s="130"/>
    </row>
    <row r="131" spans="1:10" ht="14.25" x14ac:dyDescent="0.2">
      <c r="A131" s="240" t="s">
        <v>18</v>
      </c>
      <c r="B131" s="216">
        <v>1143116.53</v>
      </c>
      <c r="C131" s="216">
        <v>7190</v>
      </c>
      <c r="D131" s="216">
        <v>410595</v>
      </c>
      <c r="E131" s="130"/>
      <c r="F131" s="240" t="s">
        <v>18</v>
      </c>
      <c r="G131" s="216">
        <v>1370626.9269999999</v>
      </c>
      <c r="H131" s="216">
        <v>8621</v>
      </c>
      <c r="I131" s="216">
        <v>782106.35</v>
      </c>
      <c r="J131" s="130"/>
    </row>
    <row r="132" spans="1:10" ht="15" thickBot="1" x14ac:dyDescent="0.25">
      <c r="A132" s="240" t="s">
        <v>19</v>
      </c>
      <c r="B132" s="218">
        <v>15950211.787999999</v>
      </c>
      <c r="C132" s="218">
        <v>100324</v>
      </c>
      <c r="D132" s="218">
        <v>3935989</v>
      </c>
      <c r="E132" s="130"/>
      <c r="F132" s="240" t="s">
        <v>19</v>
      </c>
      <c r="G132" s="218">
        <v>17151835.533999998</v>
      </c>
      <c r="H132" s="218">
        <v>107882</v>
      </c>
      <c r="I132" s="218">
        <v>5056191.78</v>
      </c>
      <c r="J132" s="130"/>
    </row>
    <row r="133" spans="1:10" ht="16.5" thickTop="1" thickBot="1" x14ac:dyDescent="0.3">
      <c r="A133" s="238" t="s">
        <v>6</v>
      </c>
      <c r="B133" s="219">
        <v>614565043.43499994</v>
      </c>
      <c r="C133" s="219">
        <v>3865505</v>
      </c>
      <c r="D133" s="219">
        <v>122643684</v>
      </c>
      <c r="F133" s="238" t="s">
        <v>6</v>
      </c>
      <c r="G133" s="219">
        <v>632799898.41300011</v>
      </c>
      <c r="H133" s="219">
        <v>3980199</v>
      </c>
      <c r="I133" s="219">
        <v>153193965.63999999</v>
      </c>
    </row>
    <row r="134" spans="1:10" ht="15" thickTop="1" x14ac:dyDescent="0.2">
      <c r="A134" s="95"/>
      <c r="B134" s="95"/>
      <c r="C134" s="95"/>
      <c r="D134" s="222"/>
    </row>
    <row r="135" spans="1:10" ht="14.25" x14ac:dyDescent="0.2">
      <c r="B135" s="95"/>
      <c r="C135" s="95"/>
      <c r="D135" s="222"/>
    </row>
    <row r="136" spans="1:10" ht="14.25" x14ac:dyDescent="0.2">
      <c r="A136" s="95"/>
      <c r="B136" s="95"/>
      <c r="C136" s="95"/>
      <c r="D136" s="222"/>
    </row>
    <row r="141" spans="1:10" ht="12.6" customHeight="1" x14ac:dyDescent="0.2">
      <c r="D141" s="52"/>
    </row>
    <row r="148" spans="1:10" ht="14.25" x14ac:dyDescent="0.2">
      <c r="A148" s="95"/>
      <c r="B148" s="95"/>
      <c r="C148" s="220"/>
      <c r="D148" s="221"/>
      <c r="E148" s="157"/>
      <c r="F148" s="157"/>
      <c r="G148" s="157"/>
    </row>
    <row r="149" spans="1:10" ht="15" x14ac:dyDescent="0.25">
      <c r="A149" s="84" t="s">
        <v>20</v>
      </c>
      <c r="B149" s="95"/>
      <c r="C149" s="95"/>
      <c r="D149" s="222"/>
    </row>
    <row r="150" spans="1:10" ht="14.25" x14ac:dyDescent="0.2">
      <c r="A150" s="95"/>
      <c r="B150" s="95"/>
      <c r="C150" s="95"/>
      <c r="D150" s="222"/>
    </row>
    <row r="151" spans="1:10" ht="15" x14ac:dyDescent="0.25">
      <c r="A151" s="199" t="s">
        <v>34</v>
      </c>
      <c r="B151" s="232"/>
      <c r="C151" s="232"/>
      <c r="D151" s="233"/>
      <c r="F151" s="199" t="s">
        <v>32</v>
      </c>
      <c r="G151" s="232"/>
      <c r="H151" s="232"/>
      <c r="I151" s="233"/>
    </row>
    <row r="152" spans="1:10" ht="15" x14ac:dyDescent="0.25">
      <c r="A152" s="202"/>
      <c r="B152" s="202">
        <v>2004</v>
      </c>
      <c r="C152" s="202"/>
      <c r="D152" s="203"/>
      <c r="F152" s="202"/>
      <c r="G152" s="202">
        <v>2005</v>
      </c>
      <c r="H152" s="202"/>
      <c r="I152" s="203"/>
    </row>
    <row r="153" spans="1:10" ht="15" x14ac:dyDescent="0.25">
      <c r="A153" s="234" t="s">
        <v>9</v>
      </c>
      <c r="B153" s="235" t="s">
        <v>11</v>
      </c>
      <c r="C153" s="236"/>
      <c r="D153" s="237" t="s">
        <v>10</v>
      </c>
      <c r="F153" s="234" t="s">
        <v>9</v>
      </c>
      <c r="G153" s="235" t="s">
        <v>11</v>
      </c>
      <c r="H153" s="236"/>
      <c r="I153" s="237" t="s">
        <v>10</v>
      </c>
    </row>
    <row r="154" spans="1:10" ht="15" x14ac:dyDescent="0.25">
      <c r="A154" s="238"/>
      <c r="B154" s="239" t="s">
        <v>4</v>
      </c>
      <c r="C154" s="239" t="s">
        <v>3</v>
      </c>
      <c r="D154" s="237" t="s">
        <v>12</v>
      </c>
      <c r="F154" s="238"/>
      <c r="G154" s="239" t="s">
        <v>4</v>
      </c>
      <c r="H154" s="239" t="s">
        <v>3</v>
      </c>
      <c r="I154" s="237" t="s">
        <v>12</v>
      </c>
    </row>
    <row r="155" spans="1:10" ht="14.25" x14ac:dyDescent="0.2">
      <c r="A155" s="240" t="s">
        <v>29</v>
      </c>
      <c r="B155" s="216">
        <v>118848238.93383999</v>
      </c>
      <c r="C155" s="216">
        <v>747534.32</v>
      </c>
      <c r="D155" s="216">
        <v>41569332.799999997</v>
      </c>
      <c r="E155" s="130"/>
      <c r="F155" s="240" t="s">
        <v>29</v>
      </c>
      <c r="G155" s="243">
        <v>115904542</v>
      </c>
      <c r="H155" s="243">
        <v>729018.9889739413</v>
      </c>
      <c r="I155" s="243">
        <v>53726833.289999999</v>
      </c>
      <c r="J155" s="130"/>
    </row>
    <row r="156" spans="1:10" ht="14.25" x14ac:dyDescent="0.2">
      <c r="A156" s="240" t="s">
        <v>15</v>
      </c>
      <c r="B156" s="216">
        <v>306435827.06876701</v>
      </c>
      <c r="C156" s="216">
        <v>1927426.9410000001</v>
      </c>
      <c r="D156" s="216">
        <v>99304765.890000001</v>
      </c>
      <c r="E156" s="130"/>
      <c r="F156" s="240" t="s">
        <v>15</v>
      </c>
      <c r="G156" s="216">
        <v>290004635</v>
      </c>
      <c r="H156" s="216">
        <v>1824077.6604376459</v>
      </c>
      <c r="I156" s="216">
        <v>133464813</v>
      </c>
      <c r="J156" s="130"/>
    </row>
    <row r="157" spans="1:10" ht="14.25" x14ac:dyDescent="0.2">
      <c r="A157" s="240" t="s">
        <v>16</v>
      </c>
      <c r="B157" s="216">
        <v>29610137.937370002</v>
      </c>
      <c r="C157" s="216">
        <v>186242.51</v>
      </c>
      <c r="D157" s="216">
        <v>9701018.0299999993</v>
      </c>
      <c r="E157" s="130"/>
      <c r="F157" s="240" t="s">
        <v>16</v>
      </c>
      <c r="G157" s="216">
        <v>29630262</v>
      </c>
      <c r="H157" s="216">
        <v>186369.0867806802</v>
      </c>
      <c r="I157" s="216">
        <v>14083361.27</v>
      </c>
      <c r="J157" s="130"/>
    </row>
    <row r="158" spans="1:10" ht="14.25" x14ac:dyDescent="0.2">
      <c r="A158" s="240" t="s">
        <v>17</v>
      </c>
      <c r="B158" s="216">
        <v>143280489.050145</v>
      </c>
      <c r="C158" s="216">
        <v>901208.83499999996</v>
      </c>
      <c r="D158" s="216">
        <v>27108661.420000002</v>
      </c>
      <c r="E158" s="130"/>
      <c r="F158" s="240" t="s">
        <v>17</v>
      </c>
      <c r="G158" s="216">
        <v>107669500</v>
      </c>
      <c r="H158" s="216">
        <v>677222.03702189494</v>
      </c>
      <c r="I158" s="216">
        <v>29503620</v>
      </c>
      <c r="J158" s="130"/>
    </row>
    <row r="159" spans="1:10" ht="14.25" x14ac:dyDescent="0.2">
      <c r="A159" s="240" t="s">
        <v>18</v>
      </c>
      <c r="B159" s="216">
        <v>1293517.9140259998</v>
      </c>
      <c r="C159" s="216">
        <v>8135.9979999999996</v>
      </c>
      <c r="D159" s="216">
        <v>820278.67</v>
      </c>
      <c r="E159" s="130"/>
      <c r="F159" s="240" t="s">
        <v>18</v>
      </c>
      <c r="G159" s="216">
        <v>934207.61</v>
      </c>
      <c r="H159" s="216">
        <v>5875.999987420355</v>
      </c>
      <c r="I159" s="216">
        <v>723745.19</v>
      </c>
      <c r="J159" s="130"/>
    </row>
    <row r="160" spans="1:10" ht="15" thickBot="1" x14ac:dyDescent="0.25">
      <c r="A160" s="240" t="s">
        <v>19</v>
      </c>
      <c r="B160" s="218">
        <v>20860833.717780001</v>
      </c>
      <c r="C160" s="218">
        <v>131210.94</v>
      </c>
      <c r="D160" s="218">
        <v>7198198.4800000004</v>
      </c>
      <c r="E160" s="130"/>
      <c r="F160" s="240" t="s">
        <v>19</v>
      </c>
      <c r="G160" s="218">
        <v>19635793</v>
      </c>
      <c r="H160" s="218">
        <v>123505.65140546083</v>
      </c>
      <c r="I160" s="218">
        <v>9160774</v>
      </c>
      <c r="J160" s="130"/>
    </row>
    <row r="161" spans="1:9" ht="16.5" thickTop="1" thickBot="1" x14ac:dyDescent="0.3">
      <c r="A161" s="238" t="s">
        <v>6</v>
      </c>
      <c r="B161" s="219">
        <v>620329044.62192798</v>
      </c>
      <c r="C161" s="219">
        <v>3901759.5439999998</v>
      </c>
      <c r="D161" s="219">
        <v>185702255.28999996</v>
      </c>
      <c r="F161" s="238" t="s">
        <v>6</v>
      </c>
      <c r="G161" s="219">
        <v>563778939.61000001</v>
      </c>
      <c r="H161" s="219">
        <v>3546069.4246070432</v>
      </c>
      <c r="I161" s="219">
        <v>240663146.75</v>
      </c>
    </row>
    <row r="162" spans="1:9" ht="15" thickTop="1" x14ac:dyDescent="0.2">
      <c r="A162" s="95"/>
      <c r="B162" s="95"/>
      <c r="C162" s="95"/>
      <c r="D162" s="222"/>
    </row>
    <row r="163" spans="1:9" ht="14.25" x14ac:dyDescent="0.2">
      <c r="B163" s="95"/>
      <c r="C163" s="95"/>
      <c r="D163" s="222"/>
    </row>
    <row r="164" spans="1:9" ht="14.25" x14ac:dyDescent="0.2">
      <c r="A164" s="95"/>
      <c r="B164" s="95"/>
      <c r="C164" s="95"/>
      <c r="D164" s="222"/>
    </row>
    <row r="165" spans="1:9" ht="14.25" x14ac:dyDescent="0.2">
      <c r="A165" s="95"/>
      <c r="B165" s="95"/>
      <c r="C165" s="95"/>
      <c r="D165" s="222"/>
    </row>
    <row r="166" spans="1:9" ht="14.25" x14ac:dyDescent="0.2">
      <c r="A166" s="95"/>
      <c r="B166" s="95"/>
      <c r="C166" s="95"/>
      <c r="D166" s="222"/>
    </row>
    <row r="178" spans="1:10" ht="14.25" x14ac:dyDescent="0.2">
      <c r="A178" s="95"/>
      <c r="B178" s="95"/>
      <c r="C178" s="95"/>
      <c r="D178" s="222"/>
    </row>
    <row r="179" spans="1:10" ht="15" x14ac:dyDescent="0.25">
      <c r="A179" s="84" t="s">
        <v>20</v>
      </c>
      <c r="B179" s="95"/>
      <c r="C179" s="95"/>
      <c r="D179" s="222"/>
    </row>
    <row r="182" spans="1:10" x14ac:dyDescent="0.2">
      <c r="D182" s="52"/>
      <c r="I182" s="128"/>
    </row>
    <row r="183" spans="1:10" ht="15" x14ac:dyDescent="0.25">
      <c r="A183" s="199" t="s">
        <v>32</v>
      </c>
      <c r="B183" s="232"/>
      <c r="C183" s="232"/>
      <c r="D183" s="233"/>
      <c r="F183" s="199" t="s">
        <v>32</v>
      </c>
      <c r="G183" s="232"/>
      <c r="H183" s="232"/>
      <c r="I183" s="233"/>
    </row>
    <row r="184" spans="1:10" ht="15" x14ac:dyDescent="0.25">
      <c r="A184" s="202"/>
      <c r="B184" s="202">
        <v>2006</v>
      </c>
      <c r="C184" s="202"/>
      <c r="D184" s="203"/>
      <c r="F184" s="202"/>
      <c r="G184" s="202">
        <v>2007</v>
      </c>
      <c r="H184" s="202"/>
      <c r="I184" s="203"/>
    </row>
    <row r="185" spans="1:10" ht="15" x14ac:dyDescent="0.25">
      <c r="A185" s="234" t="s">
        <v>9</v>
      </c>
      <c r="B185" s="235" t="s">
        <v>11</v>
      </c>
      <c r="C185" s="236"/>
      <c r="D185" s="237" t="s">
        <v>10</v>
      </c>
      <c r="E185" s="131"/>
      <c r="F185" s="234" t="s">
        <v>9</v>
      </c>
      <c r="G185" s="235" t="s">
        <v>11</v>
      </c>
      <c r="H185" s="236"/>
      <c r="I185" s="237" t="s">
        <v>10</v>
      </c>
    </row>
    <row r="186" spans="1:10" ht="15" x14ac:dyDescent="0.25">
      <c r="A186" s="238"/>
      <c r="B186" s="239" t="s">
        <v>4</v>
      </c>
      <c r="C186" s="239" t="s">
        <v>3</v>
      </c>
      <c r="D186" s="237" t="s">
        <v>12</v>
      </c>
      <c r="E186" s="131"/>
      <c r="F186" s="238"/>
      <c r="G186" s="239" t="s">
        <v>4</v>
      </c>
      <c r="H186" s="239" t="s">
        <v>3</v>
      </c>
      <c r="I186" s="237" t="s">
        <v>12</v>
      </c>
    </row>
    <row r="187" spans="1:10" ht="14.25" x14ac:dyDescent="0.2">
      <c r="A187" s="240" t="s">
        <v>29</v>
      </c>
      <c r="B187" s="216">
        <f t="shared" ref="B187:B192" si="0">C187*158.9873</f>
        <v>114526681.10533881</v>
      </c>
      <c r="C187" s="216">
        <v>720351.12933761883</v>
      </c>
      <c r="D187" s="216">
        <v>61447123.890000001</v>
      </c>
      <c r="E187" s="389"/>
      <c r="F187" s="240" t="s">
        <v>29</v>
      </c>
      <c r="G187" s="216">
        <f t="shared" ref="G187:G192" si="1">H187*158.9873</f>
        <v>123674153.83510001</v>
      </c>
      <c r="H187" s="216">
        <v>777887</v>
      </c>
      <c r="I187" s="216">
        <v>71872158</v>
      </c>
      <c r="J187" s="130"/>
    </row>
    <row r="188" spans="1:10" ht="14.25" x14ac:dyDescent="0.2">
      <c r="A188" s="240" t="s">
        <v>15</v>
      </c>
      <c r="B188" s="216">
        <f t="shared" si="0"/>
        <v>252948476.29939997</v>
      </c>
      <c r="C188" s="216">
        <v>1590997.9998364646</v>
      </c>
      <c r="D188" s="216">
        <v>132614385.28</v>
      </c>
      <c r="E188" s="389"/>
      <c r="F188" s="240" t="s">
        <v>15</v>
      </c>
      <c r="G188" s="216">
        <f t="shared" si="1"/>
        <v>302906260.66790003</v>
      </c>
      <c r="H188" s="216">
        <v>1905223</v>
      </c>
      <c r="I188" s="216">
        <v>167647342.43000001</v>
      </c>
      <c r="J188" s="130"/>
    </row>
    <row r="189" spans="1:10" ht="14.25" x14ac:dyDescent="0.2">
      <c r="A189" s="240" t="s">
        <v>16</v>
      </c>
      <c r="B189" s="216">
        <f t="shared" si="0"/>
        <v>25705121.504103485</v>
      </c>
      <c r="C189" s="216">
        <v>161680.34493386254</v>
      </c>
      <c r="D189" s="216">
        <v>13966724.140000001</v>
      </c>
      <c r="E189" s="389"/>
      <c r="F189" s="240" t="s">
        <v>16</v>
      </c>
      <c r="G189" s="216">
        <f t="shared" si="1"/>
        <v>27915944.057800002</v>
      </c>
      <c r="H189" s="216">
        <v>175586</v>
      </c>
      <c r="I189" s="216">
        <v>16174286</v>
      </c>
      <c r="J189" s="130"/>
    </row>
    <row r="190" spans="1:10" ht="14.25" x14ac:dyDescent="0.2">
      <c r="A190" s="240" t="s">
        <v>17</v>
      </c>
      <c r="B190" s="216">
        <f t="shared" si="0"/>
        <v>90464568.701500133</v>
      </c>
      <c r="C190" s="216">
        <v>569005.0004088385</v>
      </c>
      <c r="D190" s="216">
        <v>31136623.25</v>
      </c>
      <c r="E190" s="389"/>
      <c r="F190" s="240" t="s">
        <v>17</v>
      </c>
      <c r="G190" s="216">
        <f t="shared" si="1"/>
        <v>148449144.79410002</v>
      </c>
      <c r="H190" s="216">
        <v>933717</v>
      </c>
      <c r="I190" s="216">
        <v>51642019.603571393</v>
      </c>
      <c r="J190" s="130"/>
    </row>
    <row r="191" spans="1:10" ht="14.25" x14ac:dyDescent="0.2">
      <c r="A191" s="240" t="s">
        <v>18</v>
      </c>
      <c r="B191" s="216">
        <f t="shared" si="0"/>
        <v>1601638.0601999999</v>
      </c>
      <c r="C191" s="244">
        <v>10074</v>
      </c>
      <c r="D191" s="216">
        <v>1365387.25</v>
      </c>
      <c r="E191" s="389"/>
      <c r="F191" s="240" t="s">
        <v>18</v>
      </c>
      <c r="G191" s="216">
        <f t="shared" si="1"/>
        <v>1394159.6337000001</v>
      </c>
      <c r="H191" s="244">
        <v>8769</v>
      </c>
      <c r="I191" s="216">
        <v>1547856</v>
      </c>
      <c r="J191" s="130"/>
    </row>
    <row r="192" spans="1:10" ht="15" thickBot="1" x14ac:dyDescent="0.25">
      <c r="A192" s="336" t="s">
        <v>19</v>
      </c>
      <c r="B192" s="337">
        <f t="shared" si="0"/>
        <v>20321279.345099285</v>
      </c>
      <c r="C192" s="337">
        <v>127816.9976161573</v>
      </c>
      <c r="D192" s="337">
        <v>11063839.52</v>
      </c>
      <c r="E192" s="130"/>
      <c r="F192" s="336" t="s">
        <v>19</v>
      </c>
      <c r="G192" s="337">
        <f t="shared" si="1"/>
        <v>17337883.0396</v>
      </c>
      <c r="H192" s="337">
        <v>109052</v>
      </c>
      <c r="I192" s="337">
        <v>10238892</v>
      </c>
      <c r="J192" s="130"/>
    </row>
    <row r="193" spans="1:10" ht="15.75" thickBot="1" x14ac:dyDescent="0.3">
      <c r="A193" s="338" t="s">
        <v>6</v>
      </c>
      <c r="B193" s="219">
        <f>SUM(B187:B192)</f>
        <v>505567765.01564163</v>
      </c>
      <c r="C193" s="219">
        <f>SUM(C187:C192)</f>
        <v>3179925.4721329417</v>
      </c>
      <c r="D193" s="219">
        <f>SUM(D187:D192)</f>
        <v>251594083.33000001</v>
      </c>
      <c r="E193" s="245"/>
      <c r="F193" s="338" t="s">
        <v>6</v>
      </c>
      <c r="G193" s="219">
        <f>SUM(G187:G192)</f>
        <v>621677546.02820003</v>
      </c>
      <c r="H193" s="219">
        <f>SUM(H187:H192)</f>
        <v>3910234</v>
      </c>
      <c r="I193" s="219">
        <f>SUM(I187:I192)</f>
        <v>319122554.03357142</v>
      </c>
      <c r="J193" s="245"/>
    </row>
    <row r="194" spans="1:10" ht="15.75" thickTop="1" x14ac:dyDescent="0.25">
      <c r="D194" s="52"/>
      <c r="E194" s="346"/>
    </row>
    <row r="195" spans="1:10" x14ac:dyDescent="0.2">
      <c r="D195" s="52"/>
      <c r="E195" s="132"/>
    </row>
    <row r="196" spans="1:10" x14ac:dyDescent="0.2">
      <c r="D196" s="52"/>
    </row>
    <row r="197" spans="1:10" x14ac:dyDescent="0.2">
      <c r="D197" s="52"/>
    </row>
    <row r="198" spans="1:10" x14ac:dyDescent="0.2">
      <c r="D198" s="52"/>
    </row>
    <row r="199" spans="1:10" x14ac:dyDescent="0.2">
      <c r="D199" s="52"/>
    </row>
    <row r="200" spans="1:10" x14ac:dyDescent="0.2">
      <c r="D200" s="52"/>
    </row>
    <row r="201" spans="1:10" x14ac:dyDescent="0.2">
      <c r="D201" s="52"/>
    </row>
    <row r="202" spans="1:10" x14ac:dyDescent="0.2">
      <c r="D202" s="52"/>
    </row>
    <row r="203" spans="1:10" x14ac:dyDescent="0.2">
      <c r="D203" s="52"/>
    </row>
    <row r="204" spans="1:10" x14ac:dyDescent="0.2">
      <c r="D204" s="52"/>
    </row>
    <row r="205" spans="1:10" x14ac:dyDescent="0.2">
      <c r="D205" s="52"/>
    </row>
    <row r="206" spans="1:10" x14ac:dyDescent="0.2">
      <c r="D206" s="52"/>
    </row>
    <row r="207" spans="1:10" x14ac:dyDescent="0.2">
      <c r="D207" s="52"/>
    </row>
    <row r="208" spans="1:10" x14ac:dyDescent="0.2">
      <c r="D208" s="52"/>
    </row>
    <row r="213" spans="1:18" ht="15" x14ac:dyDescent="0.25">
      <c r="A213" s="199" t="s">
        <v>32</v>
      </c>
      <c r="B213" s="232"/>
      <c r="C213" s="232"/>
      <c r="D213" s="233"/>
      <c r="F213" s="199" t="s">
        <v>32</v>
      </c>
      <c r="G213" s="232"/>
      <c r="H213" s="232"/>
      <c r="I213" s="233"/>
    </row>
    <row r="214" spans="1:18" ht="15" x14ac:dyDescent="0.25">
      <c r="A214" s="202"/>
      <c r="B214" s="202">
        <v>2008</v>
      </c>
      <c r="C214" s="202"/>
      <c r="D214" s="203"/>
      <c r="F214" s="202"/>
      <c r="G214" s="202">
        <v>2009</v>
      </c>
      <c r="H214" s="202"/>
      <c r="I214" s="203"/>
      <c r="K214" s="88"/>
      <c r="L214" s="88"/>
      <c r="M214" s="88"/>
      <c r="N214" s="88"/>
      <c r="O214" s="88"/>
      <c r="P214" s="88"/>
      <c r="Q214" s="88"/>
      <c r="R214" s="88"/>
    </row>
    <row r="215" spans="1:18" ht="15" x14ac:dyDescent="0.25">
      <c r="A215" s="234" t="s">
        <v>9</v>
      </c>
      <c r="B215" s="235" t="s">
        <v>11</v>
      </c>
      <c r="C215" s="236"/>
      <c r="D215" s="237" t="s">
        <v>10</v>
      </c>
      <c r="F215" s="234" t="s">
        <v>9</v>
      </c>
      <c r="G215" s="235" t="s">
        <v>11</v>
      </c>
      <c r="H215" s="236"/>
      <c r="I215" s="237" t="s">
        <v>10</v>
      </c>
      <c r="K215" s="348"/>
      <c r="L215" s="348"/>
      <c r="M215" s="348"/>
      <c r="N215" s="348"/>
      <c r="O215" s="348"/>
      <c r="P215" s="348"/>
      <c r="Q215" s="349"/>
      <c r="R215" s="349"/>
    </row>
    <row r="216" spans="1:18" ht="15" x14ac:dyDescent="0.25">
      <c r="A216" s="238"/>
      <c r="B216" s="239" t="s">
        <v>4</v>
      </c>
      <c r="C216" s="239" t="s">
        <v>3</v>
      </c>
      <c r="D216" s="237" t="s">
        <v>12</v>
      </c>
      <c r="F216" s="238"/>
      <c r="G216" s="239" t="s">
        <v>4</v>
      </c>
      <c r="H216" s="239" t="s">
        <v>3</v>
      </c>
      <c r="I216" s="237" t="s">
        <v>12</v>
      </c>
      <c r="K216" s="350"/>
      <c r="L216" s="351"/>
      <c r="M216" s="351"/>
      <c r="N216" s="351"/>
      <c r="O216" s="351"/>
      <c r="P216" s="351"/>
      <c r="Q216" s="351"/>
      <c r="R216" s="88"/>
    </row>
    <row r="217" spans="1:18" ht="15" x14ac:dyDescent="0.25">
      <c r="A217" s="240" t="s">
        <v>29</v>
      </c>
      <c r="B217" s="216">
        <f t="shared" ref="B217:B222" si="2">C217*158.9873</f>
        <v>128388922.2166</v>
      </c>
      <c r="C217" s="246">
        <v>807542</v>
      </c>
      <c r="D217" s="216">
        <v>91704357.479999989</v>
      </c>
      <c r="E217" s="131"/>
      <c r="F217" s="240" t="s">
        <v>29</v>
      </c>
      <c r="G217" s="246">
        <f t="shared" ref="G217:G223" si="3">H217*158.9873</f>
        <v>150225668.88429999</v>
      </c>
      <c r="H217" s="246">
        <v>944891</v>
      </c>
      <c r="I217" s="216">
        <v>71662921.408679992</v>
      </c>
      <c r="K217" s="350"/>
      <c r="L217" s="351"/>
      <c r="M217" s="351"/>
      <c r="N217" s="351"/>
      <c r="O217" s="351"/>
      <c r="P217" s="351"/>
      <c r="Q217" s="351"/>
      <c r="R217" s="351"/>
    </row>
    <row r="218" spans="1:18" ht="14.25" x14ac:dyDescent="0.2">
      <c r="A218" s="240" t="s">
        <v>15</v>
      </c>
      <c r="B218" s="216">
        <f t="shared" si="2"/>
        <v>252375804.07080001</v>
      </c>
      <c r="C218" s="246">
        <v>1587396</v>
      </c>
      <c r="D218" s="216">
        <v>199926554.72347972</v>
      </c>
      <c r="E218" s="131"/>
      <c r="F218" s="240" t="s">
        <v>15</v>
      </c>
      <c r="G218" s="246">
        <f t="shared" si="3"/>
        <v>259774713.72979999</v>
      </c>
      <c r="H218" s="246">
        <v>1633933.740177989</v>
      </c>
      <c r="I218" s="216">
        <v>123333560.01961799</v>
      </c>
      <c r="K218" s="347"/>
      <c r="L218" s="345"/>
      <c r="M218" s="345"/>
      <c r="N218" s="345"/>
      <c r="O218" s="345"/>
      <c r="P218" s="345"/>
      <c r="Q218" s="345"/>
      <c r="R218" s="345"/>
    </row>
    <row r="219" spans="1:18" ht="14.25" x14ac:dyDescent="0.2">
      <c r="A219" s="240" t="s">
        <v>16</v>
      </c>
      <c r="B219" s="216">
        <f t="shared" si="2"/>
        <v>25492182.669300001</v>
      </c>
      <c r="C219" s="246">
        <v>160341</v>
      </c>
      <c r="D219" s="216">
        <v>22181349.720000003</v>
      </c>
      <c r="E219" s="131"/>
      <c r="F219" s="240" t="s">
        <v>35</v>
      </c>
      <c r="G219" s="246">
        <f t="shared" si="3"/>
        <v>13144275.0275</v>
      </c>
      <c r="H219" s="246">
        <v>82675</v>
      </c>
      <c r="I219" s="216">
        <v>6327980.8700000001</v>
      </c>
      <c r="K219" s="347"/>
      <c r="L219" s="345"/>
      <c r="M219" s="345"/>
      <c r="N219" s="88"/>
      <c r="O219" s="345"/>
      <c r="P219" s="345"/>
      <c r="Q219" s="345"/>
      <c r="R219" s="88"/>
    </row>
    <row r="220" spans="1:18" ht="14.25" x14ac:dyDescent="0.2">
      <c r="A220" s="240" t="s">
        <v>17</v>
      </c>
      <c r="B220" s="216">
        <f t="shared" si="2"/>
        <v>152810166.43310001</v>
      </c>
      <c r="C220" s="246">
        <v>961147</v>
      </c>
      <c r="D220" s="216">
        <v>77303400.82280001</v>
      </c>
      <c r="E220" s="131"/>
      <c r="F220" s="240" t="s">
        <v>36</v>
      </c>
      <c r="G220" s="246">
        <f t="shared" si="3"/>
        <v>18762250.260299999</v>
      </c>
      <c r="H220" s="246">
        <v>118011</v>
      </c>
      <c r="I220" s="216">
        <v>8701325.406849999</v>
      </c>
      <c r="K220" s="88"/>
      <c r="L220" s="352"/>
      <c r="M220" s="88"/>
      <c r="N220" s="88"/>
      <c r="O220" s="88"/>
      <c r="P220" s="88"/>
      <c r="Q220" s="88"/>
      <c r="R220" s="88"/>
    </row>
    <row r="221" spans="1:18" ht="14.25" x14ac:dyDescent="0.2">
      <c r="A221" s="240" t="s">
        <v>18</v>
      </c>
      <c r="B221" s="216">
        <f t="shared" si="2"/>
        <v>1497978.3406</v>
      </c>
      <c r="C221" s="247">
        <v>9422</v>
      </c>
      <c r="D221" s="216">
        <v>1811380</v>
      </c>
      <c r="E221" s="131"/>
      <c r="F221" s="240" t="s">
        <v>17</v>
      </c>
      <c r="G221" s="246">
        <f t="shared" si="3"/>
        <v>156420609.02880001</v>
      </c>
      <c r="H221" s="246">
        <v>983856</v>
      </c>
      <c r="I221" s="216">
        <v>61739678.282769993</v>
      </c>
      <c r="K221" s="88"/>
      <c r="L221" s="88"/>
      <c r="M221" s="88"/>
      <c r="N221" s="88"/>
      <c r="O221" s="88"/>
      <c r="P221" s="88"/>
      <c r="Q221" s="88"/>
      <c r="R221" s="88"/>
    </row>
    <row r="222" spans="1:18" ht="18.75" thickBot="1" x14ac:dyDescent="0.3">
      <c r="A222" s="240" t="s">
        <v>19</v>
      </c>
      <c r="B222" s="337">
        <f t="shared" si="2"/>
        <v>21421153.865499999</v>
      </c>
      <c r="C222" s="339">
        <v>134735</v>
      </c>
      <c r="D222" s="337">
        <v>13033893</v>
      </c>
      <c r="E222" s="131"/>
      <c r="F222" s="240" t="s">
        <v>18</v>
      </c>
      <c r="G222" s="216">
        <f t="shared" si="3"/>
        <v>1335493.32</v>
      </c>
      <c r="H222" s="247">
        <v>8400</v>
      </c>
      <c r="I222" s="216">
        <v>985019</v>
      </c>
      <c r="J222" s="249"/>
      <c r="K222" s="88"/>
      <c r="L222" s="88"/>
      <c r="M222" s="88"/>
      <c r="N222" s="88"/>
      <c r="O222" s="88"/>
      <c r="P222" s="88"/>
      <c r="Q222" s="88"/>
      <c r="R222" s="88"/>
    </row>
    <row r="223" spans="1:18" ht="18.75" thickBot="1" x14ac:dyDescent="0.3">
      <c r="A223" s="338" t="s">
        <v>6</v>
      </c>
      <c r="B223" s="219">
        <f>SUM(B217:B222)</f>
        <v>581986207.59590006</v>
      </c>
      <c r="C223" s="219">
        <f>SUM(C217:C222)</f>
        <v>3660583</v>
      </c>
      <c r="D223" s="219">
        <f>SUM(D217:D222)</f>
        <v>405960935.74627972</v>
      </c>
      <c r="E223" s="388"/>
      <c r="F223" s="336" t="s">
        <v>19</v>
      </c>
      <c r="G223" s="337">
        <f t="shared" si="3"/>
        <v>24318061.458799999</v>
      </c>
      <c r="H223" s="339">
        <v>152956</v>
      </c>
      <c r="I223" s="337">
        <v>10159508</v>
      </c>
      <c r="J223" s="164"/>
    </row>
    <row r="224" spans="1:18" ht="16.5" thickTop="1" thickBot="1" x14ac:dyDescent="0.3">
      <c r="D224" s="52"/>
      <c r="F224" s="340" t="s">
        <v>6</v>
      </c>
      <c r="G224" s="219">
        <f>SUM(G217:G223)</f>
        <v>623981071.70949996</v>
      </c>
      <c r="H224" s="219">
        <f>SUM(H217:H223)</f>
        <v>3924722.740177989</v>
      </c>
      <c r="I224" s="219">
        <f>SUM(I217:I223)</f>
        <v>282909992.98791802</v>
      </c>
    </row>
    <row r="225" spans="9:9" ht="13.5" thickTop="1" x14ac:dyDescent="0.2">
      <c r="I225" s="128"/>
    </row>
    <row r="226" spans="9:9" x14ac:dyDescent="0.2">
      <c r="I226" s="128"/>
    </row>
    <row r="227" spans="9:9" x14ac:dyDescent="0.2">
      <c r="I227" s="128"/>
    </row>
    <row r="228" spans="9:9" x14ac:dyDescent="0.2">
      <c r="I228" s="128"/>
    </row>
    <row r="229" spans="9:9" x14ac:dyDescent="0.2">
      <c r="I229" s="128"/>
    </row>
    <row r="230" spans="9:9" x14ac:dyDescent="0.2">
      <c r="I230" s="128"/>
    </row>
    <row r="231" spans="9:9" x14ac:dyDescent="0.2">
      <c r="I231" s="128"/>
    </row>
    <row r="232" spans="9:9" x14ac:dyDescent="0.2">
      <c r="I232" s="128"/>
    </row>
    <row r="233" spans="9:9" x14ac:dyDescent="0.2">
      <c r="I233" s="128"/>
    </row>
    <row r="234" spans="9:9" x14ac:dyDescent="0.2">
      <c r="I234" s="128"/>
    </row>
    <row r="235" spans="9:9" x14ac:dyDescent="0.2">
      <c r="I235" s="128"/>
    </row>
    <row r="236" spans="9:9" x14ac:dyDescent="0.2">
      <c r="I236" s="128"/>
    </row>
    <row r="237" spans="9:9" x14ac:dyDescent="0.2">
      <c r="I237" s="128"/>
    </row>
    <row r="238" spans="9:9" x14ac:dyDescent="0.2">
      <c r="I238" s="128"/>
    </row>
    <row r="239" spans="9:9" x14ac:dyDescent="0.2">
      <c r="I239" s="128"/>
    </row>
    <row r="240" spans="9:9" x14ac:dyDescent="0.2">
      <c r="I240" s="128"/>
    </row>
    <row r="241" spans="1:19" x14ac:dyDescent="0.2">
      <c r="D241" s="52"/>
      <c r="I241" s="128"/>
    </row>
    <row r="242" spans="1:19" x14ac:dyDescent="0.2">
      <c r="D242" s="52"/>
      <c r="I242" s="128"/>
    </row>
    <row r="243" spans="1:19" x14ac:dyDescent="0.2">
      <c r="D243" s="52"/>
      <c r="I243" s="128"/>
    </row>
    <row r="244" spans="1:19" x14ac:dyDescent="0.2">
      <c r="A244" s="87" t="s">
        <v>37</v>
      </c>
      <c r="D244" s="52"/>
      <c r="I244" s="128"/>
    </row>
    <row r="245" spans="1:19" x14ac:dyDescent="0.2">
      <c r="D245" s="52"/>
      <c r="F245" s="87"/>
      <c r="I245" s="128"/>
    </row>
    <row r="248" spans="1:19" x14ac:dyDescent="0.2">
      <c r="N248" s="335"/>
      <c r="O248" s="335"/>
      <c r="P248" s="335"/>
      <c r="Q248" s="335"/>
      <c r="R248" s="335"/>
      <c r="S248" s="335"/>
    </row>
    <row r="249" spans="1:19" ht="15" x14ac:dyDescent="0.25">
      <c r="A249" s="199" t="s">
        <v>32</v>
      </c>
      <c r="B249" s="232"/>
      <c r="C249" s="232"/>
      <c r="D249" s="233"/>
      <c r="F249" s="199" t="s">
        <v>32</v>
      </c>
      <c r="G249" s="232"/>
      <c r="H249" s="232"/>
      <c r="I249" s="233"/>
      <c r="N249" s="335"/>
      <c r="O249" s="335"/>
      <c r="P249" s="335"/>
      <c r="Q249" s="335"/>
      <c r="R249" s="335"/>
      <c r="S249" s="335"/>
    </row>
    <row r="250" spans="1:19" ht="15" x14ac:dyDescent="0.25">
      <c r="A250" s="202"/>
      <c r="B250" s="202">
        <v>2010</v>
      </c>
      <c r="C250" s="202"/>
      <c r="D250" s="203"/>
      <c r="F250" s="202"/>
      <c r="G250" s="202">
        <v>2011</v>
      </c>
      <c r="H250" s="202"/>
      <c r="I250" s="203"/>
      <c r="N250" s="335"/>
      <c r="O250" s="335"/>
      <c r="P250" s="335"/>
      <c r="Q250" s="335"/>
      <c r="R250" s="335"/>
      <c r="S250" s="335"/>
    </row>
    <row r="251" spans="1:19" ht="15" x14ac:dyDescent="0.25">
      <c r="A251" s="234" t="s">
        <v>9</v>
      </c>
      <c r="B251" s="235" t="s">
        <v>11</v>
      </c>
      <c r="C251" s="236"/>
      <c r="D251" s="237" t="s">
        <v>10</v>
      </c>
      <c r="F251" s="234" t="s">
        <v>9</v>
      </c>
      <c r="G251" s="235" t="s">
        <v>11</v>
      </c>
      <c r="H251" s="236"/>
      <c r="I251" s="237" t="s">
        <v>10</v>
      </c>
      <c r="N251" s="335"/>
      <c r="O251" s="335"/>
      <c r="P251" s="335"/>
      <c r="Q251" s="335"/>
      <c r="R251" s="335"/>
      <c r="S251" s="335"/>
    </row>
    <row r="252" spans="1:19" ht="15" x14ac:dyDescent="0.25">
      <c r="A252" s="238"/>
      <c r="B252" s="239" t="s">
        <v>4</v>
      </c>
      <c r="C252" s="239" t="s">
        <v>3</v>
      </c>
      <c r="D252" s="237" t="s">
        <v>12</v>
      </c>
      <c r="F252" s="238"/>
      <c r="G252" s="239" t="s">
        <v>4</v>
      </c>
      <c r="H252" s="239" t="s">
        <v>3</v>
      </c>
      <c r="I252" s="237" t="s">
        <v>12</v>
      </c>
      <c r="N252" s="335"/>
      <c r="O252" s="335"/>
      <c r="P252" s="335"/>
      <c r="Q252" s="335"/>
      <c r="R252" s="335"/>
      <c r="S252" s="335"/>
    </row>
    <row r="253" spans="1:19" ht="14.25" x14ac:dyDescent="0.2">
      <c r="A253" s="240" t="s">
        <v>29</v>
      </c>
      <c r="B253" s="246">
        <f t="shared" ref="B253:B259" si="4">C253*158.9873</f>
        <v>158059450.11720002</v>
      </c>
      <c r="C253" s="246">
        <v>994164</v>
      </c>
      <c r="D253" s="216">
        <v>97018606.387999997</v>
      </c>
      <c r="E253" s="131"/>
      <c r="F253" s="240" t="s">
        <v>29</v>
      </c>
      <c r="G253" s="246">
        <f t="shared" ref="G253:G259" si="5">H253*158.9873</f>
        <v>159485407.21090001</v>
      </c>
      <c r="H253" s="246">
        <v>1003133</v>
      </c>
      <c r="I253" s="216">
        <v>127947131.06999999</v>
      </c>
      <c r="K253" s="329"/>
      <c r="L253" s="335"/>
      <c r="M253" s="335"/>
      <c r="N253" s="335"/>
      <c r="O253" s="335"/>
      <c r="P253" s="335"/>
      <c r="Q253" s="335"/>
      <c r="R253" s="335"/>
      <c r="S253" s="335"/>
    </row>
    <row r="254" spans="1:19" ht="14.25" x14ac:dyDescent="0.2">
      <c r="A254" s="240" t="s">
        <v>15</v>
      </c>
      <c r="B254" s="246">
        <f t="shared" si="4"/>
        <v>253656198.25598404</v>
      </c>
      <c r="C254" s="246">
        <v>1595449.4368794491</v>
      </c>
      <c r="D254" s="216">
        <v>152402463.03253171</v>
      </c>
      <c r="E254" s="131"/>
      <c r="F254" s="240" t="s">
        <v>15</v>
      </c>
      <c r="G254" s="246">
        <f t="shared" si="5"/>
        <v>305371532.4138</v>
      </c>
      <c r="H254" s="246">
        <v>1920729.0922847297</v>
      </c>
      <c r="I254" s="246">
        <v>250904963.06242034</v>
      </c>
      <c r="K254" s="347"/>
      <c r="L254" s="345"/>
      <c r="M254" s="345"/>
      <c r="N254" s="335"/>
      <c r="O254" s="335"/>
      <c r="P254" s="335"/>
      <c r="Q254" s="335"/>
      <c r="R254" s="335"/>
      <c r="S254" s="335"/>
    </row>
    <row r="255" spans="1:19" ht="14.25" x14ac:dyDescent="0.2">
      <c r="A255" s="240" t="s">
        <v>36</v>
      </c>
      <c r="B255" s="246">
        <f t="shared" si="4"/>
        <v>16867439.618900001</v>
      </c>
      <c r="C255" s="246">
        <v>106093</v>
      </c>
      <c r="D255" s="216">
        <v>10130057.148000002</v>
      </c>
      <c r="E255" s="131"/>
      <c r="F255" s="240" t="s">
        <v>36</v>
      </c>
      <c r="G255" s="246">
        <f t="shared" si="5"/>
        <v>16440558.7184</v>
      </c>
      <c r="H255" s="246">
        <v>103408</v>
      </c>
      <c r="I255" s="246">
        <v>13733499.159466669</v>
      </c>
      <c r="K255" s="88"/>
      <c r="L255" s="353"/>
      <c r="M255" s="88"/>
      <c r="N255" s="335"/>
      <c r="O255" s="335"/>
      <c r="P255" s="335"/>
      <c r="Q255" s="335"/>
      <c r="R255" s="335"/>
      <c r="S255" s="335"/>
    </row>
    <row r="256" spans="1:19" ht="14.25" x14ac:dyDescent="0.2">
      <c r="A256" s="240" t="s">
        <v>35</v>
      </c>
      <c r="B256" s="246">
        <f t="shared" si="4"/>
        <v>10769004.7655</v>
      </c>
      <c r="C256" s="246">
        <v>67735</v>
      </c>
      <c r="D256" s="216">
        <v>6801139.7499999991</v>
      </c>
      <c r="E256" s="131"/>
      <c r="F256" s="240" t="s">
        <v>35</v>
      </c>
      <c r="G256" s="246">
        <f t="shared" si="5"/>
        <v>10856924.7424</v>
      </c>
      <c r="H256" s="246">
        <v>68288</v>
      </c>
      <c r="I256" s="246">
        <v>9944947.6671999991</v>
      </c>
      <c r="K256" s="88"/>
      <c r="L256" s="88"/>
      <c r="M256" s="88"/>
      <c r="N256" s="335"/>
      <c r="O256" s="335"/>
      <c r="P256" s="335"/>
      <c r="Q256" s="335"/>
      <c r="R256" s="335"/>
      <c r="S256" s="335"/>
    </row>
    <row r="257" spans="1:19" ht="14.25" x14ac:dyDescent="0.2">
      <c r="A257" s="240" t="s">
        <v>17</v>
      </c>
      <c r="B257" s="246">
        <f t="shared" si="4"/>
        <v>191901458.17748597</v>
      </c>
      <c r="C257" s="246">
        <v>1207023.8199999998</v>
      </c>
      <c r="D257" s="216">
        <v>93505447.871199995</v>
      </c>
      <c r="E257" s="131"/>
      <c r="F257" s="240" t="s">
        <v>17</v>
      </c>
      <c r="G257" s="246">
        <f t="shared" si="5"/>
        <v>168368822.5984</v>
      </c>
      <c r="H257" s="246">
        <v>1059008</v>
      </c>
      <c r="I257" s="246">
        <v>113963138.14000002</v>
      </c>
      <c r="K257" s="88"/>
      <c r="L257" s="88"/>
      <c r="M257" s="88"/>
      <c r="N257" s="335"/>
      <c r="O257" s="335"/>
      <c r="P257" s="335"/>
      <c r="Q257" s="335"/>
      <c r="R257" s="335"/>
      <c r="S257" s="335"/>
    </row>
    <row r="258" spans="1:19" ht="18" x14ac:dyDescent="0.25">
      <c r="A258" s="240" t="s">
        <v>18</v>
      </c>
      <c r="B258" s="216">
        <f t="shared" si="4"/>
        <v>1461729.2362000002</v>
      </c>
      <c r="C258" s="247">
        <v>9194</v>
      </c>
      <c r="D258" s="216">
        <v>1718359</v>
      </c>
      <c r="E258" s="164"/>
      <c r="F258" s="240" t="s">
        <v>18</v>
      </c>
      <c r="G258" s="216">
        <f t="shared" si="5"/>
        <v>2174181.6107952381</v>
      </c>
      <c r="H258" s="246">
        <v>13675.190476190475</v>
      </c>
      <c r="I258" s="246">
        <v>3296808.19</v>
      </c>
      <c r="K258" s="329"/>
      <c r="N258" s="335"/>
      <c r="O258" s="335"/>
      <c r="P258" s="335"/>
      <c r="Q258" s="335"/>
      <c r="R258" s="335"/>
      <c r="S258" s="335"/>
    </row>
    <row r="259" spans="1:19" ht="18.75" thickBot="1" x14ac:dyDescent="0.3">
      <c r="A259" s="240" t="s">
        <v>19</v>
      </c>
      <c r="B259" s="337">
        <f t="shared" si="4"/>
        <v>25163237.945599999</v>
      </c>
      <c r="C259" s="339">
        <v>158272</v>
      </c>
      <c r="D259" s="337">
        <v>14375627</v>
      </c>
      <c r="E259" s="164"/>
      <c r="F259" s="336" t="s">
        <v>19</v>
      </c>
      <c r="G259" s="337">
        <f t="shared" si="5"/>
        <v>27521337.5792</v>
      </c>
      <c r="H259" s="337">
        <v>173104</v>
      </c>
      <c r="I259" s="339">
        <v>15191958.594357297</v>
      </c>
      <c r="K259" s="329"/>
      <c r="L259" s="329"/>
      <c r="M259" s="88"/>
      <c r="N259" s="335"/>
      <c r="O259" s="335"/>
      <c r="P259" s="335"/>
      <c r="Q259" s="335"/>
      <c r="R259" s="335"/>
      <c r="S259" s="335"/>
    </row>
    <row r="260" spans="1:19" ht="15.75" thickBot="1" x14ac:dyDescent="0.3">
      <c r="A260" s="338" t="s">
        <v>6</v>
      </c>
      <c r="B260" s="219">
        <f>SUM(B253:B259)</f>
        <v>657878518.11687005</v>
      </c>
      <c r="C260" s="219">
        <f>SUM(C253:C259)</f>
        <v>4137931.2568794489</v>
      </c>
      <c r="D260" s="219">
        <f>SUM(D253:D259)</f>
        <v>375951700.18973172</v>
      </c>
      <c r="F260" s="340" t="s">
        <v>6</v>
      </c>
      <c r="G260" s="219">
        <f>SUM(G253:G259)</f>
        <v>690218764.87389529</v>
      </c>
      <c r="H260" s="219">
        <f>SUM(H253:H259)</f>
        <v>4341345.28276092</v>
      </c>
      <c r="I260" s="219">
        <f>SUM(I253:I259)</f>
        <v>534982445.88344431</v>
      </c>
      <c r="K260" s="88"/>
      <c r="L260" s="88"/>
      <c r="M260" s="88"/>
      <c r="N260" s="335"/>
      <c r="O260" s="335"/>
      <c r="P260" s="335"/>
      <c r="Q260" s="335"/>
      <c r="R260" s="335"/>
      <c r="S260" s="335"/>
    </row>
    <row r="261" spans="1:19" ht="13.5" thickTop="1" x14ac:dyDescent="0.2">
      <c r="D261" s="52"/>
      <c r="J261" s="45"/>
      <c r="N261" s="335"/>
      <c r="O261" s="335"/>
      <c r="P261" s="335"/>
      <c r="Q261" s="335"/>
      <c r="R261" s="335"/>
      <c r="S261" s="335"/>
    </row>
    <row r="262" spans="1:19" x14ac:dyDescent="0.2">
      <c r="N262" s="335"/>
      <c r="O262" s="335"/>
      <c r="P262" s="335"/>
      <c r="Q262" s="335"/>
      <c r="R262" s="335"/>
      <c r="S262" s="335"/>
    </row>
    <row r="280" spans="1:20" x14ac:dyDescent="0.2">
      <c r="A280" s="87" t="s">
        <v>38</v>
      </c>
      <c r="D280" s="52"/>
      <c r="F280" s="87" t="s">
        <v>51</v>
      </c>
    </row>
    <row r="283" spans="1:20" ht="15" x14ac:dyDescent="0.25">
      <c r="A283" s="199" t="s">
        <v>32</v>
      </c>
      <c r="B283" s="232"/>
      <c r="C283" s="232"/>
      <c r="D283" s="233"/>
      <c r="F283" s="199" t="s">
        <v>32</v>
      </c>
      <c r="G283" s="232"/>
      <c r="H283" s="232"/>
      <c r="I283" s="233"/>
    </row>
    <row r="284" spans="1:20" ht="15" x14ac:dyDescent="0.25">
      <c r="A284" s="202"/>
      <c r="B284" s="202">
        <v>2012</v>
      </c>
      <c r="C284" s="202"/>
      <c r="D284" s="203"/>
      <c r="F284" s="202"/>
      <c r="G284" s="202">
        <v>2013</v>
      </c>
      <c r="H284" s="202"/>
      <c r="I284" s="203"/>
      <c r="K284" s="88"/>
      <c r="L284" s="88"/>
      <c r="M284" s="88"/>
      <c r="N284" s="88"/>
      <c r="O284" s="88"/>
      <c r="P284" s="88"/>
      <c r="Q284" s="88"/>
      <c r="R284" s="88"/>
      <c r="S284" s="88"/>
      <c r="T284" s="88"/>
    </row>
    <row r="285" spans="1:20" ht="15" x14ac:dyDescent="0.25">
      <c r="A285" s="250" t="s">
        <v>9</v>
      </c>
      <c r="B285" s="251" t="s">
        <v>11</v>
      </c>
      <c r="C285" s="252"/>
      <c r="D285" s="253" t="s">
        <v>10</v>
      </c>
      <c r="F285" s="250" t="s">
        <v>9</v>
      </c>
      <c r="G285" s="251" t="s">
        <v>11</v>
      </c>
      <c r="H285" s="252"/>
      <c r="I285" s="253" t="s">
        <v>10</v>
      </c>
      <c r="K285" s="88"/>
      <c r="L285" s="88"/>
      <c r="M285" s="88"/>
      <c r="N285" s="88"/>
      <c r="O285" s="88"/>
      <c r="P285" s="88"/>
      <c r="Q285" s="88"/>
      <c r="R285" s="88"/>
      <c r="S285" s="88"/>
      <c r="T285" s="88"/>
    </row>
    <row r="286" spans="1:20" ht="15" x14ac:dyDescent="0.25">
      <c r="A286" s="254"/>
      <c r="B286" s="255" t="s">
        <v>4</v>
      </c>
      <c r="C286" s="255" t="s">
        <v>3</v>
      </c>
      <c r="D286" s="253" t="s">
        <v>12</v>
      </c>
      <c r="E286" s="265"/>
      <c r="F286" s="254"/>
      <c r="G286" s="255" t="s">
        <v>4</v>
      </c>
      <c r="H286" s="255" t="s">
        <v>3</v>
      </c>
      <c r="I286" s="253" t="s">
        <v>12</v>
      </c>
      <c r="K286" s="329"/>
      <c r="L286" s="335"/>
      <c r="M286" s="335"/>
      <c r="N286" s="335"/>
      <c r="O286" s="335"/>
      <c r="P286" s="335"/>
      <c r="Q286" s="335"/>
      <c r="R286" s="88"/>
      <c r="S286" s="88"/>
      <c r="T286" s="88"/>
    </row>
    <row r="287" spans="1:20" ht="14.25" x14ac:dyDescent="0.2">
      <c r="A287" s="256" t="s">
        <v>29</v>
      </c>
      <c r="B287" s="246">
        <f t="shared" ref="B287:B293" si="6">C287*158.9873</f>
        <v>182858205.29570001</v>
      </c>
      <c r="C287" s="258">
        <v>1150143.4724389936</v>
      </c>
      <c r="D287" s="257">
        <v>149217292.40774378</v>
      </c>
      <c r="E287" s="387">
        <f t="shared" ref="E287:E293" si="7">D287/$D$294</f>
        <v>0.24704825096554942</v>
      </c>
      <c r="F287" s="256" t="s">
        <v>29</v>
      </c>
      <c r="G287" s="257">
        <f>H287*158.9873</f>
        <v>176603278.4912</v>
      </c>
      <c r="H287" s="258">
        <v>1110801.1677108801</v>
      </c>
      <c r="I287" s="257">
        <v>146212088.6264714</v>
      </c>
      <c r="J287" s="267">
        <f t="shared" ref="J287:J293" si="8">I287/$I$294</f>
        <v>0.2511019403081714</v>
      </c>
      <c r="K287" s="347"/>
      <c r="L287" s="345"/>
      <c r="M287" s="345"/>
      <c r="N287" s="345"/>
      <c r="O287" s="345"/>
      <c r="P287" s="345"/>
      <c r="Q287" s="345"/>
      <c r="R287" s="345"/>
      <c r="S287" s="88"/>
      <c r="T287" s="88"/>
    </row>
    <row r="288" spans="1:20" ht="14.25" x14ac:dyDescent="0.2">
      <c r="A288" s="256" t="s">
        <v>15</v>
      </c>
      <c r="B288" s="246">
        <f t="shared" si="6"/>
        <v>331446870.46670008</v>
      </c>
      <c r="C288" s="258">
        <v>2084738.0291803186</v>
      </c>
      <c r="D288" s="260">
        <v>272064707.23012191</v>
      </c>
      <c r="E288" s="387">
        <f t="shared" si="7"/>
        <v>0.45043780775081127</v>
      </c>
      <c r="F288" s="256" t="s">
        <v>15</v>
      </c>
      <c r="G288" s="257">
        <f t="shared" ref="G288:G293" si="9">H288*158.9873</f>
        <v>307474167.31939596</v>
      </c>
      <c r="H288" s="258">
        <v>1933954.2675383249</v>
      </c>
      <c r="I288" s="260">
        <v>257640047.88804933</v>
      </c>
      <c r="J288" s="267">
        <f t="shared" si="8"/>
        <v>0.44246625934640188</v>
      </c>
      <c r="K288" s="347"/>
      <c r="L288" s="345"/>
      <c r="M288" s="345"/>
      <c r="O288" s="345"/>
      <c r="P288" s="345"/>
      <c r="Q288" s="345"/>
      <c r="S288" s="88"/>
      <c r="T288" s="88"/>
    </row>
    <row r="289" spans="1:20" ht="14.25" x14ac:dyDescent="0.2">
      <c r="A289" s="256" t="s">
        <v>36</v>
      </c>
      <c r="B289" s="246">
        <f t="shared" si="6"/>
        <v>14079915.288000001</v>
      </c>
      <c r="C289" s="258">
        <v>88560</v>
      </c>
      <c r="D289" s="260">
        <v>10850657.729999999</v>
      </c>
      <c r="E289" s="387">
        <f t="shared" si="7"/>
        <v>1.7964647198511988E-2</v>
      </c>
      <c r="F289" s="256" t="s">
        <v>36</v>
      </c>
      <c r="G289" s="257">
        <f t="shared" si="9"/>
        <v>12686868.565400001</v>
      </c>
      <c r="H289" s="258">
        <v>79798</v>
      </c>
      <c r="I289" s="260">
        <v>11825461.653808232</v>
      </c>
      <c r="J289" s="267">
        <f t="shared" si="8"/>
        <v>2.0308829414899157E-2</v>
      </c>
      <c r="K289" s="347"/>
      <c r="L289" s="345"/>
      <c r="M289" s="345"/>
      <c r="N289" s="345"/>
      <c r="O289" s="345"/>
      <c r="P289" s="345"/>
      <c r="Q289" s="345"/>
      <c r="R289" s="345"/>
      <c r="S289" s="88"/>
      <c r="T289" s="88"/>
    </row>
    <row r="290" spans="1:20" ht="14.25" x14ac:dyDescent="0.2">
      <c r="A290" s="256" t="s">
        <v>35</v>
      </c>
      <c r="B290" s="246">
        <f t="shared" si="6"/>
        <v>22477550.247899998</v>
      </c>
      <c r="C290" s="258">
        <v>141379.53313189166</v>
      </c>
      <c r="D290" s="260">
        <v>22461010.793934986</v>
      </c>
      <c r="E290" s="387">
        <f t="shared" si="7"/>
        <v>3.7187066874241156E-2</v>
      </c>
      <c r="F290" s="256" t="s">
        <v>35</v>
      </c>
      <c r="G290" s="257">
        <f t="shared" si="9"/>
        <v>13159378.821</v>
      </c>
      <c r="H290" s="258">
        <v>82770</v>
      </c>
      <c r="I290" s="260">
        <v>10692232.509398477</v>
      </c>
      <c r="J290" s="267">
        <f t="shared" si="8"/>
        <v>1.8362642614285052E-2</v>
      </c>
      <c r="K290" s="88"/>
      <c r="L290" s="354"/>
      <c r="M290" s="345"/>
      <c r="N290" s="88"/>
      <c r="O290" s="88"/>
      <c r="P290" s="88"/>
      <c r="Q290" s="88"/>
      <c r="R290" s="88"/>
      <c r="S290" s="88"/>
      <c r="T290" s="88"/>
    </row>
    <row r="291" spans="1:20" ht="14.25" x14ac:dyDescent="0.2">
      <c r="A291" s="256" t="s">
        <v>17</v>
      </c>
      <c r="B291" s="246">
        <f t="shared" si="6"/>
        <v>194074773.1063</v>
      </c>
      <c r="C291" s="246">
        <v>1220693.5592107042</v>
      </c>
      <c r="D291" s="260">
        <v>132579287.95546117</v>
      </c>
      <c r="E291" s="387">
        <f t="shared" si="7"/>
        <v>0.21950191345218942</v>
      </c>
      <c r="F291" s="256" t="s">
        <v>17</v>
      </c>
      <c r="G291" s="257">
        <f t="shared" si="9"/>
        <v>210676411.523056</v>
      </c>
      <c r="H291" s="246">
        <v>1325114.72</v>
      </c>
      <c r="I291" s="260">
        <v>135521850.51111093</v>
      </c>
      <c r="J291" s="267">
        <f t="shared" si="8"/>
        <v>0.23274272282936859</v>
      </c>
      <c r="K291" s="88"/>
      <c r="L291" s="344"/>
      <c r="M291" s="344"/>
      <c r="N291" s="88"/>
      <c r="O291" s="88"/>
      <c r="P291" s="88"/>
      <c r="Q291" s="88"/>
    </row>
    <row r="292" spans="1:20" ht="14.25" x14ac:dyDescent="0.2">
      <c r="A292" s="256" t="s">
        <v>18</v>
      </c>
      <c r="B292" s="216">
        <f t="shared" si="6"/>
        <v>1962221.2566</v>
      </c>
      <c r="C292" s="258">
        <v>12342</v>
      </c>
      <c r="D292" s="260">
        <v>2653644.426712492</v>
      </c>
      <c r="E292" s="387">
        <f t="shared" si="7"/>
        <v>4.3934466557160054E-3</v>
      </c>
      <c r="F292" s="256" t="s">
        <v>18</v>
      </c>
      <c r="G292" s="257">
        <f t="shared" si="9"/>
        <v>1578107.9398000001</v>
      </c>
      <c r="H292" s="258">
        <v>9926</v>
      </c>
      <c r="I292" s="260">
        <v>2111813.5075221444</v>
      </c>
      <c r="J292" s="267">
        <f t="shared" si="8"/>
        <v>3.6267895102882037E-3</v>
      </c>
      <c r="L292" s="162"/>
      <c r="M292" s="162"/>
    </row>
    <row r="293" spans="1:20" ht="15" thickBot="1" x14ac:dyDescent="0.25">
      <c r="A293" s="341" t="s">
        <v>19</v>
      </c>
      <c r="B293" s="337">
        <f t="shared" si="6"/>
        <v>27010614.840928569</v>
      </c>
      <c r="C293" s="342">
        <v>169891.65072259589</v>
      </c>
      <c r="D293" s="343">
        <v>14174001.866896126</v>
      </c>
      <c r="E293" s="387">
        <f t="shared" si="7"/>
        <v>2.3466867102980606E-2</v>
      </c>
      <c r="F293" s="256" t="s">
        <v>19</v>
      </c>
      <c r="G293" s="261">
        <f t="shared" si="9"/>
        <v>29219662.630271431</v>
      </c>
      <c r="H293" s="261">
        <v>183786.14285714287</v>
      </c>
      <c r="I293" s="262">
        <v>18278300.685343001</v>
      </c>
      <c r="J293" s="267">
        <f t="shared" si="8"/>
        <v>3.1390815976585731E-2</v>
      </c>
      <c r="L293" s="162"/>
      <c r="M293" s="162"/>
    </row>
    <row r="294" spans="1:20" ht="15.75" thickBot="1" x14ac:dyDescent="0.3">
      <c r="A294" s="340" t="s">
        <v>6</v>
      </c>
      <c r="B294" s="219">
        <f>SUM(B287:B293)</f>
        <v>773910150.5021286</v>
      </c>
      <c r="C294" s="219">
        <f>SUM(C287:C293)</f>
        <v>4867748.2446845034</v>
      </c>
      <c r="D294" s="219">
        <f>SUM(D287:D293)</f>
        <v>604000602.41087055</v>
      </c>
      <c r="E294" s="266"/>
      <c r="F294" s="254" t="s">
        <v>6</v>
      </c>
      <c r="G294" s="263">
        <f>SUM(G287:G293)</f>
        <v>751397875.29012346</v>
      </c>
      <c r="H294" s="263">
        <f>SUM(H287:H293)</f>
        <v>4726150.2981063472</v>
      </c>
      <c r="I294" s="263">
        <f>SUM(I287:I293)</f>
        <v>582281795.3817035</v>
      </c>
      <c r="J294" s="198"/>
      <c r="M294" s="128"/>
    </row>
    <row r="295" spans="1:20" ht="13.5" thickTop="1" x14ac:dyDescent="0.2">
      <c r="D295" s="52"/>
      <c r="E295" s="265"/>
      <c r="H295" s="51"/>
    </row>
    <row r="296" spans="1:20" x14ac:dyDescent="0.2">
      <c r="D296" s="52"/>
      <c r="E296" s="265"/>
    </row>
    <row r="297" spans="1:20" x14ac:dyDescent="0.2">
      <c r="D297" s="52"/>
    </row>
    <row r="298" spans="1:20" x14ac:dyDescent="0.2">
      <c r="D298" s="52"/>
    </row>
    <row r="299" spans="1:20" x14ac:dyDescent="0.2">
      <c r="D299" s="52"/>
    </row>
    <row r="300" spans="1:20" x14ac:dyDescent="0.2">
      <c r="D300" s="52"/>
    </row>
    <row r="301" spans="1:20" x14ac:dyDescent="0.2">
      <c r="D301" s="52"/>
    </row>
    <row r="302" spans="1:20" x14ac:dyDescent="0.2">
      <c r="D302" s="52"/>
    </row>
    <row r="303" spans="1:20" x14ac:dyDescent="0.2">
      <c r="D303" s="52"/>
    </row>
    <row r="304" spans="1:20" x14ac:dyDescent="0.2">
      <c r="D304" s="52"/>
    </row>
    <row r="305" spans="1:6" x14ac:dyDescent="0.2">
      <c r="D305" s="52"/>
    </row>
    <row r="306" spans="1:6" x14ac:dyDescent="0.2">
      <c r="D306" s="52"/>
    </row>
    <row r="307" spans="1:6" x14ac:dyDescent="0.2">
      <c r="D307" s="52"/>
    </row>
    <row r="308" spans="1:6" x14ac:dyDescent="0.2">
      <c r="D308" s="52"/>
    </row>
    <row r="309" spans="1:6" x14ac:dyDescent="0.2">
      <c r="D309" s="52"/>
    </row>
    <row r="310" spans="1:6" x14ac:dyDescent="0.2">
      <c r="D310" s="52"/>
    </row>
    <row r="311" spans="1:6" x14ac:dyDescent="0.2">
      <c r="D311" s="52"/>
    </row>
    <row r="312" spans="1:6" x14ac:dyDescent="0.2">
      <c r="D312" s="52"/>
    </row>
    <row r="313" spans="1:6" x14ac:dyDescent="0.2">
      <c r="D313" s="52"/>
    </row>
    <row r="314" spans="1:6" x14ac:dyDescent="0.2">
      <c r="A314" s="87" t="s">
        <v>52</v>
      </c>
      <c r="D314" s="52"/>
      <c r="F314" s="87" t="s">
        <v>57</v>
      </c>
    </row>
    <row r="317" spans="1:6" ht="15" x14ac:dyDescent="0.25">
      <c r="A317" s="199" t="s">
        <v>32</v>
      </c>
      <c r="B317" s="232"/>
      <c r="C317" s="232"/>
      <c r="D317" s="233"/>
    </row>
    <row r="318" spans="1:6" ht="15" x14ac:dyDescent="0.25">
      <c r="A318" s="202"/>
      <c r="B318" s="202">
        <v>2014</v>
      </c>
      <c r="C318" s="202"/>
      <c r="D318" s="203"/>
    </row>
    <row r="319" spans="1:6" ht="15" x14ac:dyDescent="0.25">
      <c r="A319" s="250" t="s">
        <v>9</v>
      </c>
      <c r="B319" s="251" t="s">
        <v>11</v>
      </c>
      <c r="C319" s="252"/>
      <c r="D319" s="253" t="s">
        <v>10</v>
      </c>
    </row>
    <row r="320" spans="1:6" ht="15" x14ac:dyDescent="0.25">
      <c r="A320" s="254"/>
      <c r="B320" s="255" t="s">
        <v>4</v>
      </c>
      <c r="C320" s="255" t="s">
        <v>3</v>
      </c>
      <c r="D320" s="253" t="s">
        <v>12</v>
      </c>
      <c r="E320" s="155"/>
    </row>
    <row r="321" spans="1:8" ht="14.25" x14ac:dyDescent="0.2">
      <c r="A321" s="256" t="s">
        <v>29</v>
      </c>
      <c r="B321" s="257">
        <f>C321*158.9873</f>
        <v>186652103.22278699</v>
      </c>
      <c r="C321" s="257">
        <v>1174006.371721433</v>
      </c>
      <c r="D321" s="257">
        <v>143806446.05898768</v>
      </c>
      <c r="E321" s="267">
        <f t="shared" ref="E321:E327" si="10">D321/$D$328</f>
        <v>0.25605024543643062</v>
      </c>
      <c r="G321" s="128"/>
    </row>
    <row r="322" spans="1:8" ht="14.25" x14ac:dyDescent="0.2">
      <c r="A322" s="256" t="s">
        <v>15</v>
      </c>
      <c r="B322" s="257">
        <f>C322*158.9873</f>
        <v>340105265.73919499</v>
      </c>
      <c r="C322" s="257">
        <v>2139197.6952825477</v>
      </c>
      <c r="D322" s="260">
        <v>260334966.69034052</v>
      </c>
      <c r="E322" s="267">
        <f t="shared" si="10"/>
        <v>0.46353160058905862</v>
      </c>
      <c r="G322" s="128"/>
    </row>
    <row r="323" spans="1:8" ht="14.25" x14ac:dyDescent="0.2">
      <c r="A323" s="256" t="s">
        <v>36</v>
      </c>
      <c r="B323" s="257">
        <f>C323*158.9873</f>
        <v>13820697.624461001</v>
      </c>
      <c r="C323" s="257">
        <v>86929.57</v>
      </c>
      <c r="D323" s="260">
        <f>[2]TOTAL!$N$15</f>
        <v>10819181.690425668</v>
      </c>
      <c r="E323" s="267">
        <f t="shared" si="10"/>
        <v>1.926376878904652E-2</v>
      </c>
      <c r="F323" s="128"/>
    </row>
    <row r="324" spans="1:8" ht="14.25" x14ac:dyDescent="0.2">
      <c r="A324" s="256" t="s">
        <v>35</v>
      </c>
      <c r="B324" s="257">
        <f>C324*158.9873</f>
        <v>11160272.5108</v>
      </c>
      <c r="C324" s="257">
        <v>70196</v>
      </c>
      <c r="D324" s="127">
        <f>[2]TOTAL!$O$15</f>
        <v>8744200.3812455796</v>
      </c>
      <c r="E324" s="267">
        <f t="shared" si="10"/>
        <v>1.5569223182421659E-2</v>
      </c>
    </row>
    <row r="325" spans="1:8" ht="14.25" x14ac:dyDescent="0.2">
      <c r="A325" s="256" t="s">
        <v>17</v>
      </c>
      <c r="B325" s="257">
        <f>C325*158.9873</f>
        <v>199887561.96276999</v>
      </c>
      <c r="C325" s="257">
        <v>1257254.8999999999</v>
      </c>
      <c r="D325" s="260">
        <v>116133335.02984557</v>
      </c>
      <c r="E325" s="267">
        <f t="shared" si="10"/>
        <v>0.2067777193071432</v>
      </c>
      <c r="G325" s="128"/>
    </row>
    <row r="326" spans="1:8" ht="14.25" x14ac:dyDescent="0.2">
      <c r="A326" s="256" t="s">
        <v>18</v>
      </c>
      <c r="B326" s="257">
        <f>C327*158.9873</f>
        <v>32035418.563157145</v>
      </c>
      <c r="C326" s="257">
        <v>9774</v>
      </c>
      <c r="D326" s="260">
        <v>2011611.5588</v>
      </c>
      <c r="E326" s="267">
        <f t="shared" si="10"/>
        <v>3.5817145021595467E-3</v>
      </c>
      <c r="H326" s="259"/>
    </row>
    <row r="327" spans="1:8" ht="15" thickBot="1" x14ac:dyDescent="0.25">
      <c r="A327" s="256" t="s">
        <v>19</v>
      </c>
      <c r="B327" s="261">
        <f>C326*158.9873</f>
        <v>1553941.8702</v>
      </c>
      <c r="C327" s="261">
        <v>201496.71428571429</v>
      </c>
      <c r="D327" s="261">
        <v>19783955.968279999</v>
      </c>
      <c r="E327" s="267">
        <f t="shared" si="10"/>
        <v>3.522572819373998E-2</v>
      </c>
      <c r="H327" s="259"/>
    </row>
    <row r="328" spans="1:8" ht="16.5" thickTop="1" thickBot="1" x14ac:dyDescent="0.3">
      <c r="A328" s="254" t="s">
        <v>6</v>
      </c>
      <c r="B328" s="263">
        <f>SUM(B321:B327)</f>
        <v>785215261.49337029</v>
      </c>
      <c r="C328" s="263">
        <f>SUM(C321:C327)</f>
        <v>4938855.2512896955</v>
      </c>
      <c r="D328" s="263">
        <f>SUM(D321:D327)</f>
        <v>561633697.37792492</v>
      </c>
      <c r="E328" s="198"/>
      <c r="H328" s="264"/>
    </row>
    <row r="329" spans="1:8" ht="13.5" thickTop="1" x14ac:dyDescent="0.2">
      <c r="C329" s="51"/>
      <c r="D329" s="52"/>
      <c r="F329" s="325">
        <f>C328/365</f>
        <v>13531.110277506015</v>
      </c>
      <c r="H329" s="264"/>
    </row>
    <row r="330" spans="1:8" x14ac:dyDescent="0.2">
      <c r="D330" s="52"/>
      <c r="H330" s="259"/>
    </row>
    <row r="331" spans="1:8" x14ac:dyDescent="0.2">
      <c r="D331" s="52"/>
      <c r="H331" s="264"/>
    </row>
    <row r="332" spans="1:8" x14ac:dyDescent="0.2">
      <c r="D332" s="52"/>
      <c r="H332" s="264"/>
    </row>
    <row r="333" spans="1:8" x14ac:dyDescent="0.2">
      <c r="D333" s="52"/>
    </row>
    <row r="334" spans="1:8" x14ac:dyDescent="0.2">
      <c r="D334" s="52"/>
    </row>
    <row r="335" spans="1:8" x14ac:dyDescent="0.2">
      <c r="D335" s="52"/>
    </row>
    <row r="336" spans="1:8" x14ac:dyDescent="0.2">
      <c r="D336" s="52"/>
    </row>
    <row r="337" spans="1:4" x14ac:dyDescent="0.2">
      <c r="D337" s="52"/>
    </row>
    <row r="338" spans="1:4" x14ac:dyDescent="0.2">
      <c r="D338" s="52"/>
    </row>
    <row r="339" spans="1:4" x14ac:dyDescent="0.2">
      <c r="D339" s="52"/>
    </row>
    <row r="340" spans="1:4" x14ac:dyDescent="0.2">
      <c r="D340" s="52"/>
    </row>
    <row r="341" spans="1:4" x14ac:dyDescent="0.2">
      <c r="D341" s="52"/>
    </row>
    <row r="342" spans="1:4" x14ac:dyDescent="0.2">
      <c r="D342" s="52"/>
    </row>
    <row r="343" spans="1:4" x14ac:dyDescent="0.2">
      <c r="D343" s="52"/>
    </row>
    <row r="344" spans="1:4" x14ac:dyDescent="0.2">
      <c r="D344" s="52"/>
    </row>
    <row r="345" spans="1:4" x14ac:dyDescent="0.2">
      <c r="D345" s="52"/>
    </row>
    <row r="346" spans="1:4" x14ac:dyDescent="0.2">
      <c r="D346" s="52"/>
    </row>
    <row r="347" spans="1:4" x14ac:dyDescent="0.2">
      <c r="D347" s="52"/>
    </row>
    <row r="348" spans="1:4" x14ac:dyDescent="0.2">
      <c r="A348" s="87" t="s">
        <v>93</v>
      </c>
      <c r="D348" s="52"/>
    </row>
  </sheetData>
  <mergeCells count="1">
    <mergeCell ref="B3:C3"/>
  </mergeCells>
  <pageMargins left="1.95" right="0.39370078740157499" top="0.39370078740157499" bottom="0.39370078740157499" header="0.511811023622047" footer="0.511811023622047"/>
  <pageSetup paperSize="5" scale="95" orientation="landscape" horizontalDpi="300" verticalDpi="300" r:id="rId1"/>
  <headerFooter alignWithMargins="0"/>
  <rowBreaks count="6" manualBreakCount="6">
    <brk id="30" max="12" man="1"/>
    <brk id="63" max="12" man="1"/>
    <brk id="93" max="12" man="1"/>
    <brk id="121" max="12" man="1"/>
    <brk id="149" max="12" man="1"/>
    <brk id="180" max="12" man="1"/>
  </rowBreaks>
  <colBreaks count="1" manualBreakCount="1">
    <brk id="10" max="21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1"/>
  <sheetViews>
    <sheetView zoomScale="90" zoomScaleNormal="90" workbookViewId="0">
      <selection activeCell="R129" sqref="R129"/>
    </sheetView>
  </sheetViews>
  <sheetFormatPr defaultRowHeight="12.75" x14ac:dyDescent="0.2"/>
  <cols>
    <col min="1" max="1" width="15.42578125" style="52" bestFit="1" customWidth="1"/>
    <col min="2" max="3" width="11.5703125" style="52" bestFit="1" customWidth="1"/>
    <col min="4" max="4" width="10.7109375" style="52" bestFit="1" customWidth="1"/>
    <col min="5" max="5" width="11.5703125" style="52" bestFit="1" customWidth="1"/>
    <col min="6" max="9" width="11.140625" style="52" bestFit="1" customWidth="1"/>
    <col min="10" max="10" width="11.5703125" style="52" bestFit="1" customWidth="1"/>
    <col min="11" max="12" width="11.140625" style="52" bestFit="1" customWidth="1"/>
    <col min="13" max="13" width="11.5703125" style="52" bestFit="1" customWidth="1"/>
    <col min="14" max="14" width="11.140625" style="52" bestFit="1" customWidth="1"/>
    <col min="15" max="19" width="11.140625" style="52" customWidth="1"/>
    <col min="20" max="20" width="12.42578125" style="52" bestFit="1" customWidth="1"/>
    <col min="21" max="22" width="12.42578125" style="52" customWidth="1"/>
    <col min="23" max="23" width="12.7109375" style="52" customWidth="1"/>
    <col min="24" max="24" width="17.5703125" style="52" customWidth="1"/>
    <col min="25" max="26" width="11.28515625" style="52" bestFit="1" customWidth="1"/>
    <col min="27" max="28" width="12.42578125" style="52" bestFit="1" customWidth="1"/>
    <col min="29" max="30" width="11.28515625" style="52" bestFit="1" customWidth="1"/>
    <col min="31" max="37" width="12.42578125" style="52" bestFit="1" customWidth="1"/>
    <col min="38" max="45" width="12.42578125" style="52" customWidth="1"/>
    <col min="46" max="46" width="9.42578125" style="161" customWidth="1"/>
    <col min="47" max="47" width="15.28515625" style="52" bestFit="1" customWidth="1"/>
    <col min="48" max="65" width="9.140625" style="52"/>
    <col min="66" max="66" width="11.7109375" style="52" bestFit="1" customWidth="1"/>
    <col min="67" max="68" width="10.28515625" style="52" customWidth="1"/>
    <col min="69" max="16384" width="9.140625" style="52"/>
  </cols>
  <sheetData>
    <row r="1" spans="1:69" ht="23.25" customHeight="1" x14ac:dyDescent="0.2">
      <c r="A1" s="371" t="s">
        <v>94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268"/>
      <c r="Q1" s="268"/>
      <c r="R1" s="268"/>
      <c r="S1" s="268"/>
      <c r="T1" s="268"/>
      <c r="U1" s="268"/>
      <c r="V1" s="268"/>
      <c r="X1" s="371" t="s">
        <v>95</v>
      </c>
      <c r="Y1" s="371"/>
      <c r="Z1" s="371"/>
      <c r="AA1" s="371"/>
      <c r="AB1" s="371"/>
      <c r="AC1" s="371"/>
      <c r="AD1" s="371"/>
      <c r="AE1" s="371"/>
      <c r="AF1" s="371"/>
      <c r="AG1" s="371"/>
      <c r="AH1" s="371"/>
      <c r="AI1" s="371"/>
      <c r="AJ1" s="371"/>
      <c r="AK1" s="371"/>
      <c r="AL1" s="371"/>
      <c r="AM1" s="268"/>
      <c r="AN1" s="268"/>
      <c r="AO1" s="268"/>
      <c r="AP1" s="268"/>
      <c r="AQ1" s="268"/>
      <c r="AR1" s="268"/>
      <c r="AS1" s="268"/>
      <c r="AU1" s="371" t="s">
        <v>96</v>
      </c>
      <c r="AV1" s="371"/>
      <c r="AW1" s="371"/>
      <c r="AX1" s="371"/>
      <c r="AY1" s="371"/>
      <c r="AZ1" s="371"/>
      <c r="BA1" s="371"/>
      <c r="BB1" s="371"/>
      <c r="BC1" s="371"/>
      <c r="BD1" s="371"/>
      <c r="BE1" s="371"/>
      <c r="BF1" s="371"/>
      <c r="BG1" s="371"/>
      <c r="BH1" s="371"/>
      <c r="BI1" s="371"/>
      <c r="BJ1" s="268"/>
      <c r="BK1" s="268"/>
      <c r="BL1" s="268"/>
      <c r="BM1" s="268"/>
      <c r="BN1" s="268"/>
      <c r="BO1" s="268"/>
      <c r="BP1" s="268"/>
    </row>
    <row r="2" spans="1:69" ht="15.75" thickBot="1" x14ac:dyDescent="0.3">
      <c r="A2" s="269"/>
      <c r="B2" s="269">
        <v>1994</v>
      </c>
      <c r="C2" s="269">
        <v>1995</v>
      </c>
      <c r="D2" s="269">
        <v>1996</v>
      </c>
      <c r="E2" s="269">
        <v>1997</v>
      </c>
      <c r="F2" s="269">
        <v>1998</v>
      </c>
      <c r="G2" s="269">
        <v>1999</v>
      </c>
      <c r="H2" s="269">
        <v>2000</v>
      </c>
      <c r="I2" s="269">
        <v>2001</v>
      </c>
      <c r="J2" s="269">
        <v>2002</v>
      </c>
      <c r="K2" s="269">
        <v>2003</v>
      </c>
      <c r="L2" s="269">
        <v>2004</v>
      </c>
      <c r="M2" s="269">
        <v>2005</v>
      </c>
      <c r="N2" s="269">
        <v>2006</v>
      </c>
      <c r="O2" s="269">
        <v>2007</v>
      </c>
      <c r="P2" s="269">
        <v>2008</v>
      </c>
      <c r="Q2" s="269">
        <v>2009</v>
      </c>
      <c r="R2" s="269">
        <v>2010</v>
      </c>
      <c r="S2" s="269">
        <v>2011</v>
      </c>
      <c r="T2" s="269">
        <v>2012</v>
      </c>
      <c r="U2" s="269">
        <v>2013</v>
      </c>
      <c r="V2" s="269">
        <v>2014</v>
      </c>
      <c r="W2" s="131"/>
      <c r="X2" s="269"/>
      <c r="Y2" s="269">
        <v>1994</v>
      </c>
      <c r="Z2" s="269">
        <v>1995</v>
      </c>
      <c r="AA2" s="269">
        <v>1996</v>
      </c>
      <c r="AB2" s="269">
        <v>1997</v>
      </c>
      <c r="AC2" s="269">
        <v>1998</v>
      </c>
      <c r="AD2" s="269">
        <v>1999</v>
      </c>
      <c r="AE2" s="269">
        <v>2000</v>
      </c>
      <c r="AF2" s="269">
        <v>2001</v>
      </c>
      <c r="AG2" s="269">
        <v>2002</v>
      </c>
      <c r="AH2" s="269">
        <v>2003</v>
      </c>
      <c r="AI2" s="269">
        <v>2004</v>
      </c>
      <c r="AJ2" s="269">
        <v>2005</v>
      </c>
      <c r="AK2" s="269">
        <v>2006</v>
      </c>
      <c r="AL2" s="269">
        <v>2007</v>
      </c>
      <c r="AM2" s="269">
        <v>2008</v>
      </c>
      <c r="AN2" s="269">
        <v>2009</v>
      </c>
      <c r="AO2" s="269">
        <v>2010</v>
      </c>
      <c r="AP2" s="269">
        <v>2011</v>
      </c>
      <c r="AQ2" s="269">
        <v>2012</v>
      </c>
      <c r="AR2" s="269">
        <v>2013</v>
      </c>
      <c r="AS2" s="269">
        <v>2014</v>
      </c>
      <c r="AT2" s="270"/>
      <c r="AU2" s="271"/>
      <c r="AV2" s="272">
        <v>1994</v>
      </c>
      <c r="AW2" s="269">
        <v>1995</v>
      </c>
      <c r="AX2" s="272">
        <v>1996</v>
      </c>
      <c r="AY2" s="269">
        <v>1997</v>
      </c>
      <c r="AZ2" s="272">
        <v>1998</v>
      </c>
      <c r="BA2" s="269">
        <v>1999</v>
      </c>
      <c r="BB2" s="272">
        <v>2000</v>
      </c>
      <c r="BC2" s="269">
        <v>2001</v>
      </c>
      <c r="BD2" s="272">
        <v>2002</v>
      </c>
      <c r="BE2" s="269">
        <v>2003</v>
      </c>
      <c r="BF2" s="272">
        <v>2004</v>
      </c>
      <c r="BG2" s="269">
        <v>2005</v>
      </c>
      <c r="BH2" s="269">
        <v>2006</v>
      </c>
      <c r="BI2" s="269">
        <v>2007</v>
      </c>
      <c r="BJ2" s="273">
        <v>2008</v>
      </c>
      <c r="BK2" s="269">
        <v>2009</v>
      </c>
      <c r="BL2" s="269">
        <v>2010</v>
      </c>
      <c r="BM2" s="269">
        <v>2011</v>
      </c>
      <c r="BN2" s="269">
        <v>2012</v>
      </c>
      <c r="BO2" s="269">
        <v>2013</v>
      </c>
      <c r="BP2" s="269">
        <v>2014</v>
      </c>
    </row>
    <row r="3" spans="1:69" ht="15" x14ac:dyDescent="0.25">
      <c r="A3" s="274"/>
      <c r="B3" s="269" t="s">
        <v>3</v>
      </c>
      <c r="C3" s="269" t="s">
        <v>3</v>
      </c>
      <c r="D3" s="269" t="s">
        <v>3</v>
      </c>
      <c r="E3" s="269" t="s">
        <v>3</v>
      </c>
      <c r="F3" s="269" t="s">
        <v>3</v>
      </c>
      <c r="G3" s="269" t="s">
        <v>3</v>
      </c>
      <c r="H3" s="269" t="s">
        <v>3</v>
      </c>
      <c r="I3" s="269" t="s">
        <v>3</v>
      </c>
      <c r="J3" s="269" t="s">
        <v>3</v>
      </c>
      <c r="K3" s="269" t="s">
        <v>3</v>
      </c>
      <c r="L3" s="269" t="s">
        <v>3</v>
      </c>
      <c r="M3" s="269" t="s">
        <v>3</v>
      </c>
      <c r="N3" s="269" t="s">
        <v>3</v>
      </c>
      <c r="O3" s="269" t="s">
        <v>3</v>
      </c>
      <c r="P3" s="269" t="s">
        <v>3</v>
      </c>
      <c r="Q3" s="269" t="s">
        <v>3</v>
      </c>
      <c r="R3" s="269" t="s">
        <v>3</v>
      </c>
      <c r="S3" s="269" t="s">
        <v>3</v>
      </c>
      <c r="T3" s="269" t="s">
        <v>3</v>
      </c>
      <c r="U3" s="269" t="s">
        <v>3</v>
      </c>
      <c r="V3" s="269" t="s">
        <v>3</v>
      </c>
      <c r="X3" s="274"/>
      <c r="Y3" s="269" t="s">
        <v>39</v>
      </c>
      <c r="Z3" s="269" t="s">
        <v>39</v>
      </c>
      <c r="AA3" s="269" t="s">
        <v>39</v>
      </c>
      <c r="AB3" s="269" t="s">
        <v>39</v>
      </c>
      <c r="AC3" s="269" t="s">
        <v>39</v>
      </c>
      <c r="AD3" s="269" t="s">
        <v>39</v>
      </c>
      <c r="AE3" s="269" t="s">
        <v>39</v>
      </c>
      <c r="AF3" s="269" t="s">
        <v>39</v>
      </c>
      <c r="AG3" s="269" t="s">
        <v>39</v>
      </c>
      <c r="AH3" s="269" t="s">
        <v>39</v>
      </c>
      <c r="AI3" s="269" t="s">
        <v>39</v>
      </c>
      <c r="AJ3" s="269" t="s">
        <v>39</v>
      </c>
      <c r="AK3" s="269" t="s">
        <v>39</v>
      </c>
      <c r="AL3" s="269" t="s">
        <v>39</v>
      </c>
      <c r="AM3" s="269" t="s">
        <v>39</v>
      </c>
      <c r="AN3" s="269" t="s">
        <v>39</v>
      </c>
      <c r="AO3" s="269" t="s">
        <v>39</v>
      </c>
      <c r="AP3" s="269" t="s">
        <v>39</v>
      </c>
      <c r="AQ3" s="269" t="s">
        <v>39</v>
      </c>
      <c r="AR3" s="269" t="s">
        <v>39</v>
      </c>
      <c r="AS3" s="269" t="s">
        <v>39</v>
      </c>
      <c r="AT3" s="270"/>
      <c r="AU3" s="275"/>
      <c r="AV3" s="276" t="s">
        <v>40</v>
      </c>
      <c r="AW3" s="276" t="s">
        <v>40</v>
      </c>
      <c r="AX3" s="276" t="s">
        <v>40</v>
      </c>
      <c r="AY3" s="276" t="s">
        <v>40</v>
      </c>
      <c r="AZ3" s="276" t="s">
        <v>40</v>
      </c>
      <c r="BA3" s="276" t="s">
        <v>40</v>
      </c>
      <c r="BB3" s="276" t="s">
        <v>40</v>
      </c>
      <c r="BC3" s="276" t="s">
        <v>40</v>
      </c>
      <c r="BD3" s="276" t="s">
        <v>40</v>
      </c>
      <c r="BE3" s="276" t="s">
        <v>40</v>
      </c>
      <c r="BF3" s="276" t="s">
        <v>40</v>
      </c>
      <c r="BG3" s="276" t="s">
        <v>40</v>
      </c>
      <c r="BH3" s="276" t="s">
        <v>40</v>
      </c>
      <c r="BI3" s="276" t="s">
        <v>40</v>
      </c>
      <c r="BJ3" s="277" t="s">
        <v>40</v>
      </c>
      <c r="BK3" s="276" t="s">
        <v>40</v>
      </c>
      <c r="BL3" s="269" t="s">
        <v>40</v>
      </c>
      <c r="BM3" s="269" t="s">
        <v>40</v>
      </c>
      <c r="BN3" s="269" t="s">
        <v>40</v>
      </c>
      <c r="BO3" s="269" t="s">
        <v>40</v>
      </c>
      <c r="BP3" s="269" t="s">
        <v>40</v>
      </c>
      <c r="BQ3" s="114"/>
    </row>
    <row r="4" spans="1:69" s="131" customFormat="1" ht="18" customHeight="1" x14ac:dyDescent="0.25">
      <c r="A4" s="278" t="s">
        <v>41</v>
      </c>
      <c r="B4" s="216">
        <v>547008</v>
      </c>
      <c r="C4" s="216">
        <v>593604</v>
      </c>
      <c r="D4" s="216">
        <v>614676</v>
      </c>
      <c r="E4" s="216">
        <v>645519</v>
      </c>
      <c r="F4" s="216">
        <v>688129</v>
      </c>
      <c r="G4" s="216">
        <v>742441</v>
      </c>
      <c r="H4" s="216">
        <v>708106</v>
      </c>
      <c r="I4" s="216">
        <v>730915</v>
      </c>
      <c r="J4" s="216">
        <v>731216</v>
      </c>
      <c r="K4" s="216">
        <v>717286</v>
      </c>
      <c r="L4" s="216">
        <v>747534.32</v>
      </c>
      <c r="M4" s="216">
        <v>729018.9889739413</v>
      </c>
      <c r="N4" s="216">
        <v>720351</v>
      </c>
      <c r="O4" s="246">
        <v>777887</v>
      </c>
      <c r="P4" s="216">
        <v>807542</v>
      </c>
      <c r="Q4" s="216">
        <v>944891</v>
      </c>
      <c r="R4" s="216">
        <v>994164</v>
      </c>
      <c r="S4" s="246">
        <v>1003133</v>
      </c>
      <c r="T4" s="246">
        <v>1150143.4724389936</v>
      </c>
      <c r="U4" s="246">
        <v>1110801.1677108801</v>
      </c>
      <c r="V4" s="246">
        <v>1174006.371721433</v>
      </c>
      <c r="X4" s="278" t="s">
        <v>41</v>
      </c>
      <c r="Y4" s="216">
        <v>12984924</v>
      </c>
      <c r="Z4" s="216">
        <v>14950122</v>
      </c>
      <c r="AA4" s="216">
        <v>18316776</v>
      </c>
      <c r="AB4" s="279">
        <v>19065214</v>
      </c>
      <c r="AC4" s="279">
        <v>15438767</v>
      </c>
      <c r="AD4" s="216">
        <v>20114155</v>
      </c>
      <c r="AE4" s="216">
        <v>28369527</v>
      </c>
      <c r="AF4" s="216">
        <v>26767040</v>
      </c>
      <c r="AG4" s="216">
        <v>26342252</v>
      </c>
      <c r="AH4" s="216">
        <v>32205673.399999999</v>
      </c>
      <c r="AI4" s="216">
        <v>41569332.799999997</v>
      </c>
      <c r="AJ4" s="243">
        <v>53726833.289999999</v>
      </c>
      <c r="AK4" s="216">
        <v>61447123.890000001</v>
      </c>
      <c r="AL4" s="216">
        <v>71872158</v>
      </c>
      <c r="AM4" s="216">
        <v>91704357.479999989</v>
      </c>
      <c r="AN4" s="216">
        <v>71662921.408679992</v>
      </c>
      <c r="AO4" s="216">
        <v>97018606.387999997</v>
      </c>
      <c r="AP4" s="216">
        <v>127947131.06999999</v>
      </c>
      <c r="AQ4" s="216">
        <v>149217292.40774378</v>
      </c>
      <c r="AR4" s="216">
        <v>146212088.6264714</v>
      </c>
      <c r="AS4" s="216">
        <v>143806446.05898768</v>
      </c>
      <c r="AT4" s="280"/>
      <c r="AU4" s="281" t="s">
        <v>41</v>
      </c>
      <c r="AV4" s="324">
        <f>Y4/B4</f>
        <v>23.738087925587926</v>
      </c>
      <c r="AW4" s="324">
        <f>Z4/C4</f>
        <v>25.185345786079608</v>
      </c>
      <c r="AX4" s="324">
        <f>AA4/D4</f>
        <v>29.79907463444156</v>
      </c>
      <c r="AY4" s="324">
        <f>AB4/E4</f>
        <v>29.534706182157304</v>
      </c>
      <c r="AZ4" s="324">
        <f>AC4/F4</f>
        <v>22.435861589905382</v>
      </c>
      <c r="BA4" s="324">
        <f>AD4/G4</f>
        <v>27.091923802699473</v>
      </c>
      <c r="BB4" s="324">
        <f>AE4/H4</f>
        <v>40.063955114064846</v>
      </c>
      <c r="BC4" s="324">
        <f>AF4/I4</f>
        <v>36.621276071773053</v>
      </c>
      <c r="BD4" s="324">
        <f>AG4/J4</f>
        <v>36.02526749961708</v>
      </c>
      <c r="BE4" s="324">
        <f>AH4/K4</f>
        <v>44.899347540590504</v>
      </c>
      <c r="BF4" s="324">
        <f>AI4/L4</f>
        <v>55.608594398716036</v>
      </c>
      <c r="BG4" s="324">
        <f>AJ4/M4</f>
        <v>73.697440125143928</v>
      </c>
      <c r="BH4" s="324">
        <f>AK4/N4</f>
        <v>85.301643074001419</v>
      </c>
      <c r="BI4" s="288">
        <f>AL4/O4</f>
        <v>92.394085516276789</v>
      </c>
      <c r="BJ4" s="288">
        <f>AM4/P4</f>
        <v>113.55986125799028</v>
      </c>
      <c r="BK4" s="288">
        <f>AN4/Q4</f>
        <v>75.842527242486156</v>
      </c>
      <c r="BL4" s="288">
        <f>AO4/R4</f>
        <v>97.588130718875348</v>
      </c>
      <c r="BM4" s="288">
        <f>AP4/S4</f>
        <v>127.54752467519262</v>
      </c>
      <c r="BN4" s="288">
        <f>AQ4/T4</f>
        <v>129.73798137663093</v>
      </c>
      <c r="BO4" s="288">
        <f>AR4/U4</f>
        <v>131.627597158349</v>
      </c>
      <c r="BP4" s="288">
        <f>AS4/V4</f>
        <v>122.49204904069288</v>
      </c>
      <c r="BQ4" s="282"/>
    </row>
    <row r="5" spans="1:69" s="131" customFormat="1" ht="14.25" x14ac:dyDescent="0.2">
      <c r="A5" s="284" t="s">
        <v>42</v>
      </c>
      <c r="B5" s="216">
        <v>1124901</v>
      </c>
      <c r="C5" s="216">
        <v>1490839</v>
      </c>
      <c r="D5" s="216">
        <v>1689005</v>
      </c>
      <c r="E5" s="216">
        <v>1887690</v>
      </c>
      <c r="F5" s="216">
        <v>1821012</v>
      </c>
      <c r="G5" s="216">
        <v>2148733</v>
      </c>
      <c r="H5" s="216">
        <v>1946221</v>
      </c>
      <c r="I5" s="216">
        <v>1930552</v>
      </c>
      <c r="J5" s="216">
        <v>1902469</v>
      </c>
      <c r="K5" s="216">
        <v>1791249</v>
      </c>
      <c r="L5" s="216">
        <v>1927426.9410000001</v>
      </c>
      <c r="M5" s="216">
        <v>1824077.6604376459</v>
      </c>
      <c r="N5" s="216">
        <v>1590998</v>
      </c>
      <c r="O5" s="246">
        <v>1905223</v>
      </c>
      <c r="P5" s="216">
        <v>1587396</v>
      </c>
      <c r="Q5" s="216">
        <v>1633933.740177989</v>
      </c>
      <c r="R5" s="216">
        <v>1595449.4368794491</v>
      </c>
      <c r="S5" s="216">
        <v>1920729.0922847297</v>
      </c>
      <c r="T5" s="216">
        <v>2084738.0291803186</v>
      </c>
      <c r="U5" s="216">
        <v>1933954.2675383249</v>
      </c>
      <c r="V5" s="216">
        <v>2139197.6952825477</v>
      </c>
      <c r="X5" s="284" t="s">
        <v>42</v>
      </c>
      <c r="Y5" s="216">
        <v>32719530</v>
      </c>
      <c r="Z5" s="216">
        <v>38303089</v>
      </c>
      <c r="AA5" s="216">
        <v>49360722</v>
      </c>
      <c r="AB5" s="216">
        <v>52069346</v>
      </c>
      <c r="AC5" s="216">
        <v>36340160</v>
      </c>
      <c r="AD5" s="216">
        <v>51810847</v>
      </c>
      <c r="AE5" s="216">
        <v>74659458</v>
      </c>
      <c r="AF5" s="216">
        <v>64436452</v>
      </c>
      <c r="AG5" s="216">
        <v>60924500</v>
      </c>
      <c r="AH5" s="216">
        <v>73310706.140000001</v>
      </c>
      <c r="AI5" s="216">
        <v>99304765.890000001</v>
      </c>
      <c r="AJ5" s="216">
        <v>133464813</v>
      </c>
      <c r="AK5" s="216">
        <v>132614385.28</v>
      </c>
      <c r="AL5" s="216">
        <v>167647342</v>
      </c>
      <c r="AM5" s="216">
        <v>199926554.72347972</v>
      </c>
      <c r="AN5" s="216">
        <v>123333560.01961799</v>
      </c>
      <c r="AO5" s="216">
        <v>152402463.03253171</v>
      </c>
      <c r="AP5" s="216">
        <v>250904963.06242034</v>
      </c>
      <c r="AQ5" s="216">
        <v>272064707.23012191</v>
      </c>
      <c r="AR5" s="216">
        <v>257640047.88804933</v>
      </c>
      <c r="AS5" s="216">
        <v>260334966.69034052</v>
      </c>
      <c r="AT5" s="280"/>
      <c r="AU5" s="285" t="s">
        <v>42</v>
      </c>
      <c r="AV5" s="324">
        <f>Y5/B5</f>
        <v>29.086586286259859</v>
      </c>
      <c r="AW5" s="324">
        <f>Z5/C5</f>
        <v>25.692304132102795</v>
      </c>
      <c r="AX5" s="324">
        <f>AA5/D5</f>
        <v>29.224734089005064</v>
      </c>
      <c r="AY5" s="324">
        <f>AB5/E5</f>
        <v>27.5836318463307</v>
      </c>
      <c r="AZ5" s="324">
        <f>AC5/F5</f>
        <v>19.956024452337491</v>
      </c>
      <c r="BA5" s="324">
        <f>AD5/G5</f>
        <v>24.11227779347178</v>
      </c>
      <c r="BB5" s="324">
        <f>AE5/H5</f>
        <v>38.361243661434131</v>
      </c>
      <c r="BC5" s="324">
        <f>AF5/I5</f>
        <v>33.377216464513779</v>
      </c>
      <c r="BD5" s="324">
        <f>AG5/J5</f>
        <v>32.023912084769847</v>
      </c>
      <c r="BE5" s="324">
        <f>AH5/K5</f>
        <v>40.927144210548057</v>
      </c>
      <c r="BF5" s="324">
        <f>AI5/L5</f>
        <v>51.521935165271714</v>
      </c>
      <c r="BG5" s="324">
        <f>AJ5/M5</f>
        <v>73.168383065432735</v>
      </c>
      <c r="BH5" s="324">
        <f>AK5/N5</f>
        <v>83.352955365123023</v>
      </c>
      <c r="BI5" s="288">
        <f>AL5/O5</f>
        <v>87.993553510533943</v>
      </c>
      <c r="BJ5" s="288">
        <f>AM5/P5</f>
        <v>125.94623819354447</v>
      </c>
      <c r="BK5" s="288">
        <f>AN5/Q5</f>
        <v>75.482595766816658</v>
      </c>
      <c r="BL5" s="288">
        <f>AO5/R5</f>
        <v>95.523217163570393</v>
      </c>
      <c r="BM5" s="288">
        <f>AP5/S5</f>
        <v>130.63006338075817</v>
      </c>
      <c r="BN5" s="288">
        <f>AQ5/T5</f>
        <v>130.50306725449474</v>
      </c>
      <c r="BO5" s="288">
        <f>AR5/U5</f>
        <v>133.21930730864281</v>
      </c>
      <c r="BP5" s="288">
        <f>AS5/V5</f>
        <v>121.69747904293398</v>
      </c>
      <c r="BQ5" s="282"/>
    </row>
    <row r="6" spans="1:69" s="131" customFormat="1" ht="14.25" x14ac:dyDescent="0.2">
      <c r="A6" s="284" t="s">
        <v>16</v>
      </c>
      <c r="B6" s="216">
        <v>239312</v>
      </c>
      <c r="C6" s="216">
        <v>250210</v>
      </c>
      <c r="D6" s="216">
        <v>238062</v>
      </c>
      <c r="E6" s="216">
        <v>258741</v>
      </c>
      <c r="F6" s="216">
        <v>210972</v>
      </c>
      <c r="G6" s="216">
        <v>235045</v>
      </c>
      <c r="H6" s="216">
        <v>240510</v>
      </c>
      <c r="I6" s="216">
        <v>197709</v>
      </c>
      <c r="J6" s="216">
        <v>200677</v>
      </c>
      <c r="K6" s="216">
        <v>198351</v>
      </c>
      <c r="L6" s="216">
        <v>186242.51</v>
      </c>
      <c r="M6" s="216">
        <v>186369.0867806802</v>
      </c>
      <c r="N6" s="216">
        <v>161680</v>
      </c>
      <c r="O6" s="246">
        <v>175586</v>
      </c>
      <c r="P6" s="216">
        <v>160341</v>
      </c>
      <c r="Q6" s="216">
        <v>200686</v>
      </c>
      <c r="R6" s="216">
        <v>173828</v>
      </c>
      <c r="S6" s="246">
        <v>171696</v>
      </c>
      <c r="T6" s="246">
        <v>229939.53313189166</v>
      </c>
      <c r="U6" s="246">
        <v>162568</v>
      </c>
      <c r="V6" s="246">
        <v>157125.57</v>
      </c>
      <c r="X6" s="284" t="s">
        <v>16</v>
      </c>
      <c r="Y6" s="216">
        <v>6071820</v>
      </c>
      <c r="Z6" s="216">
        <v>6422340</v>
      </c>
      <c r="AA6" s="216">
        <v>7076075</v>
      </c>
      <c r="AB6" s="216">
        <v>7333798</v>
      </c>
      <c r="AC6" s="216">
        <v>4454239</v>
      </c>
      <c r="AD6" s="216">
        <v>5929888</v>
      </c>
      <c r="AE6" s="216">
        <v>9774805</v>
      </c>
      <c r="AF6" s="216">
        <v>7113830</v>
      </c>
      <c r="AG6" s="216">
        <v>6720775</v>
      </c>
      <c r="AH6" s="216">
        <v>7928272.3899999997</v>
      </c>
      <c r="AI6" s="216">
        <v>9701018.0299999993</v>
      </c>
      <c r="AJ6" s="216">
        <v>14083361.27</v>
      </c>
      <c r="AK6" s="216">
        <v>13966724.140000001</v>
      </c>
      <c r="AL6" s="216">
        <v>16174286</v>
      </c>
      <c r="AM6" s="216">
        <v>22181349.720000003</v>
      </c>
      <c r="AN6" s="216">
        <v>15029306.27685</v>
      </c>
      <c r="AO6" s="216">
        <v>16931196.898000002</v>
      </c>
      <c r="AP6" s="216">
        <v>23678446.826666668</v>
      </c>
      <c r="AQ6" s="216">
        <v>33311668.523934983</v>
      </c>
      <c r="AR6" s="216">
        <v>22517694.163206715</v>
      </c>
      <c r="AS6" s="216">
        <v>19563382.071671247</v>
      </c>
      <c r="AT6" s="280"/>
      <c r="AU6" s="285" t="s">
        <v>16</v>
      </c>
      <c r="AV6" s="324">
        <f>Y6/B6</f>
        <v>25.371983017984888</v>
      </c>
      <c r="AW6" s="324">
        <f>Z6/C6</f>
        <v>25.667799048799008</v>
      </c>
      <c r="AX6" s="324">
        <f>AA6/D6</f>
        <v>29.723664423553529</v>
      </c>
      <c r="AY6" s="324">
        <f>AB6/E6</f>
        <v>28.344166560382778</v>
      </c>
      <c r="AZ6" s="324">
        <f>AC6/F6</f>
        <v>21.112939157802931</v>
      </c>
      <c r="BA6" s="324">
        <f>AD6/G6</f>
        <v>25.228734923099832</v>
      </c>
      <c r="BB6" s="324">
        <f>AE6/H6</f>
        <v>40.641989938048312</v>
      </c>
      <c r="BC6" s="324">
        <f>AF6/I6</f>
        <v>35.981315974487757</v>
      </c>
      <c r="BD6" s="324">
        <f>AG6/J6</f>
        <v>33.490509624919646</v>
      </c>
      <c r="BE6" s="324">
        <f>AH6/K6</f>
        <v>39.970922203568421</v>
      </c>
      <c r="BF6" s="324">
        <f>AI6/L6</f>
        <v>52.088097556245344</v>
      </c>
      <c r="BG6" s="324">
        <f>AJ6/M6</f>
        <v>75.567045550710617</v>
      </c>
      <c r="BH6" s="324">
        <f>AK6/N6</f>
        <v>86.384983547748647</v>
      </c>
      <c r="BI6" s="288">
        <f>AL6/O6</f>
        <v>92.116034307974445</v>
      </c>
      <c r="BJ6" s="288">
        <f>AM6/P6</f>
        <v>138.33860160532865</v>
      </c>
      <c r="BK6" s="288">
        <f>AN6/Q6</f>
        <v>74.889659850961209</v>
      </c>
      <c r="BL6" s="288">
        <f>AO6/R6</f>
        <v>97.402011747244416</v>
      </c>
      <c r="BM6" s="288">
        <f>AP6/S6</f>
        <v>137.9091349051036</v>
      </c>
      <c r="BN6" s="288">
        <f>AQ6/T6</f>
        <v>144.87142802376505</v>
      </c>
      <c r="BO6" s="288">
        <f>AR6/U6</f>
        <v>138.51246348116919</v>
      </c>
      <c r="BP6" s="288">
        <f>AS6/V6</f>
        <v>124.5079465530101</v>
      </c>
      <c r="BQ6" s="282"/>
    </row>
    <row r="7" spans="1:69" s="131" customFormat="1" ht="14.25" x14ac:dyDescent="0.2">
      <c r="A7" s="284" t="s">
        <v>17</v>
      </c>
      <c r="B7" s="216">
        <v>1094555</v>
      </c>
      <c r="C7" s="216">
        <v>1233096</v>
      </c>
      <c r="D7" s="216">
        <v>1093885</v>
      </c>
      <c r="E7" s="216">
        <v>1224930</v>
      </c>
      <c r="F7" s="216">
        <v>1330869</v>
      </c>
      <c r="G7" s="216">
        <v>906524</v>
      </c>
      <c r="H7" s="216">
        <v>942708</v>
      </c>
      <c r="I7" s="216">
        <v>875924</v>
      </c>
      <c r="J7" s="216">
        <v>923629</v>
      </c>
      <c r="K7" s="216">
        <v>1156810</v>
      </c>
      <c r="L7" s="216">
        <v>901208.83499999996</v>
      </c>
      <c r="M7" s="216">
        <v>677222.03702189494</v>
      </c>
      <c r="N7" s="216">
        <v>569005</v>
      </c>
      <c r="O7" s="246">
        <v>933717</v>
      </c>
      <c r="P7" s="216">
        <v>961147</v>
      </c>
      <c r="Q7" s="216">
        <v>983856</v>
      </c>
      <c r="R7" s="216">
        <v>1207023.8199999998</v>
      </c>
      <c r="S7" s="246">
        <v>1059008</v>
      </c>
      <c r="T7" s="246">
        <v>1220693.5592107042</v>
      </c>
      <c r="U7" s="246">
        <v>1325114.72</v>
      </c>
      <c r="V7" s="246">
        <v>1257254.8999999999</v>
      </c>
      <c r="X7" s="284" t="s">
        <v>17</v>
      </c>
      <c r="Y7" s="216">
        <v>16922767</v>
      </c>
      <c r="Z7" s="216">
        <v>23160746</v>
      </c>
      <c r="AA7" s="216">
        <v>22666955</v>
      </c>
      <c r="AB7" s="216">
        <v>26019906</v>
      </c>
      <c r="AC7" s="216">
        <v>19705980</v>
      </c>
      <c r="AD7" s="216">
        <v>17531235</v>
      </c>
      <c r="AE7" s="216">
        <v>25617766</v>
      </c>
      <c r="AF7" s="216">
        <v>20574920</v>
      </c>
      <c r="AG7" s="216">
        <v>24309573</v>
      </c>
      <c r="AH7" s="216">
        <v>33911015.579999998</v>
      </c>
      <c r="AI7" s="216">
        <v>27108661.420000002</v>
      </c>
      <c r="AJ7" s="216">
        <v>29503620</v>
      </c>
      <c r="AK7" s="216">
        <v>31136623.25</v>
      </c>
      <c r="AL7" s="216">
        <v>51642019.603571393</v>
      </c>
      <c r="AM7" s="216">
        <v>77303400.82280001</v>
      </c>
      <c r="AN7" s="216">
        <v>61739678.282769993</v>
      </c>
      <c r="AO7" s="216">
        <v>93505447.871199995</v>
      </c>
      <c r="AP7" s="216">
        <v>113963138.14000002</v>
      </c>
      <c r="AQ7" s="216">
        <v>132579287.95546117</v>
      </c>
      <c r="AR7" s="216">
        <v>135521850.51111096</v>
      </c>
      <c r="AS7" s="216">
        <v>116133335.02984557</v>
      </c>
      <c r="AT7" s="280"/>
      <c r="AU7" s="285" t="s">
        <v>17</v>
      </c>
      <c r="AV7" s="324">
        <f>Y7/B7</f>
        <v>15.460864917706282</v>
      </c>
      <c r="AW7" s="324">
        <f>Z7/C7</f>
        <v>18.782597624191467</v>
      </c>
      <c r="AX7" s="324">
        <f>AA7/D7</f>
        <v>20.721515515799194</v>
      </c>
      <c r="AY7" s="324">
        <f>AB7/E7</f>
        <v>21.24195341774632</v>
      </c>
      <c r="AZ7" s="324">
        <f>AC7/F7</f>
        <v>14.806851763772393</v>
      </c>
      <c r="BA7" s="324">
        <f>AD7/G7</f>
        <v>19.338963998746863</v>
      </c>
      <c r="BB7" s="324">
        <f>AE7/H7</f>
        <v>27.174656415348124</v>
      </c>
      <c r="BC7" s="324">
        <f>AF7/I7</f>
        <v>23.48938949041241</v>
      </c>
      <c r="BD7" s="324">
        <f>AG7/J7</f>
        <v>26.319629418305404</v>
      </c>
      <c r="BE7" s="324">
        <f>AH7/K7</f>
        <v>29.314248303524344</v>
      </c>
      <c r="BF7" s="324">
        <f>AI7/L7</f>
        <v>30.080332512496955</v>
      </c>
      <c r="BG7" s="324">
        <f>AJ7/M7</f>
        <v>43.565652603011991</v>
      </c>
      <c r="BH7" s="324">
        <f>AK7/N7</f>
        <v>54.721176878937797</v>
      </c>
      <c r="BI7" s="288">
        <f>AL7/O7</f>
        <v>55.307999751071677</v>
      </c>
      <c r="BJ7" s="288">
        <f>AM7/P7</f>
        <v>80.428280817398388</v>
      </c>
      <c r="BK7" s="288">
        <f>AN7/Q7</f>
        <v>62.752758821179107</v>
      </c>
      <c r="BL7" s="288">
        <f>AO7/R7</f>
        <v>77.467773478737158</v>
      </c>
      <c r="BM7" s="288">
        <f>AP7/S7</f>
        <v>107.61310409364236</v>
      </c>
      <c r="BN7" s="288">
        <f>AQ7/T7</f>
        <v>108.60980379153179</v>
      </c>
      <c r="BO7" s="288">
        <f>AR7/U7</f>
        <v>102.27178708807261</v>
      </c>
      <c r="BP7" s="288">
        <f>AS7/V7</f>
        <v>92.370556702420146</v>
      </c>
      <c r="BQ7" s="282"/>
    </row>
    <row r="8" spans="1:69" s="131" customFormat="1" ht="14.25" x14ac:dyDescent="0.2">
      <c r="A8" s="284" t="s">
        <v>18</v>
      </c>
      <c r="B8" s="216">
        <v>18465</v>
      </c>
      <c r="C8" s="216">
        <v>14175</v>
      </c>
      <c r="D8" s="216">
        <v>11417</v>
      </c>
      <c r="E8" s="216">
        <v>9909</v>
      </c>
      <c r="F8" s="216">
        <v>20066</v>
      </c>
      <c r="G8" s="216">
        <v>10891</v>
      </c>
      <c r="H8" s="216">
        <v>13641</v>
      </c>
      <c r="I8" s="216">
        <v>6615</v>
      </c>
      <c r="J8" s="216">
        <v>7190</v>
      </c>
      <c r="K8" s="216">
        <v>8621</v>
      </c>
      <c r="L8" s="216">
        <v>8135.9979999999996</v>
      </c>
      <c r="M8" s="243">
        <v>5876</v>
      </c>
      <c r="N8" s="243">
        <v>10074</v>
      </c>
      <c r="O8" s="286">
        <v>8769</v>
      </c>
      <c r="P8" s="1">
        <v>9422</v>
      </c>
      <c r="Q8" s="1">
        <v>8400</v>
      </c>
      <c r="R8" s="1">
        <v>9194</v>
      </c>
      <c r="S8" s="246">
        <v>13675.190476190475</v>
      </c>
      <c r="T8" s="246">
        <v>12342</v>
      </c>
      <c r="U8" s="246">
        <v>9926</v>
      </c>
      <c r="V8" s="246">
        <v>9774</v>
      </c>
      <c r="X8" s="284" t="s">
        <v>18</v>
      </c>
      <c r="Y8" s="216">
        <v>868066</v>
      </c>
      <c r="Z8" s="216">
        <v>650896</v>
      </c>
      <c r="AA8" s="216">
        <v>577860</v>
      </c>
      <c r="AB8" s="216">
        <v>503126</v>
      </c>
      <c r="AC8" s="216">
        <v>696556</v>
      </c>
      <c r="AD8" s="216">
        <v>522145</v>
      </c>
      <c r="AE8" s="216">
        <v>825833</v>
      </c>
      <c r="AF8" s="216">
        <v>387751</v>
      </c>
      <c r="AG8" s="216">
        <v>410595</v>
      </c>
      <c r="AH8" s="216">
        <v>782106.35</v>
      </c>
      <c r="AI8" s="216">
        <v>820278.67</v>
      </c>
      <c r="AJ8" s="216">
        <v>723745.19</v>
      </c>
      <c r="AK8" s="216">
        <v>1365387.25</v>
      </c>
      <c r="AL8" s="216">
        <v>1547856</v>
      </c>
      <c r="AM8" s="216">
        <v>1811380</v>
      </c>
      <c r="AN8" s="216">
        <v>985019</v>
      </c>
      <c r="AO8" s="216">
        <v>1718359</v>
      </c>
      <c r="AP8" s="216">
        <v>3296808.19</v>
      </c>
      <c r="AQ8" s="216">
        <v>2653644.426712492</v>
      </c>
      <c r="AR8" s="216">
        <v>2111813.5075221444</v>
      </c>
      <c r="AS8" s="216">
        <v>2011611.5588</v>
      </c>
      <c r="AT8" s="280"/>
      <c r="AU8" s="285" t="s">
        <v>18</v>
      </c>
      <c r="AV8" s="324">
        <f>Y8/B8</f>
        <v>47.011427024099646</v>
      </c>
      <c r="AW8" s="324">
        <f>Z8/C8</f>
        <v>45.91858906525573</v>
      </c>
      <c r="AX8" s="324">
        <f>AA8/D8</f>
        <v>50.613996671630026</v>
      </c>
      <c r="AY8" s="324">
        <f>AB8/E8</f>
        <v>50.774649308709257</v>
      </c>
      <c r="AZ8" s="324">
        <f>AC8/F8</f>
        <v>34.713246287252069</v>
      </c>
      <c r="BA8" s="324">
        <f>AD8/G8</f>
        <v>47.942796804701132</v>
      </c>
      <c r="BB8" s="324">
        <f>AE8/H8</f>
        <v>60.540502895682138</v>
      </c>
      <c r="BC8" s="324">
        <f>AF8/I8</f>
        <v>58.616931216931214</v>
      </c>
      <c r="BD8" s="324">
        <f>AG8/J8</f>
        <v>57.106397774687068</v>
      </c>
      <c r="BE8" s="324">
        <f>AH8/K8</f>
        <v>90.721070641456905</v>
      </c>
      <c r="BF8" s="324">
        <f>AI8/L8</f>
        <v>100.82090359412577</v>
      </c>
      <c r="BG8" s="324">
        <f>AJ8/M8</f>
        <v>123.16970558202858</v>
      </c>
      <c r="BH8" s="324">
        <f>AK8/N8</f>
        <v>135.53576037323805</v>
      </c>
      <c r="BI8" s="288">
        <f>AL8/O8</f>
        <v>176.51453985631201</v>
      </c>
      <c r="BJ8" s="288">
        <f>AM8/P8</f>
        <v>192.25005306728931</v>
      </c>
      <c r="BK8" s="288">
        <f>AN8/Q8</f>
        <v>117.26416666666667</v>
      </c>
      <c r="BL8" s="288">
        <f>AO8/R8</f>
        <v>186.90004350663477</v>
      </c>
      <c r="BM8" s="288">
        <f>AP8/S8</f>
        <v>241.07950786791514</v>
      </c>
      <c r="BN8" s="288">
        <f>AQ8/T8</f>
        <v>215.00927132656716</v>
      </c>
      <c r="BO8" s="288">
        <f>AR8/U8</f>
        <v>212.75574325228132</v>
      </c>
      <c r="BP8" s="288">
        <f>AS8/V8</f>
        <v>205.81251880499283</v>
      </c>
      <c r="BQ8" s="282"/>
    </row>
    <row r="9" spans="1:69" s="131" customFormat="1" ht="15" thickBot="1" x14ac:dyDescent="0.25">
      <c r="A9" s="287" t="s">
        <v>19</v>
      </c>
      <c r="B9" s="218">
        <v>71487</v>
      </c>
      <c r="C9" s="218">
        <v>42129</v>
      </c>
      <c r="D9" s="218">
        <v>64848</v>
      </c>
      <c r="E9" s="218">
        <v>66888</v>
      </c>
      <c r="F9" s="218">
        <v>54717</v>
      </c>
      <c r="G9" s="218">
        <v>93632</v>
      </c>
      <c r="H9" s="218">
        <v>73428</v>
      </c>
      <c r="I9" s="218">
        <v>92936</v>
      </c>
      <c r="J9" s="218">
        <v>100324</v>
      </c>
      <c r="K9" s="218">
        <v>107882</v>
      </c>
      <c r="L9" s="218">
        <v>131210.94</v>
      </c>
      <c r="M9" s="218">
        <v>123505.65140546083</v>
      </c>
      <c r="N9" s="218">
        <v>127817</v>
      </c>
      <c r="O9" s="248">
        <v>109052</v>
      </c>
      <c r="P9" s="218">
        <v>134735</v>
      </c>
      <c r="Q9" s="218">
        <v>152956</v>
      </c>
      <c r="R9" s="218">
        <v>158272</v>
      </c>
      <c r="S9" s="218">
        <v>173104</v>
      </c>
      <c r="T9" s="218">
        <v>169891.65072259589</v>
      </c>
      <c r="U9" s="218">
        <v>183786.14285714287</v>
      </c>
      <c r="V9" s="218">
        <v>201496.71428571429</v>
      </c>
      <c r="X9" s="284" t="s">
        <v>19</v>
      </c>
      <c r="Y9" s="218">
        <v>2500805</v>
      </c>
      <c r="Z9" s="218">
        <v>1673937</v>
      </c>
      <c r="AA9" s="218">
        <v>2698221</v>
      </c>
      <c r="AB9" s="218">
        <v>2735843</v>
      </c>
      <c r="AC9" s="218">
        <v>1903797</v>
      </c>
      <c r="AD9" s="218">
        <v>3796121</v>
      </c>
      <c r="AE9" s="218">
        <v>4030585</v>
      </c>
      <c r="AF9" s="218">
        <v>4093528</v>
      </c>
      <c r="AG9" s="218">
        <v>3935989</v>
      </c>
      <c r="AH9" s="218">
        <v>5056191.78</v>
      </c>
      <c r="AI9" s="218">
        <v>7198198.4800000004</v>
      </c>
      <c r="AJ9" s="218">
        <v>9160774</v>
      </c>
      <c r="AK9" s="218">
        <v>11063839.52</v>
      </c>
      <c r="AL9" s="218">
        <v>10238892</v>
      </c>
      <c r="AM9" s="218">
        <v>13033893</v>
      </c>
      <c r="AN9" s="218">
        <v>10159508</v>
      </c>
      <c r="AO9" s="218">
        <v>14375627</v>
      </c>
      <c r="AP9" s="248">
        <v>15191958.594357297</v>
      </c>
      <c r="AQ9" s="248">
        <v>14174001.866896126</v>
      </c>
      <c r="AR9" s="248">
        <v>18278300.685343001</v>
      </c>
      <c r="AS9" s="248">
        <v>19783955.968279999</v>
      </c>
      <c r="AT9" s="280"/>
      <c r="AU9" s="285" t="s">
        <v>19</v>
      </c>
      <c r="AV9" s="324">
        <f>Y9/B9</f>
        <v>34.982654188873504</v>
      </c>
      <c r="AW9" s="324">
        <f>Z9/C9</f>
        <v>39.733603930784021</v>
      </c>
      <c r="AX9" s="324">
        <f>AA9/D9</f>
        <v>41.608391931902297</v>
      </c>
      <c r="AY9" s="324">
        <f>AB9/E9</f>
        <v>40.901850855160866</v>
      </c>
      <c r="AZ9" s="324">
        <f>AC9/F9</f>
        <v>34.793519381545039</v>
      </c>
      <c r="BA9" s="324">
        <f>AD9/G9</f>
        <v>40.542987440191389</v>
      </c>
      <c r="BB9" s="324">
        <f>AE9/H9</f>
        <v>54.89166258103176</v>
      </c>
      <c r="BC9" s="324">
        <f>AF9/I9</f>
        <v>44.046741843849532</v>
      </c>
      <c r="BD9" s="324">
        <f>AG9/J9</f>
        <v>39.232775806387302</v>
      </c>
      <c r="BE9" s="324">
        <f>AH9/K9</f>
        <v>46.867797964442637</v>
      </c>
      <c r="BF9" s="324">
        <f>AI9/L9</f>
        <v>54.85974325006741</v>
      </c>
      <c r="BG9" s="324">
        <f>AJ9/M9</f>
        <v>74.172913512482026</v>
      </c>
      <c r="BH9" s="324">
        <f>AK9/N9</f>
        <v>86.56</v>
      </c>
      <c r="BI9" s="288">
        <f>AL9/O9</f>
        <v>93.889997432417559</v>
      </c>
      <c r="BJ9" s="288">
        <f>AM9/P9</f>
        <v>96.737247188926418</v>
      </c>
      <c r="BK9" s="288">
        <f>AN9/Q9</f>
        <v>66.421114568895632</v>
      </c>
      <c r="BL9" s="288">
        <f>AO9/R9</f>
        <v>90.828617822482812</v>
      </c>
      <c r="BM9" s="288">
        <f>AP9/S9</f>
        <v>87.762030885232562</v>
      </c>
      <c r="BN9" s="288">
        <f>AQ9/T9</f>
        <v>83.429655351573786</v>
      </c>
      <c r="BO9" s="288">
        <f>AR9/U9</f>
        <v>99.454183004160114</v>
      </c>
      <c r="BP9" s="288">
        <f>AS9/V9</f>
        <v>98.185005340718064</v>
      </c>
      <c r="BQ9" s="282"/>
    </row>
    <row r="10" spans="1:69" ht="15.75" thickTop="1" x14ac:dyDescent="0.25">
      <c r="A10" s="274" t="s">
        <v>6</v>
      </c>
      <c r="B10" s="228">
        <f t="shared" ref="B10:O10" si="0">SUM(B4:B9)</f>
        <v>3095728</v>
      </c>
      <c r="C10" s="228">
        <f t="shared" si="0"/>
        <v>3624053</v>
      </c>
      <c r="D10" s="228">
        <f t="shared" si="0"/>
        <v>3711893</v>
      </c>
      <c r="E10" s="228">
        <f t="shared" si="0"/>
        <v>4093677</v>
      </c>
      <c r="F10" s="228">
        <f t="shared" si="0"/>
        <v>4125765</v>
      </c>
      <c r="G10" s="228">
        <f t="shared" si="0"/>
        <v>4137266</v>
      </c>
      <c r="H10" s="228">
        <f t="shared" si="0"/>
        <v>3924614</v>
      </c>
      <c r="I10" s="228">
        <f t="shared" si="0"/>
        <v>3834651</v>
      </c>
      <c r="J10" s="228">
        <f t="shared" si="0"/>
        <v>3865505</v>
      </c>
      <c r="K10" s="228">
        <f t="shared" si="0"/>
        <v>3980199</v>
      </c>
      <c r="L10" s="228">
        <f t="shared" si="0"/>
        <v>3901759.5439999998</v>
      </c>
      <c r="M10" s="228">
        <f t="shared" si="0"/>
        <v>3546069.424619623</v>
      </c>
      <c r="N10" s="228">
        <f t="shared" si="0"/>
        <v>3179925</v>
      </c>
      <c r="O10" s="289">
        <f t="shared" si="0"/>
        <v>3910234</v>
      </c>
      <c r="P10" s="289">
        <f t="shared" ref="P10:V10" si="1">SUM(P4:P9)</f>
        <v>3660583</v>
      </c>
      <c r="Q10" s="290">
        <f t="shared" si="1"/>
        <v>3924722.740177989</v>
      </c>
      <c r="R10" s="290">
        <f t="shared" si="1"/>
        <v>4137931.2568794489</v>
      </c>
      <c r="S10" s="290">
        <f t="shared" si="1"/>
        <v>4341345.28276092</v>
      </c>
      <c r="T10" s="290">
        <f t="shared" si="1"/>
        <v>4867748.2446845034</v>
      </c>
      <c r="U10" s="290">
        <f t="shared" si="1"/>
        <v>4726150.2981063472</v>
      </c>
      <c r="V10" s="290">
        <f t="shared" si="1"/>
        <v>4938855.2512896955</v>
      </c>
      <c r="X10" s="283" t="s">
        <v>6</v>
      </c>
      <c r="Y10" s="228">
        <f t="shared" ref="Y10:AS10" si="2">SUM(Y4:Y9)</f>
        <v>72067912</v>
      </c>
      <c r="Z10" s="228">
        <f t="shared" si="2"/>
        <v>85161130</v>
      </c>
      <c r="AA10" s="228">
        <f t="shared" si="2"/>
        <v>100696609</v>
      </c>
      <c r="AB10" s="228">
        <f t="shared" si="2"/>
        <v>107727233</v>
      </c>
      <c r="AC10" s="228">
        <f t="shared" si="2"/>
        <v>78539499</v>
      </c>
      <c r="AD10" s="279">
        <f t="shared" si="2"/>
        <v>99704391</v>
      </c>
      <c r="AE10" s="279">
        <f t="shared" si="2"/>
        <v>143277974</v>
      </c>
      <c r="AF10" s="279">
        <f t="shared" si="2"/>
        <v>123373521</v>
      </c>
      <c r="AG10" s="279">
        <f t="shared" si="2"/>
        <v>122643684</v>
      </c>
      <c r="AH10" s="279">
        <f t="shared" si="2"/>
        <v>153193965.63999999</v>
      </c>
      <c r="AI10" s="279">
        <f t="shared" si="2"/>
        <v>185702255.28999996</v>
      </c>
      <c r="AJ10" s="279">
        <f t="shared" si="2"/>
        <v>240663146.75</v>
      </c>
      <c r="AK10" s="279">
        <f t="shared" si="2"/>
        <v>251594083.33000001</v>
      </c>
      <c r="AL10" s="279">
        <f t="shared" si="2"/>
        <v>319122553.60357141</v>
      </c>
      <c r="AM10" s="279">
        <f>SUM(AM4:AM9)</f>
        <v>405960935.74627972</v>
      </c>
      <c r="AN10" s="279">
        <f>SUM(AN4:AN9)</f>
        <v>282909992.98791796</v>
      </c>
      <c r="AO10" s="279">
        <f>SUM(AO4:AO9)</f>
        <v>375951700.18973172</v>
      </c>
      <c r="AP10" s="279">
        <f t="shared" si="2"/>
        <v>534982445.88344431</v>
      </c>
      <c r="AQ10" s="279">
        <f t="shared" si="2"/>
        <v>604000602.41087043</v>
      </c>
      <c r="AR10" s="279">
        <f t="shared" si="2"/>
        <v>582281795.38170362</v>
      </c>
      <c r="AS10" s="279">
        <f t="shared" si="2"/>
        <v>561633697.37792492</v>
      </c>
      <c r="AT10" s="291"/>
      <c r="AU10" s="292"/>
      <c r="AV10" s="129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60"/>
      <c r="BJ10" s="160"/>
      <c r="BK10" s="158"/>
      <c r="BL10" s="160"/>
      <c r="BM10" s="293">
        <f>AP10/S10</f>
        <v>123.22964681197095</v>
      </c>
      <c r="BN10" s="294">
        <f>ROUND(AQ10/T10,2)</f>
        <v>124.08</v>
      </c>
      <c r="BO10" s="293">
        <f>ROUND(AR10/U10,2)</f>
        <v>123.2</v>
      </c>
      <c r="BP10" s="288">
        <f>AS10/V10</f>
        <v>113.71738364497809</v>
      </c>
      <c r="BQ10" s="282"/>
    </row>
    <row r="11" spans="1:69" ht="14.25" x14ac:dyDescent="0.2">
      <c r="A11" s="220"/>
      <c r="B11" s="220"/>
      <c r="X11" s="220"/>
      <c r="Y11" s="220"/>
      <c r="BM11" s="299">
        <v>126.644267072312</v>
      </c>
      <c r="BN11" s="295"/>
      <c r="BO11" s="295"/>
      <c r="BP11" s="295"/>
      <c r="BQ11" s="114"/>
    </row>
    <row r="12" spans="1:69" ht="14.25" x14ac:dyDescent="0.2">
      <c r="A12" s="220"/>
      <c r="B12" s="220"/>
      <c r="O12" s="114"/>
      <c r="P12" s="114"/>
      <c r="Q12" s="114"/>
      <c r="R12" s="114"/>
      <c r="S12" s="114"/>
      <c r="T12" s="114"/>
      <c r="U12" s="114"/>
      <c r="V12" s="114"/>
      <c r="W12" s="372"/>
      <c r="X12" s="220"/>
      <c r="Y12" s="220"/>
      <c r="AN12" s="88"/>
      <c r="AO12" s="88"/>
      <c r="AP12" s="88"/>
      <c r="AQ12" s="88"/>
      <c r="AR12" s="88"/>
      <c r="AS12" s="88"/>
      <c r="AT12" s="88"/>
      <c r="BD12" s="93"/>
      <c r="BE12" s="93"/>
      <c r="BF12" s="93"/>
      <c r="BG12" s="93"/>
      <c r="BH12" s="93"/>
      <c r="BI12" s="93"/>
      <c r="BJ12" s="93"/>
      <c r="BK12" s="93"/>
      <c r="BL12" s="93"/>
      <c r="BM12" s="296"/>
      <c r="BN12" s="178"/>
      <c r="BO12" s="178"/>
      <c r="BP12" s="178"/>
    </row>
    <row r="13" spans="1:69" ht="15" x14ac:dyDescent="0.25">
      <c r="A13" s="220"/>
      <c r="B13" s="220"/>
      <c r="O13" s="114"/>
      <c r="P13" s="163"/>
      <c r="Q13" s="114"/>
      <c r="R13" s="114"/>
      <c r="S13" s="114"/>
      <c r="T13" s="114"/>
      <c r="U13" s="114"/>
      <c r="V13" s="114"/>
      <c r="W13" s="372"/>
      <c r="X13" s="220"/>
      <c r="Y13" s="220"/>
      <c r="AN13" s="333"/>
      <c r="AO13" s="329"/>
      <c r="AP13" s="329"/>
      <c r="AQ13" s="329"/>
      <c r="AR13" s="329"/>
      <c r="AS13" s="329"/>
      <c r="AT13" s="329"/>
      <c r="BE13" s="93"/>
      <c r="BF13" s="93"/>
      <c r="BG13" s="93"/>
      <c r="BH13" s="93"/>
      <c r="BI13" s="93"/>
      <c r="BJ13" s="93"/>
      <c r="BK13" s="93"/>
      <c r="BL13" s="93"/>
      <c r="BM13" s="297"/>
      <c r="BN13" s="178"/>
      <c r="BO13" s="178"/>
      <c r="BP13" s="178"/>
    </row>
    <row r="14" spans="1:69" ht="15" x14ac:dyDescent="0.25">
      <c r="A14" s="220"/>
      <c r="B14" s="220"/>
      <c r="P14" s="128"/>
      <c r="X14" s="220"/>
      <c r="Y14" s="220"/>
      <c r="AN14" s="334"/>
      <c r="AO14" s="329"/>
      <c r="AP14" s="330"/>
      <c r="AQ14" s="330"/>
      <c r="AR14" s="330"/>
      <c r="AS14" s="330"/>
      <c r="AT14" s="329"/>
      <c r="BE14" s="93"/>
      <c r="BF14" s="93"/>
      <c r="BG14" s="93"/>
      <c r="BH14" s="93"/>
      <c r="BI14" s="93"/>
      <c r="BJ14" s="93"/>
      <c r="BK14" s="93"/>
      <c r="BL14" s="93"/>
      <c r="BM14" s="296"/>
      <c r="BN14" s="178"/>
      <c r="BO14" s="178"/>
      <c r="BP14" s="178"/>
    </row>
    <row r="15" spans="1:69" ht="15" x14ac:dyDescent="0.25">
      <c r="A15" s="220"/>
      <c r="B15" s="220"/>
      <c r="P15" s="128"/>
      <c r="X15" s="220"/>
      <c r="Y15" s="220"/>
      <c r="AN15" s="334"/>
      <c r="AO15" s="329"/>
      <c r="AP15" s="330"/>
      <c r="AQ15" s="330"/>
      <c r="AR15" s="330"/>
      <c r="AS15" s="330"/>
      <c r="AT15" s="329"/>
      <c r="BE15" s="93"/>
      <c r="BF15" s="93"/>
      <c r="BG15" s="93"/>
      <c r="BH15" s="93"/>
      <c r="BI15" s="93"/>
      <c r="BJ15" s="93"/>
      <c r="BK15" s="93"/>
      <c r="BL15" s="93"/>
      <c r="BM15" s="296"/>
      <c r="BN15" s="296"/>
      <c r="BO15" s="296"/>
      <c r="BP15" s="296"/>
    </row>
    <row r="16" spans="1:69" ht="15" x14ac:dyDescent="0.25">
      <c r="A16" s="220"/>
      <c r="B16" s="220"/>
      <c r="P16" s="128"/>
      <c r="X16" s="220"/>
      <c r="Y16" s="220"/>
      <c r="AN16" s="334"/>
      <c r="AO16" s="329"/>
      <c r="AP16" s="330"/>
      <c r="AQ16" s="330"/>
      <c r="AR16" s="330"/>
      <c r="AS16" s="330"/>
      <c r="AT16" s="329"/>
      <c r="BM16" s="296"/>
      <c r="BN16" s="296"/>
      <c r="BO16" s="296"/>
      <c r="BP16" s="296"/>
    </row>
    <row r="17" spans="1:73" ht="15" x14ac:dyDescent="0.25">
      <c r="A17" s="220"/>
      <c r="B17" s="220"/>
      <c r="P17" s="128"/>
      <c r="X17" s="220"/>
      <c r="Y17" s="220"/>
      <c r="AN17" s="334"/>
      <c r="AO17" s="329"/>
      <c r="AP17" s="330"/>
      <c r="AQ17" s="330"/>
      <c r="AR17" s="330"/>
      <c r="AS17" s="330"/>
      <c r="AT17" s="329"/>
      <c r="BM17" s="296"/>
      <c r="BN17" s="298"/>
      <c r="BO17" s="298"/>
      <c r="BP17" s="298"/>
      <c r="BQ17" s="130"/>
      <c r="BR17" s="130"/>
      <c r="BS17" s="130"/>
      <c r="BT17" s="130"/>
      <c r="BU17" s="130"/>
    </row>
    <row r="18" spans="1:73" ht="14.25" x14ac:dyDescent="0.2">
      <c r="A18" s="220"/>
      <c r="B18" s="220"/>
      <c r="P18" s="128"/>
      <c r="X18" s="220"/>
      <c r="Y18" s="220"/>
      <c r="AN18" s="329"/>
      <c r="AO18" s="88"/>
      <c r="AP18" s="330"/>
      <c r="AQ18" s="330"/>
      <c r="AR18" s="330"/>
      <c r="AS18" s="330"/>
      <c r="AT18" s="88"/>
      <c r="BM18" s="296"/>
      <c r="BN18" s="298"/>
      <c r="BO18" s="296"/>
      <c r="BP18" s="296"/>
    </row>
    <row r="19" spans="1:73" ht="14.25" x14ac:dyDescent="0.2">
      <c r="A19" s="220"/>
      <c r="B19" s="220"/>
      <c r="P19" s="128"/>
      <c r="X19" s="220"/>
      <c r="Y19" s="220"/>
      <c r="AN19" s="329"/>
      <c r="AO19" s="88"/>
      <c r="AP19" s="330"/>
      <c r="AQ19" s="330"/>
      <c r="AR19" s="330"/>
      <c r="AS19" s="330"/>
      <c r="AT19" s="88"/>
      <c r="BM19" s="296"/>
      <c r="BN19" s="298"/>
      <c r="BO19" s="296"/>
      <c r="BP19" s="296"/>
    </row>
    <row r="20" spans="1:73" ht="15" x14ac:dyDescent="0.25">
      <c r="A20" s="220"/>
      <c r="B20" s="220"/>
      <c r="P20" s="128"/>
      <c r="X20" s="220"/>
      <c r="Y20" s="220"/>
      <c r="AN20" s="329"/>
      <c r="AO20" s="88"/>
      <c r="AP20" s="331"/>
      <c r="AQ20" s="332"/>
      <c r="AR20" s="331"/>
      <c r="AS20" s="331"/>
      <c r="AT20" s="88"/>
      <c r="BN20" s="298"/>
    </row>
    <row r="21" spans="1:73" ht="14.25" x14ac:dyDescent="0.2">
      <c r="A21" s="220"/>
      <c r="B21" s="220"/>
      <c r="P21" s="128"/>
      <c r="X21" s="220"/>
      <c r="Y21" s="220"/>
      <c r="AN21" s="128"/>
      <c r="AP21" s="128"/>
      <c r="AT21" s="157"/>
    </row>
    <row r="22" spans="1:73" ht="14.25" x14ac:dyDescent="0.2">
      <c r="A22" s="220"/>
      <c r="B22" s="220"/>
      <c r="P22" s="128"/>
      <c r="X22" s="220"/>
      <c r="Y22" s="220"/>
      <c r="AN22" s="128"/>
      <c r="AP22" s="128"/>
      <c r="AT22" s="157"/>
    </row>
    <row r="23" spans="1:73" ht="14.25" x14ac:dyDescent="0.2">
      <c r="A23" s="220"/>
      <c r="B23" s="220"/>
      <c r="P23" s="128"/>
      <c r="X23" s="220"/>
      <c r="Y23" s="220"/>
      <c r="AP23" s="128"/>
      <c r="AT23" s="157"/>
    </row>
    <row r="24" spans="1:73" ht="14.25" x14ac:dyDescent="0.2">
      <c r="A24" s="220"/>
      <c r="B24" s="220"/>
      <c r="P24" s="128"/>
      <c r="X24" s="220"/>
      <c r="Y24" s="220"/>
      <c r="AP24" s="128"/>
      <c r="AT24" s="157"/>
    </row>
    <row r="25" spans="1:73" ht="14.25" x14ac:dyDescent="0.2">
      <c r="A25" s="220"/>
      <c r="B25" s="220"/>
      <c r="X25" s="220"/>
      <c r="Y25" s="220"/>
      <c r="AP25" s="128"/>
      <c r="AT25" s="157"/>
    </row>
    <row r="26" spans="1:73" ht="14.25" x14ac:dyDescent="0.2">
      <c r="A26" s="95"/>
      <c r="B26" s="95"/>
      <c r="X26" s="95"/>
      <c r="Y26" s="95"/>
      <c r="AT26" s="157"/>
    </row>
    <row r="56" spans="1:46" ht="14.25" x14ac:dyDescent="0.2">
      <c r="A56" s="220"/>
      <c r="B56" s="220"/>
      <c r="AT56" s="157"/>
    </row>
    <row r="57" spans="1:46" ht="14.25" x14ac:dyDescent="0.2">
      <c r="A57" s="95"/>
      <c r="B57" s="95"/>
      <c r="AT57" s="157"/>
    </row>
    <row r="62" spans="1:46" ht="14.25" customHeight="1" x14ac:dyDescent="0.2">
      <c r="AT62" s="157"/>
    </row>
    <row r="69" spans="1:46" ht="14.25" x14ac:dyDescent="0.2">
      <c r="A69" s="220"/>
      <c r="B69" s="220"/>
      <c r="AT69" s="157"/>
    </row>
    <row r="70" spans="1:46" ht="14.25" x14ac:dyDescent="0.2">
      <c r="A70" s="95"/>
      <c r="B70" s="95"/>
      <c r="AT70" s="157"/>
    </row>
    <row r="75" spans="1:46" ht="12" customHeight="1" x14ac:dyDescent="0.2">
      <c r="AT75" s="157"/>
    </row>
    <row r="82" spans="1:46" ht="14.25" x14ac:dyDescent="0.2">
      <c r="A82" s="95"/>
      <c r="B82" s="95"/>
      <c r="AT82" s="157"/>
    </row>
    <row r="83" spans="1:46" ht="14.25" x14ac:dyDescent="0.2">
      <c r="A83" s="95"/>
      <c r="B83" s="95"/>
      <c r="AT83" s="157"/>
    </row>
    <row r="95" spans="1:46" ht="14.25" x14ac:dyDescent="0.2">
      <c r="A95" s="95"/>
      <c r="B95" s="95"/>
      <c r="AT95" s="157"/>
    </row>
    <row r="96" spans="1:46" ht="14.25" x14ac:dyDescent="0.2">
      <c r="B96" s="95"/>
      <c r="AT96" s="157"/>
    </row>
    <row r="97" spans="1:46" ht="14.25" x14ac:dyDescent="0.2">
      <c r="A97" s="95"/>
      <c r="B97" s="95"/>
      <c r="AT97" s="157"/>
    </row>
    <row r="98" spans="1:46" ht="14.25" x14ac:dyDescent="0.2">
      <c r="A98" s="95"/>
      <c r="B98" s="95"/>
      <c r="AT98" s="157"/>
    </row>
    <row r="99" spans="1:46" ht="14.25" x14ac:dyDescent="0.2">
      <c r="A99" s="95"/>
      <c r="B99" s="95"/>
      <c r="AT99" s="157"/>
    </row>
    <row r="111" spans="1:46" ht="14.25" x14ac:dyDescent="0.2">
      <c r="A111" s="95"/>
      <c r="B111" s="95"/>
      <c r="AT111" s="157"/>
    </row>
  </sheetData>
  <mergeCells count="4">
    <mergeCell ref="A1:O1"/>
    <mergeCell ref="X1:AL1"/>
    <mergeCell ref="AU1:BI1"/>
    <mergeCell ref="W12:W13"/>
  </mergeCells>
  <pageMargins left="0.7" right="0.7" top="0.75" bottom="0.75" header="0.3" footer="0.3"/>
  <pageSetup paperSize="5" scale="87" orientation="landscape" horizontalDpi="4294967295" r:id="rId1"/>
  <rowBreaks count="1" manualBreakCount="1">
    <brk id="42" max="16383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zoomScale="80" zoomScaleNormal="8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V5" sqref="V5:V7"/>
    </sheetView>
  </sheetViews>
  <sheetFormatPr defaultRowHeight="12.75" x14ac:dyDescent="0.2"/>
  <cols>
    <col min="1" max="1" width="14" style="3" customWidth="1"/>
    <col min="2" max="2" width="9.7109375" style="3" bestFit="1" customWidth="1"/>
    <col min="3" max="9" width="11.5703125" style="3" bestFit="1" customWidth="1"/>
    <col min="10" max="10" width="12.85546875" style="3" customWidth="1"/>
    <col min="11" max="12" width="11.5703125" style="3" bestFit="1" customWidth="1"/>
    <col min="13" max="13" width="12.28515625" style="3" customWidth="1"/>
    <col min="14" max="14" width="11.42578125" style="3" customWidth="1"/>
    <col min="15" max="21" width="11.5703125" style="3" bestFit="1" customWidth="1"/>
    <col min="22" max="22" width="11.5703125" style="3" customWidth="1"/>
    <col min="23" max="24" width="9.140625" style="3"/>
    <col min="25" max="25" width="9.140625" style="23"/>
    <col min="26" max="257" width="9.140625" style="3"/>
    <col min="258" max="258" width="14" style="3" customWidth="1"/>
    <col min="259" max="259" width="9.42578125" style="3" bestFit="1" customWidth="1"/>
    <col min="260" max="265" width="10.28515625" style="3" bestFit="1" customWidth="1"/>
    <col min="266" max="266" width="10.42578125" style="3" bestFit="1" customWidth="1"/>
    <col min="267" max="267" width="11" style="3" customWidth="1"/>
    <col min="268" max="268" width="10.140625" style="3" customWidth="1"/>
    <col min="269" max="269" width="10.28515625" style="3" customWidth="1"/>
    <col min="270" max="270" width="9.5703125" style="3" bestFit="1" customWidth="1"/>
    <col min="271" max="271" width="9.5703125" style="3" customWidth="1"/>
    <col min="272" max="274" width="9.5703125" style="3" bestFit="1" customWidth="1"/>
    <col min="275" max="276" width="9.7109375" style="3" bestFit="1" customWidth="1"/>
    <col min="277" max="277" width="9.140625" style="3"/>
    <col min="278" max="278" width="9.5703125" style="3" bestFit="1" customWidth="1"/>
    <col min="279" max="513" width="9.140625" style="3"/>
    <col min="514" max="514" width="14" style="3" customWidth="1"/>
    <col min="515" max="515" width="9.42578125" style="3" bestFit="1" customWidth="1"/>
    <col min="516" max="521" width="10.28515625" style="3" bestFit="1" customWidth="1"/>
    <col min="522" max="522" width="10.42578125" style="3" bestFit="1" customWidth="1"/>
    <col min="523" max="523" width="11" style="3" customWidth="1"/>
    <col min="524" max="524" width="10.140625" style="3" customWidth="1"/>
    <col min="525" max="525" width="10.28515625" style="3" customWidth="1"/>
    <col min="526" max="526" width="9.5703125" style="3" bestFit="1" customWidth="1"/>
    <col min="527" max="527" width="9.5703125" style="3" customWidth="1"/>
    <col min="528" max="530" width="9.5703125" style="3" bestFit="1" customWidth="1"/>
    <col min="531" max="532" width="9.7109375" style="3" bestFit="1" customWidth="1"/>
    <col min="533" max="533" width="9.140625" style="3"/>
    <col min="534" max="534" width="9.5703125" style="3" bestFit="1" customWidth="1"/>
    <col min="535" max="769" width="9.140625" style="3"/>
    <col min="770" max="770" width="14" style="3" customWidth="1"/>
    <col min="771" max="771" width="9.42578125" style="3" bestFit="1" customWidth="1"/>
    <col min="772" max="777" width="10.28515625" style="3" bestFit="1" customWidth="1"/>
    <col min="778" max="778" width="10.42578125" style="3" bestFit="1" customWidth="1"/>
    <col min="779" max="779" width="11" style="3" customWidth="1"/>
    <col min="780" max="780" width="10.140625" style="3" customWidth="1"/>
    <col min="781" max="781" width="10.28515625" style="3" customWidth="1"/>
    <col min="782" max="782" width="9.5703125" style="3" bestFit="1" customWidth="1"/>
    <col min="783" max="783" width="9.5703125" style="3" customWidth="1"/>
    <col min="784" max="786" width="9.5703125" style="3" bestFit="1" customWidth="1"/>
    <col min="787" max="788" width="9.7109375" style="3" bestFit="1" customWidth="1"/>
    <col min="789" max="789" width="9.140625" style="3"/>
    <col min="790" max="790" width="9.5703125" style="3" bestFit="1" customWidth="1"/>
    <col min="791" max="1025" width="9.140625" style="3"/>
    <col min="1026" max="1026" width="14" style="3" customWidth="1"/>
    <col min="1027" max="1027" width="9.42578125" style="3" bestFit="1" customWidth="1"/>
    <col min="1028" max="1033" width="10.28515625" style="3" bestFit="1" customWidth="1"/>
    <col min="1034" max="1034" width="10.42578125" style="3" bestFit="1" customWidth="1"/>
    <col min="1035" max="1035" width="11" style="3" customWidth="1"/>
    <col min="1036" max="1036" width="10.140625" style="3" customWidth="1"/>
    <col min="1037" max="1037" width="10.28515625" style="3" customWidth="1"/>
    <col min="1038" max="1038" width="9.5703125" style="3" bestFit="1" customWidth="1"/>
    <col min="1039" max="1039" width="9.5703125" style="3" customWidth="1"/>
    <col min="1040" max="1042" width="9.5703125" style="3" bestFit="1" customWidth="1"/>
    <col min="1043" max="1044" width="9.7109375" style="3" bestFit="1" customWidth="1"/>
    <col min="1045" max="1045" width="9.140625" style="3"/>
    <col min="1046" max="1046" width="9.5703125" style="3" bestFit="1" customWidth="1"/>
    <col min="1047" max="1281" width="9.140625" style="3"/>
    <col min="1282" max="1282" width="14" style="3" customWidth="1"/>
    <col min="1283" max="1283" width="9.42578125" style="3" bestFit="1" customWidth="1"/>
    <col min="1284" max="1289" width="10.28515625" style="3" bestFit="1" customWidth="1"/>
    <col min="1290" max="1290" width="10.42578125" style="3" bestFit="1" customWidth="1"/>
    <col min="1291" max="1291" width="11" style="3" customWidth="1"/>
    <col min="1292" max="1292" width="10.140625" style="3" customWidth="1"/>
    <col min="1293" max="1293" width="10.28515625" style="3" customWidth="1"/>
    <col min="1294" max="1294" width="9.5703125" style="3" bestFit="1" customWidth="1"/>
    <col min="1295" max="1295" width="9.5703125" style="3" customWidth="1"/>
    <col min="1296" max="1298" width="9.5703125" style="3" bestFit="1" customWidth="1"/>
    <col min="1299" max="1300" width="9.7109375" style="3" bestFit="1" customWidth="1"/>
    <col min="1301" max="1301" width="9.140625" style="3"/>
    <col min="1302" max="1302" width="9.5703125" style="3" bestFit="1" customWidth="1"/>
    <col min="1303" max="1537" width="9.140625" style="3"/>
    <col min="1538" max="1538" width="14" style="3" customWidth="1"/>
    <col min="1539" max="1539" width="9.42578125" style="3" bestFit="1" customWidth="1"/>
    <col min="1540" max="1545" width="10.28515625" style="3" bestFit="1" customWidth="1"/>
    <col min="1546" max="1546" width="10.42578125" style="3" bestFit="1" customWidth="1"/>
    <col min="1547" max="1547" width="11" style="3" customWidth="1"/>
    <col min="1548" max="1548" width="10.140625" style="3" customWidth="1"/>
    <col min="1549" max="1549" width="10.28515625" style="3" customWidth="1"/>
    <col min="1550" max="1550" width="9.5703125" style="3" bestFit="1" customWidth="1"/>
    <col min="1551" max="1551" width="9.5703125" style="3" customWidth="1"/>
    <col min="1552" max="1554" width="9.5703125" style="3" bestFit="1" customWidth="1"/>
    <col min="1555" max="1556" width="9.7109375" style="3" bestFit="1" customWidth="1"/>
    <col min="1557" max="1557" width="9.140625" style="3"/>
    <col min="1558" max="1558" width="9.5703125" style="3" bestFit="1" customWidth="1"/>
    <col min="1559" max="1793" width="9.140625" style="3"/>
    <col min="1794" max="1794" width="14" style="3" customWidth="1"/>
    <col min="1795" max="1795" width="9.42578125" style="3" bestFit="1" customWidth="1"/>
    <col min="1796" max="1801" width="10.28515625" style="3" bestFit="1" customWidth="1"/>
    <col min="1802" max="1802" width="10.42578125" style="3" bestFit="1" customWidth="1"/>
    <col min="1803" max="1803" width="11" style="3" customWidth="1"/>
    <col min="1804" max="1804" width="10.140625" style="3" customWidth="1"/>
    <col min="1805" max="1805" width="10.28515625" style="3" customWidth="1"/>
    <col min="1806" max="1806" width="9.5703125" style="3" bestFit="1" customWidth="1"/>
    <col min="1807" max="1807" width="9.5703125" style="3" customWidth="1"/>
    <col min="1808" max="1810" width="9.5703125" style="3" bestFit="1" customWidth="1"/>
    <col min="1811" max="1812" width="9.7109375" style="3" bestFit="1" customWidth="1"/>
    <col min="1813" max="1813" width="9.140625" style="3"/>
    <col min="1814" max="1814" width="9.5703125" style="3" bestFit="1" customWidth="1"/>
    <col min="1815" max="2049" width="9.140625" style="3"/>
    <col min="2050" max="2050" width="14" style="3" customWidth="1"/>
    <col min="2051" max="2051" width="9.42578125" style="3" bestFit="1" customWidth="1"/>
    <col min="2052" max="2057" width="10.28515625" style="3" bestFit="1" customWidth="1"/>
    <col min="2058" max="2058" width="10.42578125" style="3" bestFit="1" customWidth="1"/>
    <col min="2059" max="2059" width="11" style="3" customWidth="1"/>
    <col min="2060" max="2060" width="10.140625" style="3" customWidth="1"/>
    <col min="2061" max="2061" width="10.28515625" style="3" customWidth="1"/>
    <col min="2062" max="2062" width="9.5703125" style="3" bestFit="1" customWidth="1"/>
    <col min="2063" max="2063" width="9.5703125" style="3" customWidth="1"/>
    <col min="2064" max="2066" width="9.5703125" style="3" bestFit="1" customWidth="1"/>
    <col min="2067" max="2068" width="9.7109375" style="3" bestFit="1" customWidth="1"/>
    <col min="2069" max="2069" width="9.140625" style="3"/>
    <col min="2070" max="2070" width="9.5703125" style="3" bestFit="1" customWidth="1"/>
    <col min="2071" max="2305" width="9.140625" style="3"/>
    <col min="2306" max="2306" width="14" style="3" customWidth="1"/>
    <col min="2307" max="2307" width="9.42578125" style="3" bestFit="1" customWidth="1"/>
    <col min="2308" max="2313" width="10.28515625" style="3" bestFit="1" customWidth="1"/>
    <col min="2314" max="2314" width="10.42578125" style="3" bestFit="1" customWidth="1"/>
    <col min="2315" max="2315" width="11" style="3" customWidth="1"/>
    <col min="2316" max="2316" width="10.140625" style="3" customWidth="1"/>
    <col min="2317" max="2317" width="10.28515625" style="3" customWidth="1"/>
    <col min="2318" max="2318" width="9.5703125" style="3" bestFit="1" customWidth="1"/>
    <col min="2319" max="2319" width="9.5703125" style="3" customWidth="1"/>
    <col min="2320" max="2322" width="9.5703125" style="3" bestFit="1" customWidth="1"/>
    <col min="2323" max="2324" width="9.7109375" style="3" bestFit="1" customWidth="1"/>
    <col min="2325" max="2325" width="9.140625" style="3"/>
    <col min="2326" max="2326" width="9.5703125" style="3" bestFit="1" customWidth="1"/>
    <col min="2327" max="2561" width="9.140625" style="3"/>
    <col min="2562" max="2562" width="14" style="3" customWidth="1"/>
    <col min="2563" max="2563" width="9.42578125" style="3" bestFit="1" customWidth="1"/>
    <col min="2564" max="2569" width="10.28515625" style="3" bestFit="1" customWidth="1"/>
    <col min="2570" max="2570" width="10.42578125" style="3" bestFit="1" customWidth="1"/>
    <col min="2571" max="2571" width="11" style="3" customWidth="1"/>
    <col min="2572" max="2572" width="10.140625" style="3" customWidth="1"/>
    <col min="2573" max="2573" width="10.28515625" style="3" customWidth="1"/>
    <col min="2574" max="2574" width="9.5703125" style="3" bestFit="1" customWidth="1"/>
    <col min="2575" max="2575" width="9.5703125" style="3" customWidth="1"/>
    <col min="2576" max="2578" width="9.5703125" style="3" bestFit="1" customWidth="1"/>
    <col min="2579" max="2580" width="9.7109375" style="3" bestFit="1" customWidth="1"/>
    <col min="2581" max="2581" width="9.140625" style="3"/>
    <col min="2582" max="2582" width="9.5703125" style="3" bestFit="1" customWidth="1"/>
    <col min="2583" max="2817" width="9.140625" style="3"/>
    <col min="2818" max="2818" width="14" style="3" customWidth="1"/>
    <col min="2819" max="2819" width="9.42578125" style="3" bestFit="1" customWidth="1"/>
    <col min="2820" max="2825" width="10.28515625" style="3" bestFit="1" customWidth="1"/>
    <col min="2826" max="2826" width="10.42578125" style="3" bestFit="1" customWidth="1"/>
    <col min="2827" max="2827" width="11" style="3" customWidth="1"/>
    <col min="2828" max="2828" width="10.140625" style="3" customWidth="1"/>
    <col min="2829" max="2829" width="10.28515625" style="3" customWidth="1"/>
    <col min="2830" max="2830" width="9.5703125" style="3" bestFit="1" customWidth="1"/>
    <col min="2831" max="2831" width="9.5703125" style="3" customWidth="1"/>
    <col min="2832" max="2834" width="9.5703125" style="3" bestFit="1" customWidth="1"/>
    <col min="2835" max="2836" width="9.7109375" style="3" bestFit="1" customWidth="1"/>
    <col min="2837" max="2837" width="9.140625" style="3"/>
    <col min="2838" max="2838" width="9.5703125" style="3" bestFit="1" customWidth="1"/>
    <col min="2839" max="3073" width="9.140625" style="3"/>
    <col min="3074" max="3074" width="14" style="3" customWidth="1"/>
    <col min="3075" max="3075" width="9.42578125" style="3" bestFit="1" customWidth="1"/>
    <col min="3076" max="3081" width="10.28515625" style="3" bestFit="1" customWidth="1"/>
    <col min="3082" max="3082" width="10.42578125" style="3" bestFit="1" customWidth="1"/>
    <col min="3083" max="3083" width="11" style="3" customWidth="1"/>
    <col min="3084" max="3084" width="10.140625" style="3" customWidth="1"/>
    <col min="3085" max="3085" width="10.28515625" style="3" customWidth="1"/>
    <col min="3086" max="3086" width="9.5703125" style="3" bestFit="1" customWidth="1"/>
    <col min="3087" max="3087" width="9.5703125" style="3" customWidth="1"/>
    <col min="3088" max="3090" width="9.5703125" style="3" bestFit="1" customWidth="1"/>
    <col min="3091" max="3092" width="9.7109375" style="3" bestFit="1" customWidth="1"/>
    <col min="3093" max="3093" width="9.140625" style="3"/>
    <col min="3094" max="3094" width="9.5703125" style="3" bestFit="1" customWidth="1"/>
    <col min="3095" max="3329" width="9.140625" style="3"/>
    <col min="3330" max="3330" width="14" style="3" customWidth="1"/>
    <col min="3331" max="3331" width="9.42578125" style="3" bestFit="1" customWidth="1"/>
    <col min="3332" max="3337" width="10.28515625" style="3" bestFit="1" customWidth="1"/>
    <col min="3338" max="3338" width="10.42578125" style="3" bestFit="1" customWidth="1"/>
    <col min="3339" max="3339" width="11" style="3" customWidth="1"/>
    <col min="3340" max="3340" width="10.140625" style="3" customWidth="1"/>
    <col min="3341" max="3341" width="10.28515625" style="3" customWidth="1"/>
    <col min="3342" max="3342" width="9.5703125" style="3" bestFit="1" customWidth="1"/>
    <col min="3343" max="3343" width="9.5703125" style="3" customWidth="1"/>
    <col min="3344" max="3346" width="9.5703125" style="3" bestFit="1" customWidth="1"/>
    <col min="3347" max="3348" width="9.7109375" style="3" bestFit="1" customWidth="1"/>
    <col min="3349" max="3349" width="9.140625" style="3"/>
    <col min="3350" max="3350" width="9.5703125" style="3" bestFit="1" customWidth="1"/>
    <col min="3351" max="3585" width="9.140625" style="3"/>
    <col min="3586" max="3586" width="14" style="3" customWidth="1"/>
    <col min="3587" max="3587" width="9.42578125" style="3" bestFit="1" customWidth="1"/>
    <col min="3588" max="3593" width="10.28515625" style="3" bestFit="1" customWidth="1"/>
    <col min="3594" max="3594" width="10.42578125" style="3" bestFit="1" customWidth="1"/>
    <col min="3595" max="3595" width="11" style="3" customWidth="1"/>
    <col min="3596" max="3596" width="10.140625" style="3" customWidth="1"/>
    <col min="3597" max="3597" width="10.28515625" style="3" customWidth="1"/>
    <col min="3598" max="3598" width="9.5703125" style="3" bestFit="1" customWidth="1"/>
    <col min="3599" max="3599" width="9.5703125" style="3" customWidth="1"/>
    <col min="3600" max="3602" width="9.5703125" style="3" bestFit="1" customWidth="1"/>
    <col min="3603" max="3604" width="9.7109375" style="3" bestFit="1" customWidth="1"/>
    <col min="3605" max="3605" width="9.140625" style="3"/>
    <col min="3606" max="3606" width="9.5703125" style="3" bestFit="1" customWidth="1"/>
    <col min="3607" max="3841" width="9.140625" style="3"/>
    <col min="3842" max="3842" width="14" style="3" customWidth="1"/>
    <col min="3843" max="3843" width="9.42578125" style="3" bestFit="1" customWidth="1"/>
    <col min="3844" max="3849" width="10.28515625" style="3" bestFit="1" customWidth="1"/>
    <col min="3850" max="3850" width="10.42578125" style="3" bestFit="1" customWidth="1"/>
    <col min="3851" max="3851" width="11" style="3" customWidth="1"/>
    <col min="3852" max="3852" width="10.140625" style="3" customWidth="1"/>
    <col min="3853" max="3853" width="10.28515625" style="3" customWidth="1"/>
    <col min="3854" max="3854" width="9.5703125" style="3" bestFit="1" customWidth="1"/>
    <col min="3855" max="3855" width="9.5703125" style="3" customWidth="1"/>
    <col min="3856" max="3858" width="9.5703125" style="3" bestFit="1" customWidth="1"/>
    <col min="3859" max="3860" width="9.7109375" style="3" bestFit="1" customWidth="1"/>
    <col min="3861" max="3861" width="9.140625" style="3"/>
    <col min="3862" max="3862" width="9.5703125" style="3" bestFit="1" customWidth="1"/>
    <col min="3863" max="4097" width="9.140625" style="3"/>
    <col min="4098" max="4098" width="14" style="3" customWidth="1"/>
    <col min="4099" max="4099" width="9.42578125" style="3" bestFit="1" customWidth="1"/>
    <col min="4100" max="4105" width="10.28515625" style="3" bestFit="1" customWidth="1"/>
    <col min="4106" max="4106" width="10.42578125" style="3" bestFit="1" customWidth="1"/>
    <col min="4107" max="4107" width="11" style="3" customWidth="1"/>
    <col min="4108" max="4108" width="10.140625" style="3" customWidth="1"/>
    <col min="4109" max="4109" width="10.28515625" style="3" customWidth="1"/>
    <col min="4110" max="4110" width="9.5703125" style="3" bestFit="1" customWidth="1"/>
    <col min="4111" max="4111" width="9.5703125" style="3" customWidth="1"/>
    <col min="4112" max="4114" width="9.5703125" style="3" bestFit="1" customWidth="1"/>
    <col min="4115" max="4116" width="9.7109375" style="3" bestFit="1" customWidth="1"/>
    <col min="4117" max="4117" width="9.140625" style="3"/>
    <col min="4118" max="4118" width="9.5703125" style="3" bestFit="1" customWidth="1"/>
    <col min="4119" max="4353" width="9.140625" style="3"/>
    <col min="4354" max="4354" width="14" style="3" customWidth="1"/>
    <col min="4355" max="4355" width="9.42578125" style="3" bestFit="1" customWidth="1"/>
    <col min="4356" max="4361" width="10.28515625" style="3" bestFit="1" customWidth="1"/>
    <col min="4362" max="4362" width="10.42578125" style="3" bestFit="1" customWidth="1"/>
    <col min="4363" max="4363" width="11" style="3" customWidth="1"/>
    <col min="4364" max="4364" width="10.140625" style="3" customWidth="1"/>
    <col min="4365" max="4365" width="10.28515625" style="3" customWidth="1"/>
    <col min="4366" max="4366" width="9.5703125" style="3" bestFit="1" customWidth="1"/>
    <col min="4367" max="4367" width="9.5703125" style="3" customWidth="1"/>
    <col min="4368" max="4370" width="9.5703125" style="3" bestFit="1" customWidth="1"/>
    <col min="4371" max="4372" width="9.7109375" style="3" bestFit="1" customWidth="1"/>
    <col min="4373" max="4373" width="9.140625" style="3"/>
    <col min="4374" max="4374" width="9.5703125" style="3" bestFit="1" customWidth="1"/>
    <col min="4375" max="4609" width="9.140625" style="3"/>
    <col min="4610" max="4610" width="14" style="3" customWidth="1"/>
    <col min="4611" max="4611" width="9.42578125" style="3" bestFit="1" customWidth="1"/>
    <col min="4612" max="4617" width="10.28515625" style="3" bestFit="1" customWidth="1"/>
    <col min="4618" max="4618" width="10.42578125" style="3" bestFit="1" customWidth="1"/>
    <col min="4619" max="4619" width="11" style="3" customWidth="1"/>
    <col min="4620" max="4620" width="10.140625" style="3" customWidth="1"/>
    <col min="4621" max="4621" width="10.28515625" style="3" customWidth="1"/>
    <col min="4622" max="4622" width="9.5703125" style="3" bestFit="1" customWidth="1"/>
    <col min="4623" max="4623" width="9.5703125" style="3" customWidth="1"/>
    <col min="4624" max="4626" width="9.5703125" style="3" bestFit="1" customWidth="1"/>
    <col min="4627" max="4628" width="9.7109375" style="3" bestFit="1" customWidth="1"/>
    <col min="4629" max="4629" width="9.140625" style="3"/>
    <col min="4630" max="4630" width="9.5703125" style="3" bestFit="1" customWidth="1"/>
    <col min="4631" max="4865" width="9.140625" style="3"/>
    <col min="4866" max="4866" width="14" style="3" customWidth="1"/>
    <col min="4867" max="4867" width="9.42578125" style="3" bestFit="1" customWidth="1"/>
    <col min="4868" max="4873" width="10.28515625" style="3" bestFit="1" customWidth="1"/>
    <col min="4874" max="4874" width="10.42578125" style="3" bestFit="1" customWidth="1"/>
    <col min="4875" max="4875" width="11" style="3" customWidth="1"/>
    <col min="4876" max="4876" width="10.140625" style="3" customWidth="1"/>
    <col min="4877" max="4877" width="10.28515625" style="3" customWidth="1"/>
    <col min="4878" max="4878" width="9.5703125" style="3" bestFit="1" customWidth="1"/>
    <col min="4879" max="4879" width="9.5703125" style="3" customWidth="1"/>
    <col min="4880" max="4882" width="9.5703125" style="3" bestFit="1" customWidth="1"/>
    <col min="4883" max="4884" width="9.7109375" style="3" bestFit="1" customWidth="1"/>
    <col min="4885" max="4885" width="9.140625" style="3"/>
    <col min="4886" max="4886" width="9.5703125" style="3" bestFit="1" customWidth="1"/>
    <col min="4887" max="5121" width="9.140625" style="3"/>
    <col min="5122" max="5122" width="14" style="3" customWidth="1"/>
    <col min="5123" max="5123" width="9.42578125" style="3" bestFit="1" customWidth="1"/>
    <col min="5124" max="5129" width="10.28515625" style="3" bestFit="1" customWidth="1"/>
    <col min="5130" max="5130" width="10.42578125" style="3" bestFit="1" customWidth="1"/>
    <col min="5131" max="5131" width="11" style="3" customWidth="1"/>
    <col min="5132" max="5132" width="10.140625" style="3" customWidth="1"/>
    <col min="5133" max="5133" width="10.28515625" style="3" customWidth="1"/>
    <col min="5134" max="5134" width="9.5703125" style="3" bestFit="1" customWidth="1"/>
    <col min="5135" max="5135" width="9.5703125" style="3" customWidth="1"/>
    <col min="5136" max="5138" width="9.5703125" style="3" bestFit="1" customWidth="1"/>
    <col min="5139" max="5140" width="9.7109375" style="3" bestFit="1" customWidth="1"/>
    <col min="5141" max="5141" width="9.140625" style="3"/>
    <col min="5142" max="5142" width="9.5703125" style="3" bestFit="1" customWidth="1"/>
    <col min="5143" max="5377" width="9.140625" style="3"/>
    <col min="5378" max="5378" width="14" style="3" customWidth="1"/>
    <col min="5379" max="5379" width="9.42578125" style="3" bestFit="1" customWidth="1"/>
    <col min="5380" max="5385" width="10.28515625" style="3" bestFit="1" customWidth="1"/>
    <col min="5386" max="5386" width="10.42578125" style="3" bestFit="1" customWidth="1"/>
    <col min="5387" max="5387" width="11" style="3" customWidth="1"/>
    <col min="5388" max="5388" width="10.140625" style="3" customWidth="1"/>
    <col min="5389" max="5389" width="10.28515625" style="3" customWidth="1"/>
    <col min="5390" max="5390" width="9.5703125" style="3" bestFit="1" customWidth="1"/>
    <col min="5391" max="5391" width="9.5703125" style="3" customWidth="1"/>
    <col min="5392" max="5394" width="9.5703125" style="3" bestFit="1" customWidth="1"/>
    <col min="5395" max="5396" width="9.7109375" style="3" bestFit="1" customWidth="1"/>
    <col min="5397" max="5397" width="9.140625" style="3"/>
    <col min="5398" max="5398" width="9.5703125" style="3" bestFit="1" customWidth="1"/>
    <col min="5399" max="5633" width="9.140625" style="3"/>
    <col min="5634" max="5634" width="14" style="3" customWidth="1"/>
    <col min="5635" max="5635" width="9.42578125" style="3" bestFit="1" customWidth="1"/>
    <col min="5636" max="5641" width="10.28515625" style="3" bestFit="1" customWidth="1"/>
    <col min="5642" max="5642" width="10.42578125" style="3" bestFit="1" customWidth="1"/>
    <col min="5643" max="5643" width="11" style="3" customWidth="1"/>
    <col min="5644" max="5644" width="10.140625" style="3" customWidth="1"/>
    <col min="5645" max="5645" width="10.28515625" style="3" customWidth="1"/>
    <col min="5646" max="5646" width="9.5703125" style="3" bestFit="1" customWidth="1"/>
    <col min="5647" max="5647" width="9.5703125" style="3" customWidth="1"/>
    <col min="5648" max="5650" width="9.5703125" style="3" bestFit="1" customWidth="1"/>
    <col min="5651" max="5652" width="9.7109375" style="3" bestFit="1" customWidth="1"/>
    <col min="5653" max="5653" width="9.140625" style="3"/>
    <col min="5654" max="5654" width="9.5703125" style="3" bestFit="1" customWidth="1"/>
    <col min="5655" max="5889" width="9.140625" style="3"/>
    <col min="5890" max="5890" width="14" style="3" customWidth="1"/>
    <col min="5891" max="5891" width="9.42578125" style="3" bestFit="1" customWidth="1"/>
    <col min="5892" max="5897" width="10.28515625" style="3" bestFit="1" customWidth="1"/>
    <col min="5898" max="5898" width="10.42578125" style="3" bestFit="1" customWidth="1"/>
    <col min="5899" max="5899" width="11" style="3" customWidth="1"/>
    <col min="5900" max="5900" width="10.140625" style="3" customWidth="1"/>
    <col min="5901" max="5901" width="10.28515625" style="3" customWidth="1"/>
    <col min="5902" max="5902" width="9.5703125" style="3" bestFit="1" customWidth="1"/>
    <col min="5903" max="5903" width="9.5703125" style="3" customWidth="1"/>
    <col min="5904" max="5906" width="9.5703125" style="3" bestFit="1" customWidth="1"/>
    <col min="5907" max="5908" width="9.7109375" style="3" bestFit="1" customWidth="1"/>
    <col min="5909" max="5909" width="9.140625" style="3"/>
    <col min="5910" max="5910" width="9.5703125" style="3" bestFit="1" customWidth="1"/>
    <col min="5911" max="6145" width="9.140625" style="3"/>
    <col min="6146" max="6146" width="14" style="3" customWidth="1"/>
    <col min="6147" max="6147" width="9.42578125" style="3" bestFit="1" customWidth="1"/>
    <col min="6148" max="6153" width="10.28515625" style="3" bestFit="1" customWidth="1"/>
    <col min="6154" max="6154" width="10.42578125" style="3" bestFit="1" customWidth="1"/>
    <col min="6155" max="6155" width="11" style="3" customWidth="1"/>
    <col min="6156" max="6156" width="10.140625" style="3" customWidth="1"/>
    <col min="6157" max="6157" width="10.28515625" style="3" customWidth="1"/>
    <col min="6158" max="6158" width="9.5703125" style="3" bestFit="1" customWidth="1"/>
    <col min="6159" max="6159" width="9.5703125" style="3" customWidth="1"/>
    <col min="6160" max="6162" width="9.5703125" style="3" bestFit="1" customWidth="1"/>
    <col min="6163" max="6164" width="9.7109375" style="3" bestFit="1" customWidth="1"/>
    <col min="6165" max="6165" width="9.140625" style="3"/>
    <col min="6166" max="6166" width="9.5703125" style="3" bestFit="1" customWidth="1"/>
    <col min="6167" max="6401" width="9.140625" style="3"/>
    <col min="6402" max="6402" width="14" style="3" customWidth="1"/>
    <col min="6403" max="6403" width="9.42578125" style="3" bestFit="1" customWidth="1"/>
    <col min="6404" max="6409" width="10.28515625" style="3" bestFit="1" customWidth="1"/>
    <col min="6410" max="6410" width="10.42578125" style="3" bestFit="1" customWidth="1"/>
    <col min="6411" max="6411" width="11" style="3" customWidth="1"/>
    <col min="6412" max="6412" width="10.140625" style="3" customWidth="1"/>
    <col min="6413" max="6413" width="10.28515625" style="3" customWidth="1"/>
    <col min="6414" max="6414" width="9.5703125" style="3" bestFit="1" customWidth="1"/>
    <col min="6415" max="6415" width="9.5703125" style="3" customWidth="1"/>
    <col min="6416" max="6418" width="9.5703125" style="3" bestFit="1" customWidth="1"/>
    <col min="6419" max="6420" width="9.7109375" style="3" bestFit="1" customWidth="1"/>
    <col min="6421" max="6421" width="9.140625" style="3"/>
    <col min="6422" max="6422" width="9.5703125" style="3" bestFit="1" customWidth="1"/>
    <col min="6423" max="6657" width="9.140625" style="3"/>
    <col min="6658" max="6658" width="14" style="3" customWidth="1"/>
    <col min="6659" max="6659" width="9.42578125" style="3" bestFit="1" customWidth="1"/>
    <col min="6660" max="6665" width="10.28515625" style="3" bestFit="1" customWidth="1"/>
    <col min="6666" max="6666" width="10.42578125" style="3" bestFit="1" customWidth="1"/>
    <col min="6667" max="6667" width="11" style="3" customWidth="1"/>
    <col min="6668" max="6668" width="10.140625" style="3" customWidth="1"/>
    <col min="6669" max="6669" width="10.28515625" style="3" customWidth="1"/>
    <col min="6670" max="6670" width="9.5703125" style="3" bestFit="1" customWidth="1"/>
    <col min="6671" max="6671" width="9.5703125" style="3" customWidth="1"/>
    <col min="6672" max="6674" width="9.5703125" style="3" bestFit="1" customWidth="1"/>
    <col min="6675" max="6676" width="9.7109375" style="3" bestFit="1" customWidth="1"/>
    <col min="6677" max="6677" width="9.140625" style="3"/>
    <col min="6678" max="6678" width="9.5703125" style="3" bestFit="1" customWidth="1"/>
    <col min="6679" max="6913" width="9.140625" style="3"/>
    <col min="6914" max="6914" width="14" style="3" customWidth="1"/>
    <col min="6915" max="6915" width="9.42578125" style="3" bestFit="1" customWidth="1"/>
    <col min="6916" max="6921" width="10.28515625" style="3" bestFit="1" customWidth="1"/>
    <col min="6922" max="6922" width="10.42578125" style="3" bestFit="1" customWidth="1"/>
    <col min="6923" max="6923" width="11" style="3" customWidth="1"/>
    <col min="6924" max="6924" width="10.140625" style="3" customWidth="1"/>
    <col min="6925" max="6925" width="10.28515625" style="3" customWidth="1"/>
    <col min="6926" max="6926" width="9.5703125" style="3" bestFit="1" customWidth="1"/>
    <col min="6927" max="6927" width="9.5703125" style="3" customWidth="1"/>
    <col min="6928" max="6930" width="9.5703125" style="3" bestFit="1" customWidth="1"/>
    <col min="6931" max="6932" width="9.7109375" style="3" bestFit="1" customWidth="1"/>
    <col min="6933" max="6933" width="9.140625" style="3"/>
    <col min="6934" max="6934" width="9.5703125" style="3" bestFit="1" customWidth="1"/>
    <col min="6935" max="7169" width="9.140625" style="3"/>
    <col min="7170" max="7170" width="14" style="3" customWidth="1"/>
    <col min="7171" max="7171" width="9.42578125" style="3" bestFit="1" customWidth="1"/>
    <col min="7172" max="7177" width="10.28515625" style="3" bestFit="1" customWidth="1"/>
    <col min="7178" max="7178" width="10.42578125" style="3" bestFit="1" customWidth="1"/>
    <col min="7179" max="7179" width="11" style="3" customWidth="1"/>
    <col min="7180" max="7180" width="10.140625" style="3" customWidth="1"/>
    <col min="7181" max="7181" width="10.28515625" style="3" customWidth="1"/>
    <col min="7182" max="7182" width="9.5703125" style="3" bestFit="1" customWidth="1"/>
    <col min="7183" max="7183" width="9.5703125" style="3" customWidth="1"/>
    <col min="7184" max="7186" width="9.5703125" style="3" bestFit="1" customWidth="1"/>
    <col min="7187" max="7188" width="9.7109375" style="3" bestFit="1" customWidth="1"/>
    <col min="7189" max="7189" width="9.140625" style="3"/>
    <col min="7190" max="7190" width="9.5703125" style="3" bestFit="1" customWidth="1"/>
    <col min="7191" max="7425" width="9.140625" style="3"/>
    <col min="7426" max="7426" width="14" style="3" customWidth="1"/>
    <col min="7427" max="7427" width="9.42578125" style="3" bestFit="1" customWidth="1"/>
    <col min="7428" max="7433" width="10.28515625" style="3" bestFit="1" customWidth="1"/>
    <col min="7434" max="7434" width="10.42578125" style="3" bestFit="1" customWidth="1"/>
    <col min="7435" max="7435" width="11" style="3" customWidth="1"/>
    <col min="7436" max="7436" width="10.140625" style="3" customWidth="1"/>
    <col min="7437" max="7437" width="10.28515625" style="3" customWidth="1"/>
    <col min="7438" max="7438" width="9.5703125" style="3" bestFit="1" customWidth="1"/>
    <col min="7439" max="7439" width="9.5703125" style="3" customWidth="1"/>
    <col min="7440" max="7442" width="9.5703125" style="3" bestFit="1" customWidth="1"/>
    <col min="7443" max="7444" width="9.7109375" style="3" bestFit="1" customWidth="1"/>
    <col min="7445" max="7445" width="9.140625" style="3"/>
    <col min="7446" max="7446" width="9.5703125" style="3" bestFit="1" customWidth="1"/>
    <col min="7447" max="7681" width="9.140625" style="3"/>
    <col min="7682" max="7682" width="14" style="3" customWidth="1"/>
    <col min="7683" max="7683" width="9.42578125" style="3" bestFit="1" customWidth="1"/>
    <col min="7684" max="7689" width="10.28515625" style="3" bestFit="1" customWidth="1"/>
    <col min="7690" max="7690" width="10.42578125" style="3" bestFit="1" customWidth="1"/>
    <col min="7691" max="7691" width="11" style="3" customWidth="1"/>
    <col min="7692" max="7692" width="10.140625" style="3" customWidth="1"/>
    <col min="7693" max="7693" width="10.28515625" style="3" customWidth="1"/>
    <col min="7694" max="7694" width="9.5703125" style="3" bestFit="1" customWidth="1"/>
    <col min="7695" max="7695" width="9.5703125" style="3" customWidth="1"/>
    <col min="7696" max="7698" width="9.5703125" style="3" bestFit="1" customWidth="1"/>
    <col min="7699" max="7700" width="9.7109375" style="3" bestFit="1" customWidth="1"/>
    <col min="7701" max="7701" width="9.140625" style="3"/>
    <col min="7702" max="7702" width="9.5703125" style="3" bestFit="1" customWidth="1"/>
    <col min="7703" max="7937" width="9.140625" style="3"/>
    <col min="7938" max="7938" width="14" style="3" customWidth="1"/>
    <col min="7939" max="7939" width="9.42578125" style="3" bestFit="1" customWidth="1"/>
    <col min="7940" max="7945" width="10.28515625" style="3" bestFit="1" customWidth="1"/>
    <col min="7946" max="7946" width="10.42578125" style="3" bestFit="1" customWidth="1"/>
    <col min="7947" max="7947" width="11" style="3" customWidth="1"/>
    <col min="7948" max="7948" width="10.140625" style="3" customWidth="1"/>
    <col min="7949" max="7949" width="10.28515625" style="3" customWidth="1"/>
    <col min="7950" max="7950" width="9.5703125" style="3" bestFit="1" customWidth="1"/>
    <col min="7951" max="7951" width="9.5703125" style="3" customWidth="1"/>
    <col min="7952" max="7954" width="9.5703125" style="3" bestFit="1" customWidth="1"/>
    <col min="7955" max="7956" width="9.7109375" style="3" bestFit="1" customWidth="1"/>
    <col min="7957" max="7957" width="9.140625" style="3"/>
    <col min="7958" max="7958" width="9.5703125" style="3" bestFit="1" customWidth="1"/>
    <col min="7959" max="8193" width="9.140625" style="3"/>
    <col min="8194" max="8194" width="14" style="3" customWidth="1"/>
    <col min="8195" max="8195" width="9.42578125" style="3" bestFit="1" customWidth="1"/>
    <col min="8196" max="8201" width="10.28515625" style="3" bestFit="1" customWidth="1"/>
    <col min="8202" max="8202" width="10.42578125" style="3" bestFit="1" customWidth="1"/>
    <col min="8203" max="8203" width="11" style="3" customWidth="1"/>
    <col min="8204" max="8204" width="10.140625" style="3" customWidth="1"/>
    <col min="8205" max="8205" width="10.28515625" style="3" customWidth="1"/>
    <col min="8206" max="8206" width="9.5703125" style="3" bestFit="1" customWidth="1"/>
    <col min="8207" max="8207" width="9.5703125" style="3" customWidth="1"/>
    <col min="8208" max="8210" width="9.5703125" style="3" bestFit="1" customWidth="1"/>
    <col min="8211" max="8212" width="9.7109375" style="3" bestFit="1" customWidth="1"/>
    <col min="8213" max="8213" width="9.140625" style="3"/>
    <col min="8214" max="8214" width="9.5703125" style="3" bestFit="1" customWidth="1"/>
    <col min="8215" max="8449" width="9.140625" style="3"/>
    <col min="8450" max="8450" width="14" style="3" customWidth="1"/>
    <col min="8451" max="8451" width="9.42578125" style="3" bestFit="1" customWidth="1"/>
    <col min="8452" max="8457" width="10.28515625" style="3" bestFit="1" customWidth="1"/>
    <col min="8458" max="8458" width="10.42578125" style="3" bestFit="1" customWidth="1"/>
    <col min="8459" max="8459" width="11" style="3" customWidth="1"/>
    <col min="8460" max="8460" width="10.140625" style="3" customWidth="1"/>
    <col min="8461" max="8461" width="10.28515625" style="3" customWidth="1"/>
    <col min="8462" max="8462" width="9.5703125" style="3" bestFit="1" customWidth="1"/>
    <col min="8463" max="8463" width="9.5703125" style="3" customWidth="1"/>
    <col min="8464" max="8466" width="9.5703125" style="3" bestFit="1" customWidth="1"/>
    <col min="8467" max="8468" width="9.7109375" style="3" bestFit="1" customWidth="1"/>
    <col min="8469" max="8469" width="9.140625" style="3"/>
    <col min="8470" max="8470" width="9.5703125" style="3" bestFit="1" customWidth="1"/>
    <col min="8471" max="8705" width="9.140625" style="3"/>
    <col min="8706" max="8706" width="14" style="3" customWidth="1"/>
    <col min="8707" max="8707" width="9.42578125" style="3" bestFit="1" customWidth="1"/>
    <col min="8708" max="8713" width="10.28515625" style="3" bestFit="1" customWidth="1"/>
    <col min="8714" max="8714" width="10.42578125" style="3" bestFit="1" customWidth="1"/>
    <col min="8715" max="8715" width="11" style="3" customWidth="1"/>
    <col min="8716" max="8716" width="10.140625" style="3" customWidth="1"/>
    <col min="8717" max="8717" width="10.28515625" style="3" customWidth="1"/>
    <col min="8718" max="8718" width="9.5703125" style="3" bestFit="1" customWidth="1"/>
    <col min="8719" max="8719" width="9.5703125" style="3" customWidth="1"/>
    <col min="8720" max="8722" width="9.5703125" style="3" bestFit="1" customWidth="1"/>
    <col min="8723" max="8724" width="9.7109375" style="3" bestFit="1" customWidth="1"/>
    <col min="8725" max="8725" width="9.140625" style="3"/>
    <col min="8726" max="8726" width="9.5703125" style="3" bestFit="1" customWidth="1"/>
    <col min="8727" max="8961" width="9.140625" style="3"/>
    <col min="8962" max="8962" width="14" style="3" customWidth="1"/>
    <col min="8963" max="8963" width="9.42578125" style="3" bestFit="1" customWidth="1"/>
    <col min="8964" max="8969" width="10.28515625" style="3" bestFit="1" customWidth="1"/>
    <col min="8970" max="8970" width="10.42578125" style="3" bestFit="1" customWidth="1"/>
    <col min="8971" max="8971" width="11" style="3" customWidth="1"/>
    <col min="8972" max="8972" width="10.140625" style="3" customWidth="1"/>
    <col min="8973" max="8973" width="10.28515625" style="3" customWidth="1"/>
    <col min="8974" max="8974" width="9.5703125" style="3" bestFit="1" customWidth="1"/>
    <col min="8975" max="8975" width="9.5703125" style="3" customWidth="1"/>
    <col min="8976" max="8978" width="9.5703125" style="3" bestFit="1" customWidth="1"/>
    <col min="8979" max="8980" width="9.7109375" style="3" bestFit="1" customWidth="1"/>
    <col min="8981" max="8981" width="9.140625" style="3"/>
    <col min="8982" max="8982" width="9.5703125" style="3" bestFit="1" customWidth="1"/>
    <col min="8983" max="9217" width="9.140625" style="3"/>
    <col min="9218" max="9218" width="14" style="3" customWidth="1"/>
    <col min="9219" max="9219" width="9.42578125" style="3" bestFit="1" customWidth="1"/>
    <col min="9220" max="9225" width="10.28515625" style="3" bestFit="1" customWidth="1"/>
    <col min="9226" max="9226" width="10.42578125" style="3" bestFit="1" customWidth="1"/>
    <col min="9227" max="9227" width="11" style="3" customWidth="1"/>
    <col min="9228" max="9228" width="10.140625" style="3" customWidth="1"/>
    <col min="9229" max="9229" width="10.28515625" style="3" customWidth="1"/>
    <col min="9230" max="9230" width="9.5703125" style="3" bestFit="1" customWidth="1"/>
    <col min="9231" max="9231" width="9.5703125" style="3" customWidth="1"/>
    <col min="9232" max="9234" width="9.5703125" style="3" bestFit="1" customWidth="1"/>
    <col min="9235" max="9236" width="9.7109375" style="3" bestFit="1" customWidth="1"/>
    <col min="9237" max="9237" width="9.140625" style="3"/>
    <col min="9238" max="9238" width="9.5703125" style="3" bestFit="1" customWidth="1"/>
    <col min="9239" max="9473" width="9.140625" style="3"/>
    <col min="9474" max="9474" width="14" style="3" customWidth="1"/>
    <col min="9475" max="9475" width="9.42578125" style="3" bestFit="1" customWidth="1"/>
    <col min="9476" max="9481" width="10.28515625" style="3" bestFit="1" customWidth="1"/>
    <col min="9482" max="9482" width="10.42578125" style="3" bestFit="1" customWidth="1"/>
    <col min="9483" max="9483" width="11" style="3" customWidth="1"/>
    <col min="9484" max="9484" width="10.140625" style="3" customWidth="1"/>
    <col min="9485" max="9485" width="10.28515625" style="3" customWidth="1"/>
    <col min="9486" max="9486" width="9.5703125" style="3" bestFit="1" customWidth="1"/>
    <col min="9487" max="9487" width="9.5703125" style="3" customWidth="1"/>
    <col min="9488" max="9490" width="9.5703125" style="3" bestFit="1" customWidth="1"/>
    <col min="9491" max="9492" width="9.7109375" style="3" bestFit="1" customWidth="1"/>
    <col min="9493" max="9493" width="9.140625" style="3"/>
    <col min="9494" max="9494" width="9.5703125" style="3" bestFit="1" customWidth="1"/>
    <col min="9495" max="9729" width="9.140625" style="3"/>
    <col min="9730" max="9730" width="14" style="3" customWidth="1"/>
    <col min="9731" max="9731" width="9.42578125" style="3" bestFit="1" customWidth="1"/>
    <col min="9732" max="9737" width="10.28515625" style="3" bestFit="1" customWidth="1"/>
    <col min="9738" max="9738" width="10.42578125" style="3" bestFit="1" customWidth="1"/>
    <col min="9739" max="9739" width="11" style="3" customWidth="1"/>
    <col min="9740" max="9740" width="10.140625" style="3" customWidth="1"/>
    <col min="9741" max="9741" width="10.28515625" style="3" customWidth="1"/>
    <col min="9742" max="9742" width="9.5703125" style="3" bestFit="1" customWidth="1"/>
    <col min="9743" max="9743" width="9.5703125" style="3" customWidth="1"/>
    <col min="9744" max="9746" width="9.5703125" style="3" bestFit="1" customWidth="1"/>
    <col min="9747" max="9748" width="9.7109375" style="3" bestFit="1" customWidth="1"/>
    <col min="9749" max="9749" width="9.140625" style="3"/>
    <col min="9750" max="9750" width="9.5703125" style="3" bestFit="1" customWidth="1"/>
    <col min="9751" max="9985" width="9.140625" style="3"/>
    <col min="9986" max="9986" width="14" style="3" customWidth="1"/>
    <col min="9987" max="9987" width="9.42578125" style="3" bestFit="1" customWidth="1"/>
    <col min="9988" max="9993" width="10.28515625" style="3" bestFit="1" customWidth="1"/>
    <col min="9994" max="9994" width="10.42578125" style="3" bestFit="1" customWidth="1"/>
    <col min="9995" max="9995" width="11" style="3" customWidth="1"/>
    <col min="9996" max="9996" width="10.140625" style="3" customWidth="1"/>
    <col min="9997" max="9997" width="10.28515625" style="3" customWidth="1"/>
    <col min="9998" max="9998" width="9.5703125" style="3" bestFit="1" customWidth="1"/>
    <col min="9999" max="9999" width="9.5703125" style="3" customWidth="1"/>
    <col min="10000" max="10002" width="9.5703125" style="3" bestFit="1" customWidth="1"/>
    <col min="10003" max="10004" width="9.7109375" style="3" bestFit="1" customWidth="1"/>
    <col min="10005" max="10005" width="9.140625" style="3"/>
    <col min="10006" max="10006" width="9.5703125" style="3" bestFit="1" customWidth="1"/>
    <col min="10007" max="10241" width="9.140625" style="3"/>
    <col min="10242" max="10242" width="14" style="3" customWidth="1"/>
    <col min="10243" max="10243" width="9.42578125" style="3" bestFit="1" customWidth="1"/>
    <col min="10244" max="10249" width="10.28515625" style="3" bestFit="1" customWidth="1"/>
    <col min="10250" max="10250" width="10.42578125" style="3" bestFit="1" customWidth="1"/>
    <col min="10251" max="10251" width="11" style="3" customWidth="1"/>
    <col min="10252" max="10252" width="10.140625" style="3" customWidth="1"/>
    <col min="10253" max="10253" width="10.28515625" style="3" customWidth="1"/>
    <col min="10254" max="10254" width="9.5703125" style="3" bestFit="1" customWidth="1"/>
    <col min="10255" max="10255" width="9.5703125" style="3" customWidth="1"/>
    <col min="10256" max="10258" width="9.5703125" style="3" bestFit="1" customWidth="1"/>
    <col min="10259" max="10260" width="9.7109375" style="3" bestFit="1" customWidth="1"/>
    <col min="10261" max="10261" width="9.140625" style="3"/>
    <col min="10262" max="10262" width="9.5703125" style="3" bestFit="1" customWidth="1"/>
    <col min="10263" max="10497" width="9.140625" style="3"/>
    <col min="10498" max="10498" width="14" style="3" customWidth="1"/>
    <col min="10499" max="10499" width="9.42578125" style="3" bestFit="1" customWidth="1"/>
    <col min="10500" max="10505" width="10.28515625" style="3" bestFit="1" customWidth="1"/>
    <col min="10506" max="10506" width="10.42578125" style="3" bestFit="1" customWidth="1"/>
    <col min="10507" max="10507" width="11" style="3" customWidth="1"/>
    <col min="10508" max="10508" width="10.140625" style="3" customWidth="1"/>
    <col min="10509" max="10509" width="10.28515625" style="3" customWidth="1"/>
    <col min="10510" max="10510" width="9.5703125" style="3" bestFit="1" customWidth="1"/>
    <col min="10511" max="10511" width="9.5703125" style="3" customWidth="1"/>
    <col min="10512" max="10514" width="9.5703125" style="3" bestFit="1" customWidth="1"/>
    <col min="10515" max="10516" width="9.7109375" style="3" bestFit="1" customWidth="1"/>
    <col min="10517" max="10517" width="9.140625" style="3"/>
    <col min="10518" max="10518" width="9.5703125" style="3" bestFit="1" customWidth="1"/>
    <col min="10519" max="10753" width="9.140625" style="3"/>
    <col min="10754" max="10754" width="14" style="3" customWidth="1"/>
    <col min="10755" max="10755" width="9.42578125" style="3" bestFit="1" customWidth="1"/>
    <col min="10756" max="10761" width="10.28515625" style="3" bestFit="1" customWidth="1"/>
    <col min="10762" max="10762" width="10.42578125" style="3" bestFit="1" customWidth="1"/>
    <col min="10763" max="10763" width="11" style="3" customWidth="1"/>
    <col min="10764" max="10764" width="10.140625" style="3" customWidth="1"/>
    <col min="10765" max="10765" width="10.28515625" style="3" customWidth="1"/>
    <col min="10766" max="10766" width="9.5703125" style="3" bestFit="1" customWidth="1"/>
    <col min="10767" max="10767" width="9.5703125" style="3" customWidth="1"/>
    <col min="10768" max="10770" width="9.5703125" style="3" bestFit="1" customWidth="1"/>
    <col min="10771" max="10772" width="9.7109375" style="3" bestFit="1" customWidth="1"/>
    <col min="10773" max="10773" width="9.140625" style="3"/>
    <col min="10774" max="10774" width="9.5703125" style="3" bestFit="1" customWidth="1"/>
    <col min="10775" max="11009" width="9.140625" style="3"/>
    <col min="11010" max="11010" width="14" style="3" customWidth="1"/>
    <col min="11011" max="11011" width="9.42578125" style="3" bestFit="1" customWidth="1"/>
    <col min="11012" max="11017" width="10.28515625" style="3" bestFit="1" customWidth="1"/>
    <col min="11018" max="11018" width="10.42578125" style="3" bestFit="1" customWidth="1"/>
    <col min="11019" max="11019" width="11" style="3" customWidth="1"/>
    <col min="11020" max="11020" width="10.140625" style="3" customWidth="1"/>
    <col min="11021" max="11021" width="10.28515625" style="3" customWidth="1"/>
    <col min="11022" max="11022" width="9.5703125" style="3" bestFit="1" customWidth="1"/>
    <col min="11023" max="11023" width="9.5703125" style="3" customWidth="1"/>
    <col min="11024" max="11026" width="9.5703125" style="3" bestFit="1" customWidth="1"/>
    <col min="11027" max="11028" width="9.7109375" style="3" bestFit="1" customWidth="1"/>
    <col min="11029" max="11029" width="9.140625" style="3"/>
    <col min="11030" max="11030" width="9.5703125" style="3" bestFit="1" customWidth="1"/>
    <col min="11031" max="11265" width="9.140625" style="3"/>
    <col min="11266" max="11266" width="14" style="3" customWidth="1"/>
    <col min="11267" max="11267" width="9.42578125" style="3" bestFit="1" customWidth="1"/>
    <col min="11268" max="11273" width="10.28515625" style="3" bestFit="1" customWidth="1"/>
    <col min="11274" max="11274" width="10.42578125" style="3" bestFit="1" customWidth="1"/>
    <col min="11275" max="11275" width="11" style="3" customWidth="1"/>
    <col min="11276" max="11276" width="10.140625" style="3" customWidth="1"/>
    <col min="11277" max="11277" width="10.28515625" style="3" customWidth="1"/>
    <col min="11278" max="11278" width="9.5703125" style="3" bestFit="1" customWidth="1"/>
    <col min="11279" max="11279" width="9.5703125" style="3" customWidth="1"/>
    <col min="11280" max="11282" width="9.5703125" style="3" bestFit="1" customWidth="1"/>
    <col min="11283" max="11284" width="9.7109375" style="3" bestFit="1" customWidth="1"/>
    <col min="11285" max="11285" width="9.140625" style="3"/>
    <col min="11286" max="11286" width="9.5703125" style="3" bestFit="1" customWidth="1"/>
    <col min="11287" max="11521" width="9.140625" style="3"/>
    <col min="11522" max="11522" width="14" style="3" customWidth="1"/>
    <col min="11523" max="11523" width="9.42578125" style="3" bestFit="1" customWidth="1"/>
    <col min="11524" max="11529" width="10.28515625" style="3" bestFit="1" customWidth="1"/>
    <col min="11530" max="11530" width="10.42578125" style="3" bestFit="1" customWidth="1"/>
    <col min="11531" max="11531" width="11" style="3" customWidth="1"/>
    <col min="11532" max="11532" width="10.140625" style="3" customWidth="1"/>
    <col min="11533" max="11533" width="10.28515625" style="3" customWidth="1"/>
    <col min="11534" max="11534" width="9.5703125" style="3" bestFit="1" customWidth="1"/>
    <col min="11535" max="11535" width="9.5703125" style="3" customWidth="1"/>
    <col min="11536" max="11538" width="9.5703125" style="3" bestFit="1" customWidth="1"/>
    <col min="11539" max="11540" width="9.7109375" style="3" bestFit="1" customWidth="1"/>
    <col min="11541" max="11541" width="9.140625" style="3"/>
    <col min="11542" max="11542" width="9.5703125" style="3" bestFit="1" customWidth="1"/>
    <col min="11543" max="11777" width="9.140625" style="3"/>
    <col min="11778" max="11778" width="14" style="3" customWidth="1"/>
    <col min="11779" max="11779" width="9.42578125" style="3" bestFit="1" customWidth="1"/>
    <col min="11780" max="11785" width="10.28515625" style="3" bestFit="1" customWidth="1"/>
    <col min="11786" max="11786" width="10.42578125" style="3" bestFit="1" customWidth="1"/>
    <col min="11787" max="11787" width="11" style="3" customWidth="1"/>
    <col min="11788" max="11788" width="10.140625" style="3" customWidth="1"/>
    <col min="11789" max="11789" width="10.28515625" style="3" customWidth="1"/>
    <col min="11790" max="11790" width="9.5703125" style="3" bestFit="1" customWidth="1"/>
    <col min="11791" max="11791" width="9.5703125" style="3" customWidth="1"/>
    <col min="11792" max="11794" width="9.5703125" style="3" bestFit="1" customWidth="1"/>
    <col min="11795" max="11796" width="9.7109375" style="3" bestFit="1" customWidth="1"/>
    <col min="11797" max="11797" width="9.140625" style="3"/>
    <col min="11798" max="11798" width="9.5703125" style="3" bestFit="1" customWidth="1"/>
    <col min="11799" max="12033" width="9.140625" style="3"/>
    <col min="12034" max="12034" width="14" style="3" customWidth="1"/>
    <col min="12035" max="12035" width="9.42578125" style="3" bestFit="1" customWidth="1"/>
    <col min="12036" max="12041" width="10.28515625" style="3" bestFit="1" customWidth="1"/>
    <col min="12042" max="12042" width="10.42578125" style="3" bestFit="1" customWidth="1"/>
    <col min="12043" max="12043" width="11" style="3" customWidth="1"/>
    <col min="12044" max="12044" width="10.140625" style="3" customWidth="1"/>
    <col min="12045" max="12045" width="10.28515625" style="3" customWidth="1"/>
    <col min="12046" max="12046" width="9.5703125" style="3" bestFit="1" customWidth="1"/>
    <col min="12047" max="12047" width="9.5703125" style="3" customWidth="1"/>
    <col min="12048" max="12050" width="9.5703125" style="3" bestFit="1" customWidth="1"/>
    <col min="12051" max="12052" width="9.7109375" style="3" bestFit="1" customWidth="1"/>
    <col min="12053" max="12053" width="9.140625" style="3"/>
    <col min="12054" max="12054" width="9.5703125" style="3" bestFit="1" customWidth="1"/>
    <col min="12055" max="12289" width="9.140625" style="3"/>
    <col min="12290" max="12290" width="14" style="3" customWidth="1"/>
    <col min="12291" max="12291" width="9.42578125" style="3" bestFit="1" customWidth="1"/>
    <col min="12292" max="12297" width="10.28515625" style="3" bestFit="1" customWidth="1"/>
    <col min="12298" max="12298" width="10.42578125" style="3" bestFit="1" customWidth="1"/>
    <col min="12299" max="12299" width="11" style="3" customWidth="1"/>
    <col min="12300" max="12300" width="10.140625" style="3" customWidth="1"/>
    <col min="12301" max="12301" width="10.28515625" style="3" customWidth="1"/>
    <col min="12302" max="12302" width="9.5703125" style="3" bestFit="1" customWidth="1"/>
    <col min="12303" max="12303" width="9.5703125" style="3" customWidth="1"/>
    <col min="12304" max="12306" width="9.5703125" style="3" bestFit="1" customWidth="1"/>
    <col min="12307" max="12308" width="9.7109375" style="3" bestFit="1" customWidth="1"/>
    <col min="12309" max="12309" width="9.140625" style="3"/>
    <col min="12310" max="12310" width="9.5703125" style="3" bestFit="1" customWidth="1"/>
    <col min="12311" max="12545" width="9.140625" style="3"/>
    <col min="12546" max="12546" width="14" style="3" customWidth="1"/>
    <col min="12547" max="12547" width="9.42578125" style="3" bestFit="1" customWidth="1"/>
    <col min="12548" max="12553" width="10.28515625" style="3" bestFit="1" customWidth="1"/>
    <col min="12554" max="12554" width="10.42578125" style="3" bestFit="1" customWidth="1"/>
    <col min="12555" max="12555" width="11" style="3" customWidth="1"/>
    <col min="12556" max="12556" width="10.140625" style="3" customWidth="1"/>
    <col min="12557" max="12557" width="10.28515625" style="3" customWidth="1"/>
    <col min="12558" max="12558" width="9.5703125" style="3" bestFit="1" customWidth="1"/>
    <col min="12559" max="12559" width="9.5703125" style="3" customWidth="1"/>
    <col min="12560" max="12562" width="9.5703125" style="3" bestFit="1" customWidth="1"/>
    <col min="12563" max="12564" width="9.7109375" style="3" bestFit="1" customWidth="1"/>
    <col min="12565" max="12565" width="9.140625" style="3"/>
    <col min="12566" max="12566" width="9.5703125" style="3" bestFit="1" customWidth="1"/>
    <col min="12567" max="12801" width="9.140625" style="3"/>
    <col min="12802" max="12802" width="14" style="3" customWidth="1"/>
    <col min="12803" max="12803" width="9.42578125" style="3" bestFit="1" customWidth="1"/>
    <col min="12804" max="12809" width="10.28515625" style="3" bestFit="1" customWidth="1"/>
    <col min="12810" max="12810" width="10.42578125" style="3" bestFit="1" customWidth="1"/>
    <col min="12811" max="12811" width="11" style="3" customWidth="1"/>
    <col min="12812" max="12812" width="10.140625" style="3" customWidth="1"/>
    <col min="12813" max="12813" width="10.28515625" style="3" customWidth="1"/>
    <col min="12814" max="12814" width="9.5703125" style="3" bestFit="1" customWidth="1"/>
    <col min="12815" max="12815" width="9.5703125" style="3" customWidth="1"/>
    <col min="12816" max="12818" width="9.5703125" style="3" bestFit="1" customWidth="1"/>
    <col min="12819" max="12820" width="9.7109375" style="3" bestFit="1" customWidth="1"/>
    <col min="12821" max="12821" width="9.140625" style="3"/>
    <col min="12822" max="12822" width="9.5703125" style="3" bestFit="1" customWidth="1"/>
    <col min="12823" max="13057" width="9.140625" style="3"/>
    <col min="13058" max="13058" width="14" style="3" customWidth="1"/>
    <col min="13059" max="13059" width="9.42578125" style="3" bestFit="1" customWidth="1"/>
    <col min="13060" max="13065" width="10.28515625" style="3" bestFit="1" customWidth="1"/>
    <col min="13066" max="13066" width="10.42578125" style="3" bestFit="1" customWidth="1"/>
    <col min="13067" max="13067" width="11" style="3" customWidth="1"/>
    <col min="13068" max="13068" width="10.140625" style="3" customWidth="1"/>
    <col min="13069" max="13069" width="10.28515625" style="3" customWidth="1"/>
    <col min="13070" max="13070" width="9.5703125" style="3" bestFit="1" customWidth="1"/>
    <col min="13071" max="13071" width="9.5703125" style="3" customWidth="1"/>
    <col min="13072" max="13074" width="9.5703125" style="3" bestFit="1" customWidth="1"/>
    <col min="13075" max="13076" width="9.7109375" style="3" bestFit="1" customWidth="1"/>
    <col min="13077" max="13077" width="9.140625" style="3"/>
    <col min="13078" max="13078" width="9.5703125" style="3" bestFit="1" customWidth="1"/>
    <col min="13079" max="13313" width="9.140625" style="3"/>
    <col min="13314" max="13314" width="14" style="3" customWidth="1"/>
    <col min="13315" max="13315" width="9.42578125" style="3" bestFit="1" customWidth="1"/>
    <col min="13316" max="13321" width="10.28515625" style="3" bestFit="1" customWidth="1"/>
    <col min="13322" max="13322" width="10.42578125" style="3" bestFit="1" customWidth="1"/>
    <col min="13323" max="13323" width="11" style="3" customWidth="1"/>
    <col min="13324" max="13324" width="10.140625" style="3" customWidth="1"/>
    <col min="13325" max="13325" width="10.28515625" style="3" customWidth="1"/>
    <col min="13326" max="13326" width="9.5703125" style="3" bestFit="1" customWidth="1"/>
    <col min="13327" max="13327" width="9.5703125" style="3" customWidth="1"/>
    <col min="13328" max="13330" width="9.5703125" style="3" bestFit="1" customWidth="1"/>
    <col min="13331" max="13332" width="9.7109375" style="3" bestFit="1" customWidth="1"/>
    <col min="13333" max="13333" width="9.140625" style="3"/>
    <col min="13334" max="13334" width="9.5703125" style="3" bestFit="1" customWidth="1"/>
    <col min="13335" max="13569" width="9.140625" style="3"/>
    <col min="13570" max="13570" width="14" style="3" customWidth="1"/>
    <col min="13571" max="13571" width="9.42578125" style="3" bestFit="1" customWidth="1"/>
    <col min="13572" max="13577" width="10.28515625" style="3" bestFit="1" customWidth="1"/>
    <col min="13578" max="13578" width="10.42578125" style="3" bestFit="1" customWidth="1"/>
    <col min="13579" max="13579" width="11" style="3" customWidth="1"/>
    <col min="13580" max="13580" width="10.140625" style="3" customWidth="1"/>
    <col min="13581" max="13581" width="10.28515625" style="3" customWidth="1"/>
    <col min="13582" max="13582" width="9.5703125" style="3" bestFit="1" customWidth="1"/>
    <col min="13583" max="13583" width="9.5703125" style="3" customWidth="1"/>
    <col min="13584" max="13586" width="9.5703125" style="3" bestFit="1" customWidth="1"/>
    <col min="13587" max="13588" width="9.7109375" style="3" bestFit="1" customWidth="1"/>
    <col min="13589" max="13589" width="9.140625" style="3"/>
    <col min="13590" max="13590" width="9.5703125" style="3" bestFit="1" customWidth="1"/>
    <col min="13591" max="13825" width="9.140625" style="3"/>
    <col min="13826" max="13826" width="14" style="3" customWidth="1"/>
    <col min="13827" max="13827" width="9.42578125" style="3" bestFit="1" customWidth="1"/>
    <col min="13828" max="13833" width="10.28515625" style="3" bestFit="1" customWidth="1"/>
    <col min="13834" max="13834" width="10.42578125" style="3" bestFit="1" customWidth="1"/>
    <col min="13835" max="13835" width="11" style="3" customWidth="1"/>
    <col min="13836" max="13836" width="10.140625" style="3" customWidth="1"/>
    <col min="13837" max="13837" width="10.28515625" style="3" customWidth="1"/>
    <col min="13838" max="13838" width="9.5703125" style="3" bestFit="1" customWidth="1"/>
    <col min="13839" max="13839" width="9.5703125" style="3" customWidth="1"/>
    <col min="13840" max="13842" width="9.5703125" style="3" bestFit="1" customWidth="1"/>
    <col min="13843" max="13844" width="9.7109375" style="3" bestFit="1" customWidth="1"/>
    <col min="13845" max="13845" width="9.140625" style="3"/>
    <col min="13846" max="13846" width="9.5703125" style="3" bestFit="1" customWidth="1"/>
    <col min="13847" max="14081" width="9.140625" style="3"/>
    <col min="14082" max="14082" width="14" style="3" customWidth="1"/>
    <col min="14083" max="14083" width="9.42578125" style="3" bestFit="1" customWidth="1"/>
    <col min="14084" max="14089" width="10.28515625" style="3" bestFit="1" customWidth="1"/>
    <col min="14090" max="14090" width="10.42578125" style="3" bestFit="1" customWidth="1"/>
    <col min="14091" max="14091" width="11" style="3" customWidth="1"/>
    <col min="14092" max="14092" width="10.140625" style="3" customWidth="1"/>
    <col min="14093" max="14093" width="10.28515625" style="3" customWidth="1"/>
    <col min="14094" max="14094" width="9.5703125" style="3" bestFit="1" customWidth="1"/>
    <col min="14095" max="14095" width="9.5703125" style="3" customWidth="1"/>
    <col min="14096" max="14098" width="9.5703125" style="3" bestFit="1" customWidth="1"/>
    <col min="14099" max="14100" width="9.7109375" style="3" bestFit="1" customWidth="1"/>
    <col min="14101" max="14101" width="9.140625" style="3"/>
    <col min="14102" max="14102" width="9.5703125" style="3" bestFit="1" customWidth="1"/>
    <col min="14103" max="14337" width="9.140625" style="3"/>
    <col min="14338" max="14338" width="14" style="3" customWidth="1"/>
    <col min="14339" max="14339" width="9.42578125" style="3" bestFit="1" customWidth="1"/>
    <col min="14340" max="14345" width="10.28515625" style="3" bestFit="1" customWidth="1"/>
    <col min="14346" max="14346" width="10.42578125" style="3" bestFit="1" customWidth="1"/>
    <col min="14347" max="14347" width="11" style="3" customWidth="1"/>
    <col min="14348" max="14348" width="10.140625" style="3" customWidth="1"/>
    <col min="14349" max="14349" width="10.28515625" style="3" customWidth="1"/>
    <col min="14350" max="14350" width="9.5703125" style="3" bestFit="1" customWidth="1"/>
    <col min="14351" max="14351" width="9.5703125" style="3" customWidth="1"/>
    <col min="14352" max="14354" width="9.5703125" style="3" bestFit="1" customWidth="1"/>
    <col min="14355" max="14356" width="9.7109375" style="3" bestFit="1" customWidth="1"/>
    <col min="14357" max="14357" width="9.140625" style="3"/>
    <col min="14358" max="14358" width="9.5703125" style="3" bestFit="1" customWidth="1"/>
    <col min="14359" max="14593" width="9.140625" style="3"/>
    <col min="14594" max="14594" width="14" style="3" customWidth="1"/>
    <col min="14595" max="14595" width="9.42578125" style="3" bestFit="1" customWidth="1"/>
    <col min="14596" max="14601" width="10.28515625" style="3" bestFit="1" customWidth="1"/>
    <col min="14602" max="14602" width="10.42578125" style="3" bestFit="1" customWidth="1"/>
    <col min="14603" max="14603" width="11" style="3" customWidth="1"/>
    <col min="14604" max="14604" width="10.140625" style="3" customWidth="1"/>
    <col min="14605" max="14605" width="10.28515625" style="3" customWidth="1"/>
    <col min="14606" max="14606" width="9.5703125" style="3" bestFit="1" customWidth="1"/>
    <col min="14607" max="14607" width="9.5703125" style="3" customWidth="1"/>
    <col min="14608" max="14610" width="9.5703125" style="3" bestFit="1" customWidth="1"/>
    <col min="14611" max="14612" width="9.7109375" style="3" bestFit="1" customWidth="1"/>
    <col min="14613" max="14613" width="9.140625" style="3"/>
    <col min="14614" max="14614" width="9.5703125" style="3" bestFit="1" customWidth="1"/>
    <col min="14615" max="14849" width="9.140625" style="3"/>
    <col min="14850" max="14850" width="14" style="3" customWidth="1"/>
    <col min="14851" max="14851" width="9.42578125" style="3" bestFit="1" customWidth="1"/>
    <col min="14852" max="14857" width="10.28515625" style="3" bestFit="1" customWidth="1"/>
    <col min="14858" max="14858" width="10.42578125" style="3" bestFit="1" customWidth="1"/>
    <col min="14859" max="14859" width="11" style="3" customWidth="1"/>
    <col min="14860" max="14860" width="10.140625" style="3" customWidth="1"/>
    <col min="14861" max="14861" width="10.28515625" style="3" customWidth="1"/>
    <col min="14862" max="14862" width="9.5703125" style="3" bestFit="1" customWidth="1"/>
    <col min="14863" max="14863" width="9.5703125" style="3" customWidth="1"/>
    <col min="14864" max="14866" width="9.5703125" style="3" bestFit="1" customWidth="1"/>
    <col min="14867" max="14868" width="9.7109375" style="3" bestFit="1" customWidth="1"/>
    <col min="14869" max="14869" width="9.140625" style="3"/>
    <col min="14870" max="14870" width="9.5703125" style="3" bestFit="1" customWidth="1"/>
    <col min="14871" max="15105" width="9.140625" style="3"/>
    <col min="15106" max="15106" width="14" style="3" customWidth="1"/>
    <col min="15107" max="15107" width="9.42578125" style="3" bestFit="1" customWidth="1"/>
    <col min="15108" max="15113" width="10.28515625" style="3" bestFit="1" customWidth="1"/>
    <col min="15114" max="15114" width="10.42578125" style="3" bestFit="1" customWidth="1"/>
    <col min="15115" max="15115" width="11" style="3" customWidth="1"/>
    <col min="15116" max="15116" width="10.140625" style="3" customWidth="1"/>
    <col min="15117" max="15117" width="10.28515625" style="3" customWidth="1"/>
    <col min="15118" max="15118" width="9.5703125" style="3" bestFit="1" customWidth="1"/>
    <col min="15119" max="15119" width="9.5703125" style="3" customWidth="1"/>
    <col min="15120" max="15122" width="9.5703125" style="3" bestFit="1" customWidth="1"/>
    <col min="15123" max="15124" width="9.7109375" style="3" bestFit="1" customWidth="1"/>
    <col min="15125" max="15125" width="9.140625" style="3"/>
    <col min="15126" max="15126" width="9.5703125" style="3" bestFit="1" customWidth="1"/>
    <col min="15127" max="15361" width="9.140625" style="3"/>
    <col min="15362" max="15362" width="14" style="3" customWidth="1"/>
    <col min="15363" max="15363" width="9.42578125" style="3" bestFit="1" customWidth="1"/>
    <col min="15364" max="15369" width="10.28515625" style="3" bestFit="1" customWidth="1"/>
    <col min="15370" max="15370" width="10.42578125" style="3" bestFit="1" customWidth="1"/>
    <col min="15371" max="15371" width="11" style="3" customWidth="1"/>
    <col min="15372" max="15372" width="10.140625" style="3" customWidth="1"/>
    <col min="15373" max="15373" width="10.28515625" style="3" customWidth="1"/>
    <col min="15374" max="15374" width="9.5703125" style="3" bestFit="1" customWidth="1"/>
    <col min="15375" max="15375" width="9.5703125" style="3" customWidth="1"/>
    <col min="15376" max="15378" width="9.5703125" style="3" bestFit="1" customWidth="1"/>
    <col min="15379" max="15380" width="9.7109375" style="3" bestFit="1" customWidth="1"/>
    <col min="15381" max="15381" width="9.140625" style="3"/>
    <col min="15382" max="15382" width="9.5703125" style="3" bestFit="1" customWidth="1"/>
    <col min="15383" max="15617" width="9.140625" style="3"/>
    <col min="15618" max="15618" width="14" style="3" customWidth="1"/>
    <col min="15619" max="15619" width="9.42578125" style="3" bestFit="1" customWidth="1"/>
    <col min="15620" max="15625" width="10.28515625" style="3" bestFit="1" customWidth="1"/>
    <col min="15626" max="15626" width="10.42578125" style="3" bestFit="1" customWidth="1"/>
    <col min="15627" max="15627" width="11" style="3" customWidth="1"/>
    <col min="15628" max="15628" width="10.140625" style="3" customWidth="1"/>
    <col min="15629" max="15629" width="10.28515625" style="3" customWidth="1"/>
    <col min="15630" max="15630" width="9.5703125" style="3" bestFit="1" customWidth="1"/>
    <col min="15631" max="15631" width="9.5703125" style="3" customWidth="1"/>
    <col min="15632" max="15634" width="9.5703125" style="3" bestFit="1" customWidth="1"/>
    <col min="15635" max="15636" width="9.7109375" style="3" bestFit="1" customWidth="1"/>
    <col min="15637" max="15637" width="9.140625" style="3"/>
    <col min="15638" max="15638" width="9.5703125" style="3" bestFit="1" customWidth="1"/>
    <col min="15639" max="15873" width="9.140625" style="3"/>
    <col min="15874" max="15874" width="14" style="3" customWidth="1"/>
    <col min="15875" max="15875" width="9.42578125" style="3" bestFit="1" customWidth="1"/>
    <col min="15876" max="15881" width="10.28515625" style="3" bestFit="1" customWidth="1"/>
    <col min="15882" max="15882" width="10.42578125" style="3" bestFit="1" customWidth="1"/>
    <col min="15883" max="15883" width="11" style="3" customWidth="1"/>
    <col min="15884" max="15884" width="10.140625" style="3" customWidth="1"/>
    <col min="15885" max="15885" width="10.28515625" style="3" customWidth="1"/>
    <col min="15886" max="15886" width="9.5703125" style="3" bestFit="1" customWidth="1"/>
    <col min="15887" max="15887" width="9.5703125" style="3" customWidth="1"/>
    <col min="15888" max="15890" width="9.5703125" style="3" bestFit="1" customWidth="1"/>
    <col min="15891" max="15892" width="9.7109375" style="3" bestFit="1" customWidth="1"/>
    <col min="15893" max="15893" width="9.140625" style="3"/>
    <col min="15894" max="15894" width="9.5703125" style="3" bestFit="1" customWidth="1"/>
    <col min="15895" max="16129" width="9.140625" style="3"/>
    <col min="16130" max="16130" width="14" style="3" customWidth="1"/>
    <col min="16131" max="16131" width="9.42578125" style="3" bestFit="1" customWidth="1"/>
    <col min="16132" max="16137" width="10.28515625" style="3" bestFit="1" customWidth="1"/>
    <col min="16138" max="16138" width="10.42578125" style="3" bestFit="1" customWidth="1"/>
    <col min="16139" max="16139" width="11" style="3" customWidth="1"/>
    <col min="16140" max="16140" width="10.140625" style="3" customWidth="1"/>
    <col min="16141" max="16141" width="10.28515625" style="3" customWidth="1"/>
    <col min="16142" max="16142" width="9.5703125" style="3" bestFit="1" customWidth="1"/>
    <col min="16143" max="16143" width="9.5703125" style="3" customWidth="1"/>
    <col min="16144" max="16146" width="9.5703125" style="3" bestFit="1" customWidth="1"/>
    <col min="16147" max="16148" width="9.7109375" style="3" bestFit="1" customWidth="1"/>
    <col min="16149" max="16149" width="9.140625" style="3"/>
    <col min="16150" max="16150" width="9.5703125" style="3" bestFit="1" customWidth="1"/>
    <col min="16151" max="16384" width="9.140625" style="3"/>
  </cols>
  <sheetData>
    <row r="1" spans="1:2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ht="16.5" x14ac:dyDescent="0.3">
      <c r="A2" s="373" t="s">
        <v>53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2"/>
      <c r="U2" s="2"/>
      <c r="V2" s="2"/>
      <c r="W2" s="2"/>
    </row>
    <row r="3" spans="1:25" ht="15.75" x14ac:dyDescent="0.25">
      <c r="A3" s="4"/>
      <c r="B3" s="4"/>
      <c r="C3" s="4"/>
      <c r="D3" s="5"/>
      <c r="E3" s="5"/>
      <c r="F3" s="5"/>
      <c r="G3" s="5"/>
      <c r="H3" s="5"/>
      <c r="I3" s="5"/>
      <c r="J3" s="6" t="s">
        <v>54</v>
      </c>
      <c r="K3" s="6"/>
      <c r="L3" s="4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ht="15.75" x14ac:dyDescent="0.25">
      <c r="A4" s="7"/>
      <c r="B4" s="8">
        <v>1994</v>
      </c>
      <c r="C4" s="8">
        <v>1995</v>
      </c>
      <c r="D4" s="8">
        <v>1996</v>
      </c>
      <c r="E4" s="8">
        <v>1997</v>
      </c>
      <c r="F4" s="8">
        <v>1998</v>
      </c>
      <c r="G4" s="8">
        <v>1999</v>
      </c>
      <c r="H4" s="8">
        <v>2000</v>
      </c>
      <c r="I4" s="8">
        <v>2001</v>
      </c>
      <c r="J4" s="8">
        <v>2002</v>
      </c>
      <c r="K4" s="8">
        <v>2003</v>
      </c>
      <c r="L4" s="8">
        <v>2004</v>
      </c>
      <c r="M4" s="8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2"/>
    </row>
    <row r="5" spans="1:25" ht="15.75" x14ac:dyDescent="0.25">
      <c r="A5" s="10" t="s">
        <v>41</v>
      </c>
      <c r="B5" s="46">
        <f>194.81/4.546</f>
        <v>42.853057633084028</v>
      </c>
      <c r="C5" s="46">
        <f>219.89/4.546</f>
        <v>48.369995600527929</v>
      </c>
      <c r="D5" s="47">
        <f>250.5/4.546</f>
        <v>55.103387593488776</v>
      </c>
      <c r="E5" s="47">
        <f>240.5/4.546</f>
        <v>52.90365156181258</v>
      </c>
      <c r="F5" s="47">
        <f>206.96/4.546</f>
        <v>45.525736911570611</v>
      </c>
      <c r="G5" s="47">
        <f>270/4.546</f>
        <v>59.392872855257366</v>
      </c>
      <c r="H5" s="47">
        <f>365/4.546</f>
        <v>80.290365156181252</v>
      </c>
      <c r="I5" s="47">
        <f>361/4.546</f>
        <v>79.410470743510771</v>
      </c>
      <c r="J5" s="47">
        <f>397.42/4.546</f>
        <v>87.421909370875497</v>
      </c>
      <c r="K5" s="48">
        <f>458/4.546</f>
        <v>100.74791025076991</v>
      </c>
      <c r="L5" s="48">
        <f>558.66/4.546</f>
        <v>122.89045314562252</v>
      </c>
      <c r="M5" s="47">
        <f>709.01/4.546</f>
        <v>155.96348438187417</v>
      </c>
      <c r="N5" s="47">
        <f>789.94/4.546</f>
        <v>173.76594808622966</v>
      </c>
      <c r="O5" s="48">
        <f>792.62/4.546</f>
        <v>174.35547734271887</v>
      </c>
      <c r="P5" s="48">
        <f>951/4.546</f>
        <v>209.1948966124065</v>
      </c>
      <c r="Q5" s="48">
        <f>693.59/4.546</f>
        <v>152.57149142102946</v>
      </c>
      <c r="R5" s="48">
        <f>856.79/4.546</f>
        <v>188.47118345798503</v>
      </c>
      <c r="S5" s="48">
        <f>1009.15/4.546</f>
        <v>221.98636163660359</v>
      </c>
      <c r="T5" s="48">
        <f>1008.18/4.546</f>
        <v>221.77298724153098</v>
      </c>
      <c r="U5" s="48">
        <f>1040.74951213282/4.546</f>
        <v>228.93742017879893</v>
      </c>
      <c r="V5" s="48">
        <v>226.85304798962233</v>
      </c>
      <c r="W5" s="318">
        <f>(V5-U5)/U5</f>
        <v>-9.1045500012567684E-3</v>
      </c>
      <c r="Y5" s="53"/>
    </row>
    <row r="6" spans="1:25" ht="15.75" x14ac:dyDescent="0.25">
      <c r="A6" s="10" t="s">
        <v>42</v>
      </c>
      <c r="B6" s="46">
        <f>198.06/4.546</f>
        <v>43.567971843378793</v>
      </c>
      <c r="C6" s="46">
        <f>205.04/4.546</f>
        <v>45.103387593488776</v>
      </c>
      <c r="D6" s="47">
        <f>243/4.546</f>
        <v>53.453585569731629</v>
      </c>
      <c r="E6" s="47">
        <f>219/4.546</f>
        <v>48.17421909370875</v>
      </c>
      <c r="F6" s="47">
        <f>200.5/4.546</f>
        <v>44.104707435107784</v>
      </c>
      <c r="G6" s="47">
        <f>243/4.546</f>
        <v>53.453585569731629</v>
      </c>
      <c r="H6" s="47">
        <f>337/4.546</f>
        <v>74.131104267487899</v>
      </c>
      <c r="I6" s="47">
        <f>323/4.546</f>
        <v>71.051473823141222</v>
      </c>
      <c r="J6" s="47">
        <f>321.08/4.546</f>
        <v>70.62912450505938</v>
      </c>
      <c r="K6" s="48">
        <f>370/4.546</f>
        <v>81.39023317201935</v>
      </c>
      <c r="L6" s="48">
        <f>463.33/4.546</f>
        <v>101.92036955565331</v>
      </c>
      <c r="M6" s="47">
        <f>610.6/4.546</f>
        <v>134.31588209414869</v>
      </c>
      <c r="N6" s="47">
        <f>640.34/4.546</f>
        <v>140.85789705235371</v>
      </c>
      <c r="O6" s="48">
        <f>725.83/4.546</f>
        <v>159.66344038715354</v>
      </c>
      <c r="P6" s="48">
        <f>989.27/4.546</f>
        <v>217.6132864056313</v>
      </c>
      <c r="Q6" s="48">
        <f>712.24/4.546</f>
        <v>156.67399912010558</v>
      </c>
      <c r="R6" s="48">
        <f>798.14/4.546</f>
        <v>175.56973163220411</v>
      </c>
      <c r="S6" s="48">
        <f>975.36/4.546</f>
        <v>214.55345358556971</v>
      </c>
      <c r="T6" s="48">
        <f>989.51/4.546</f>
        <v>217.66608007039153</v>
      </c>
      <c r="U6" s="48">
        <f>1008.33589348659/4.546</f>
        <v>221.80727969348655</v>
      </c>
      <c r="V6" s="48">
        <v>219.85110246433212</v>
      </c>
      <c r="W6" s="318">
        <f>(V6-U6)/U6</f>
        <v>-8.8192652281640967E-3</v>
      </c>
      <c r="Y6" s="53"/>
    </row>
    <row r="7" spans="1:25" ht="15.75" x14ac:dyDescent="0.25">
      <c r="A7" s="10" t="s">
        <v>36</v>
      </c>
      <c r="B7" s="46">
        <f>146.74/4.546</f>
        <v>32.278926528816541</v>
      </c>
      <c r="C7" s="46">
        <f>149.92/4.546</f>
        <v>32.978442586889571</v>
      </c>
      <c r="D7" s="47">
        <f>171/4.546</f>
        <v>37.615486141662998</v>
      </c>
      <c r="E7" s="47">
        <f>159/4.546</f>
        <v>34.975802903651562</v>
      </c>
      <c r="F7" s="47">
        <f>149.83/4.546</f>
        <v>32.958644962604488</v>
      </c>
      <c r="G7" s="47">
        <f>180/4.546</f>
        <v>39.595248570171577</v>
      </c>
      <c r="H7" s="47">
        <f>270/4.546</f>
        <v>59.392872855257366</v>
      </c>
      <c r="I7" s="47">
        <f>282/4.546</f>
        <v>62.032556093268802</v>
      </c>
      <c r="J7" s="47">
        <f>251.5/4.546</f>
        <v>55.3233611966564</v>
      </c>
      <c r="K7" s="48">
        <f>305/4.546</f>
        <v>67.091948966124065</v>
      </c>
      <c r="L7" s="48">
        <f>367.09/4.546</f>
        <v>80.750109986801576</v>
      </c>
      <c r="M7" s="47">
        <f>532.05/4.546</f>
        <v>117.03695556533215</v>
      </c>
      <c r="N7" s="47">
        <f>584.38/4.546</f>
        <v>128.54817421909371</v>
      </c>
      <c r="O7" s="48">
        <f>622.11/4.546</f>
        <v>136.847778266608</v>
      </c>
      <c r="P7" s="48">
        <f>960.17/4.546</f>
        <v>211.21205455345356</v>
      </c>
      <c r="Q7" s="48">
        <f>610.87/4.546</f>
        <v>134.37527496700395</v>
      </c>
      <c r="R7" s="48">
        <f>639.5/4.546</f>
        <v>140.67311922569291</v>
      </c>
      <c r="S7" s="48">
        <f>858.11/4.546</f>
        <v>188.76154861416629</v>
      </c>
      <c r="T7" s="48">
        <f>906.82/4.546</f>
        <v>199.47646282446107</v>
      </c>
      <c r="U7" s="48">
        <f>920.55629118774/4.546</f>
        <v>202.49808429118787</v>
      </c>
      <c r="V7" s="48">
        <v>202.66666666666666</v>
      </c>
      <c r="W7" s="318">
        <f>(V7-U7)/U7</f>
        <v>8.3251343373883001E-4</v>
      </c>
      <c r="Y7" s="53"/>
    </row>
    <row r="8" spans="1:25" ht="24" customHeight="1" x14ac:dyDescent="0.25">
      <c r="A8" s="10" t="s">
        <v>55</v>
      </c>
      <c r="B8" s="49">
        <v>825</v>
      </c>
      <c r="C8" s="49">
        <v>1000</v>
      </c>
      <c r="D8" s="47">
        <v>1087</v>
      </c>
      <c r="E8" s="47">
        <v>1239</v>
      </c>
      <c r="F8" s="47">
        <v>1200</v>
      </c>
      <c r="G8" s="47">
        <v>1379</v>
      </c>
      <c r="H8" s="47">
        <v>1715</v>
      </c>
      <c r="I8" s="47">
        <v>1802</v>
      </c>
      <c r="J8" s="47">
        <v>1559</v>
      </c>
      <c r="K8" s="50">
        <v>1932.67</v>
      </c>
      <c r="L8" s="50">
        <v>2112</v>
      </c>
      <c r="M8" s="47">
        <v>2210.83</v>
      </c>
      <c r="N8" s="47">
        <v>2715</v>
      </c>
      <c r="O8" s="50">
        <v>2779.75</v>
      </c>
      <c r="P8" s="50">
        <v>3326.22</v>
      </c>
      <c r="Q8" s="50">
        <v>2922.5</v>
      </c>
      <c r="R8" s="50">
        <v>3100</v>
      </c>
      <c r="S8" s="50">
        <v>3583.14</v>
      </c>
      <c r="T8" s="50">
        <v>3419.85</v>
      </c>
      <c r="U8" s="50">
        <v>3537.2</v>
      </c>
      <c r="V8" s="50">
        <v>3649.2245989304811</v>
      </c>
      <c r="W8" s="318">
        <f>(V8-U8)/U8</f>
        <v>3.1670416976840796E-2</v>
      </c>
    </row>
    <row r="9" spans="1:25" ht="13.5" customHeight="1" x14ac:dyDescent="0.25">
      <c r="A9" s="11" t="s">
        <v>46</v>
      </c>
      <c r="B9" s="12"/>
      <c r="C9" s="13"/>
      <c r="D9" s="14"/>
      <c r="E9" s="14"/>
      <c r="F9" s="14"/>
      <c r="G9" s="14"/>
      <c r="H9" s="14"/>
      <c r="I9" s="14"/>
      <c r="J9" s="14"/>
      <c r="K9" s="14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319"/>
    </row>
    <row r="10" spans="1:25" ht="12" customHeight="1" x14ac:dyDescent="0.25">
      <c r="A10" s="11" t="s">
        <v>47</v>
      </c>
      <c r="B10" s="12"/>
      <c r="C10" s="1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4">
        <f>AVERAGE(U5:U7)</f>
        <v>217.74759472115775</v>
      </c>
      <c r="V10" s="54">
        <f>AVERAGE(V5:V7)</f>
        <v>216.456939040207</v>
      </c>
      <c r="W10" s="318">
        <f>(V10-U10)/U10</f>
        <v>-5.9273016659657316E-3</v>
      </c>
    </row>
    <row r="11" spans="1:25" ht="16.149999999999999" customHeight="1" x14ac:dyDescent="0.2">
      <c r="A11" s="16"/>
      <c r="B11" s="13"/>
      <c r="C11" s="1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4"/>
      <c r="U11" s="54"/>
      <c r="V11" s="54"/>
      <c r="W11" s="54"/>
    </row>
    <row r="12" spans="1:25" ht="16.149999999999999" customHeight="1" x14ac:dyDescent="0.25">
      <c r="A12" s="16"/>
      <c r="B12" s="13"/>
      <c r="C12" s="1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17"/>
      <c r="S12" s="18"/>
      <c r="T12" s="19"/>
      <c r="U12" s="19"/>
      <c r="V12" s="19"/>
    </row>
    <row r="13" spans="1:25" ht="16.149999999999999" customHeight="1" x14ac:dyDescent="0.25">
      <c r="A13" s="16"/>
      <c r="B13" s="13"/>
      <c r="C13" s="1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0"/>
      <c r="S13" s="20"/>
      <c r="T13" s="20"/>
      <c r="U13" s="20"/>
      <c r="V13" s="20"/>
    </row>
    <row r="14" spans="1:25" ht="16.149999999999999" customHeight="1" x14ac:dyDescent="0.25">
      <c r="A14" s="16"/>
      <c r="B14" s="13"/>
      <c r="C14" s="1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1"/>
      <c r="U14" s="22"/>
      <c r="V14" s="22"/>
      <c r="W14" s="320"/>
    </row>
    <row r="15" spans="1:25" ht="16.149999999999999" customHeight="1" x14ac:dyDescent="0.25">
      <c r="A15" s="16"/>
      <c r="B15" s="13"/>
      <c r="C15" s="1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3"/>
      <c r="T15" s="22"/>
      <c r="U15" s="22"/>
      <c r="V15" s="22"/>
      <c r="W15" s="320"/>
    </row>
    <row r="16" spans="1:25" ht="16.149999999999999" customHeight="1" x14ac:dyDescent="0.25">
      <c r="A16" s="16"/>
      <c r="B16" s="13"/>
      <c r="C16" s="1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4"/>
      <c r="T16" s="21"/>
      <c r="U16" s="22"/>
      <c r="V16" s="22"/>
      <c r="W16" s="320"/>
    </row>
    <row r="17" spans="1:23" ht="16.149999999999999" customHeight="1" x14ac:dyDescent="0.25">
      <c r="A17" s="16"/>
      <c r="B17" s="13"/>
      <c r="C17" s="1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4"/>
      <c r="T17" s="21"/>
      <c r="U17" s="22"/>
      <c r="V17" s="22"/>
      <c r="W17" s="320"/>
    </row>
    <row r="18" spans="1:23" ht="16.149999999999999" customHeight="1" x14ac:dyDescent="0.2">
      <c r="A18" s="16"/>
      <c r="B18" s="13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5"/>
    </row>
    <row r="19" spans="1:23" ht="16.149999999999999" customHeight="1" x14ac:dyDescent="0.2">
      <c r="A19" s="16"/>
      <c r="B19" s="13"/>
      <c r="C19" s="1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6.149999999999999" customHeight="1" x14ac:dyDescent="0.2">
      <c r="A20" s="16"/>
      <c r="B20" s="13"/>
      <c r="C20" s="1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6.149999999999999" customHeight="1" x14ac:dyDescent="0.2">
      <c r="A21" s="16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6.149999999999999" customHeight="1" x14ac:dyDescent="0.2">
      <c r="A22" s="16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6.149999999999999" customHeight="1" x14ac:dyDescent="0.2">
      <c r="A23" s="16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6.149999999999999" customHeight="1" x14ac:dyDescent="0.25">
      <c r="A24" s="26"/>
      <c r="B24" s="2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6.149999999999999" customHeight="1" x14ac:dyDescent="0.25">
      <c r="A25" s="26"/>
      <c r="B25" s="2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6.149999999999999" customHeight="1" x14ac:dyDescent="0.25">
      <c r="A26" s="26"/>
      <c r="B26" s="2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6.149999999999999" customHeight="1" x14ac:dyDescent="0.25">
      <c r="A27" s="26"/>
      <c r="B27" s="2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6.149999999999999" customHeight="1" x14ac:dyDescent="0.25">
      <c r="A28" s="26"/>
      <c r="B28" s="2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6.149999999999999" customHeight="1" x14ac:dyDescent="0.25">
      <c r="A29" s="26"/>
      <c r="B29" s="2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6.149999999999999" customHeight="1" x14ac:dyDescent="0.25">
      <c r="A30" s="26"/>
      <c r="B30" s="2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6.149999999999999" customHeight="1" x14ac:dyDescent="0.25">
      <c r="A31" s="26"/>
      <c r="B31" s="2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6.149999999999999" customHeight="1" x14ac:dyDescent="0.25">
      <c r="A32" s="26"/>
      <c r="B32" s="2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6.149999999999999" customHeight="1" x14ac:dyDescent="0.25">
      <c r="A33" s="28"/>
      <c r="B33" s="2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6.149999999999999" customHeight="1" x14ac:dyDescent="0.25">
      <c r="A34" s="26"/>
      <c r="B34" s="27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6.149999999999999" customHeight="1" x14ac:dyDescent="0.3">
      <c r="A35" s="165" t="s">
        <v>48</v>
      </c>
      <c r="B35" s="4"/>
      <c r="C35" s="4"/>
      <c r="D35" s="5"/>
      <c r="E35" s="5"/>
      <c r="F35" s="5"/>
      <c r="G35" s="5"/>
      <c r="H35" s="5"/>
      <c r="I35" s="5"/>
      <c r="J35" s="4"/>
      <c r="K35" s="4"/>
      <c r="L35" s="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6.149999999999999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6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6.14999999999999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6.149999999999999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"/>
      <c r="T38" s="2"/>
      <c r="U38" s="2"/>
      <c r="V38" s="2"/>
      <c r="W38" s="2"/>
    </row>
    <row r="39" spans="1:23" ht="16.149999999999999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2"/>
      <c r="L39" s="32"/>
      <c r="M39" s="21"/>
      <c r="N39" s="21"/>
      <c r="O39" s="21"/>
      <c r="P39" s="21"/>
      <c r="Q39" s="21"/>
      <c r="R39" s="21"/>
      <c r="S39" s="2"/>
      <c r="T39" s="2"/>
      <c r="U39" s="2"/>
      <c r="V39" s="2"/>
      <c r="W39" s="2"/>
    </row>
    <row r="40" spans="1:23" ht="16.149999999999999" customHeight="1" x14ac:dyDescent="0.25">
      <c r="A40" s="30"/>
      <c r="B40" s="33"/>
      <c r="C40" s="33"/>
      <c r="D40" s="31"/>
      <c r="E40" s="31"/>
      <c r="F40" s="31"/>
      <c r="G40" s="31"/>
      <c r="H40" s="31"/>
      <c r="I40" s="31"/>
      <c r="J40" s="31"/>
      <c r="K40" s="33"/>
      <c r="L40" s="33"/>
      <c r="M40" s="22"/>
      <c r="N40" s="21"/>
      <c r="O40" s="21"/>
      <c r="P40" s="21"/>
      <c r="Q40" s="21"/>
      <c r="R40" s="21"/>
      <c r="S40" s="2"/>
      <c r="T40" s="2"/>
      <c r="U40" s="2"/>
      <c r="V40" s="2"/>
      <c r="W40" s="2"/>
    </row>
    <row r="41" spans="1:23" ht="16.149999999999999" customHeight="1" x14ac:dyDescent="0.25">
      <c r="A41" s="30"/>
      <c r="B41" s="33"/>
      <c r="C41" s="33"/>
      <c r="D41" s="31"/>
      <c r="E41" s="31"/>
      <c r="F41" s="31"/>
      <c r="G41" s="31"/>
      <c r="H41" s="31"/>
      <c r="I41" s="31"/>
      <c r="J41" s="31"/>
      <c r="K41" s="33"/>
      <c r="L41" s="33"/>
      <c r="M41" s="21"/>
      <c r="N41" s="21"/>
      <c r="O41" s="21"/>
      <c r="P41" s="21"/>
      <c r="Q41" s="21"/>
      <c r="R41" s="21"/>
      <c r="S41" s="2"/>
      <c r="T41" s="2"/>
      <c r="U41" s="2"/>
      <c r="V41" s="2"/>
      <c r="W41" s="2"/>
    </row>
    <row r="42" spans="1:23" ht="16.149999999999999" customHeight="1" x14ac:dyDescent="0.25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2"/>
      <c r="L42" s="32"/>
      <c r="M42" s="21"/>
      <c r="N42" s="21"/>
      <c r="O42" s="21"/>
      <c r="P42" s="21"/>
      <c r="Q42" s="21"/>
      <c r="R42" s="21"/>
      <c r="S42" s="2"/>
      <c r="T42" s="2"/>
      <c r="U42" s="2"/>
      <c r="V42" s="2"/>
      <c r="W42" s="2"/>
    </row>
    <row r="43" spans="1:23" ht="16.149999999999999" customHeight="1" x14ac:dyDescent="0.25">
      <c r="A43" s="30"/>
      <c r="B43" s="33"/>
      <c r="C43" s="33"/>
      <c r="D43" s="31"/>
      <c r="E43" s="31"/>
      <c r="F43" s="31"/>
      <c r="G43" s="31"/>
      <c r="H43" s="31"/>
      <c r="I43" s="31"/>
      <c r="J43" s="31"/>
      <c r="K43" s="33"/>
      <c r="L43" s="33"/>
      <c r="M43" s="21"/>
      <c r="N43" s="21"/>
      <c r="O43" s="21"/>
      <c r="P43" s="21"/>
      <c r="Q43" s="21"/>
      <c r="R43" s="21"/>
      <c r="S43" s="2"/>
      <c r="T43" s="2"/>
      <c r="U43" s="2"/>
      <c r="V43" s="2"/>
      <c r="W43" s="2"/>
    </row>
    <row r="44" spans="1:23" ht="21.75" customHeight="1" x14ac:dyDescent="0.4">
      <c r="A44" s="34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5"/>
      <c r="N44" s="36"/>
      <c r="O44" s="21"/>
      <c r="P44" s="21"/>
      <c r="Q44" s="21"/>
      <c r="R44" s="21"/>
      <c r="S44" s="2"/>
      <c r="T44" s="2"/>
      <c r="U44" s="2"/>
      <c r="V44" s="2"/>
      <c r="W44" s="2"/>
    </row>
    <row r="45" spans="1:23" ht="16.149999999999999" customHeight="1" x14ac:dyDescent="0.25">
      <c r="A45" s="26"/>
      <c r="B45" s="2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6.149999999999999" customHeight="1" x14ac:dyDescent="0.25">
      <c r="A46" s="26"/>
      <c r="B46" s="27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6.149999999999999" customHeight="1" x14ac:dyDescent="0.25">
      <c r="A47" s="26"/>
      <c r="B47" s="2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6.149999999999999" customHeight="1" x14ac:dyDescent="0.25">
      <c r="A48" s="26"/>
      <c r="B48" s="27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15" ht="16.149999999999999" customHeight="1" x14ac:dyDescent="0.25">
      <c r="A49" s="37"/>
      <c r="B49" s="38"/>
    </row>
    <row r="50" spans="1:15" ht="16.149999999999999" customHeight="1" x14ac:dyDescent="0.25">
      <c r="A50" s="37"/>
      <c r="B50" s="38"/>
    </row>
    <row r="51" spans="1:15" ht="16.149999999999999" customHeight="1" x14ac:dyDescent="0.25">
      <c r="A51" s="37"/>
      <c r="B51" s="38"/>
    </row>
    <row r="52" spans="1:15" ht="16.149999999999999" customHeight="1" x14ac:dyDescent="0.25">
      <c r="A52" s="37"/>
      <c r="B52" s="38"/>
    </row>
    <row r="53" spans="1:15" ht="16.149999999999999" customHeight="1" x14ac:dyDescent="0.25">
      <c r="A53" s="37"/>
      <c r="B53" s="38"/>
      <c r="O53" s="3" t="s">
        <v>56</v>
      </c>
    </row>
    <row r="54" spans="1:15" ht="16.149999999999999" customHeight="1" x14ac:dyDescent="0.25">
      <c r="A54" s="37"/>
      <c r="B54" s="38"/>
    </row>
    <row r="55" spans="1:15" ht="16.149999999999999" customHeight="1" x14ac:dyDescent="0.25">
      <c r="A55" s="37"/>
      <c r="B55" s="38"/>
    </row>
    <row r="56" spans="1:15" ht="16.149999999999999" customHeight="1" x14ac:dyDescent="0.25">
      <c r="A56" s="37"/>
      <c r="B56" s="38"/>
    </row>
    <row r="57" spans="1:15" ht="19.149999999999999" customHeight="1" x14ac:dyDescent="0.2"/>
    <row r="58" spans="1:15" ht="19.899999999999999" customHeight="1" x14ac:dyDescent="0.2"/>
    <row r="64" spans="1:15" ht="15.75" x14ac:dyDescent="0.25">
      <c r="A64" s="39"/>
    </row>
    <row r="69" spans="1:1" ht="15" x14ac:dyDescent="0.25">
      <c r="A69" s="40"/>
    </row>
    <row r="84" spans="1:12" x14ac:dyDescent="0.2">
      <c r="B84" s="41"/>
      <c r="C84" s="41"/>
      <c r="D84" s="41"/>
      <c r="E84" s="41"/>
      <c r="F84" s="41"/>
      <c r="G84" s="42"/>
      <c r="H84" s="42"/>
      <c r="I84" s="42"/>
      <c r="J84" s="42"/>
      <c r="K84" s="42"/>
      <c r="L84" s="42"/>
    </row>
    <row r="95" spans="1:12" ht="15.75" x14ac:dyDescent="0.25">
      <c r="A95" s="43"/>
      <c r="B95" s="42"/>
      <c r="C95" s="42"/>
      <c r="D95" s="41"/>
      <c r="E95" s="41"/>
      <c r="F95" s="41"/>
      <c r="G95" s="41"/>
      <c r="H95" s="41"/>
      <c r="I95" s="41"/>
      <c r="J95" s="42"/>
      <c r="K95" s="42"/>
      <c r="L95" s="42"/>
    </row>
    <row r="96" spans="1:12" ht="15.75" x14ac:dyDescent="0.25">
      <c r="A96" s="43"/>
      <c r="B96" s="42"/>
      <c r="C96" s="42"/>
      <c r="D96" s="41"/>
      <c r="E96" s="41"/>
      <c r="F96" s="41"/>
      <c r="G96" s="41"/>
      <c r="H96" s="41"/>
      <c r="I96" s="41"/>
      <c r="J96" s="42"/>
      <c r="K96" s="42"/>
      <c r="L96" s="42"/>
    </row>
    <row r="97" spans="1:12" ht="15.75" x14ac:dyDescent="0.25">
      <c r="A97" s="43"/>
      <c r="B97" s="42"/>
      <c r="C97" s="42"/>
      <c r="D97" s="41"/>
      <c r="E97" s="41"/>
      <c r="F97" s="41"/>
      <c r="G97" s="41"/>
      <c r="H97" s="41"/>
      <c r="I97" s="41"/>
      <c r="J97" s="42"/>
      <c r="K97" s="42"/>
      <c r="L97" s="42"/>
    </row>
  </sheetData>
  <mergeCells count="1">
    <mergeCell ref="A2:S2"/>
  </mergeCells>
  <pageMargins left="2.1437007870000002" right="0.39370078740157499" top="0.39370078740157499" bottom="0.39370078740157499" header="0.511811023622047" footer="0.511811023622047"/>
  <pageSetup paperSize="5" scale="66" orientation="landscape" horizontalDpi="300" verticalDpi="300" r:id="rId1"/>
  <headerFooter alignWithMargins="0"/>
  <rowBreaks count="2" manualBreakCount="2">
    <brk id="33" max="12" man="1"/>
    <brk id="7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F1" zoomScale="90" zoomScaleNormal="90" workbookViewId="0">
      <selection activeCell="P15" sqref="P15"/>
    </sheetView>
  </sheetViews>
  <sheetFormatPr defaultRowHeight="12.75" x14ac:dyDescent="0.2"/>
  <cols>
    <col min="1" max="1" width="14" style="52" customWidth="1"/>
    <col min="2" max="2" width="9.5703125" style="52" bestFit="1" customWidth="1"/>
    <col min="3" max="9" width="11.42578125" style="52" bestFit="1" customWidth="1"/>
    <col min="10" max="10" width="11" style="52" customWidth="1"/>
    <col min="11" max="11" width="10.140625" style="52" customWidth="1"/>
    <col min="12" max="12" width="10.28515625" style="52" customWidth="1"/>
    <col min="13" max="21" width="11.42578125" style="52" bestFit="1" customWidth="1"/>
    <col min="22" max="22" width="10" style="52" bestFit="1" customWidth="1"/>
    <col min="23" max="23" width="9.7109375" style="52" bestFit="1" customWidth="1"/>
    <col min="24" max="16384" width="9.140625" style="52"/>
  </cols>
  <sheetData>
    <row r="2" spans="1:23" ht="16.5" x14ac:dyDescent="0.3">
      <c r="A2" s="300" t="s">
        <v>43</v>
      </c>
      <c r="B2" s="301"/>
      <c r="C2" s="301"/>
      <c r="D2" s="301"/>
      <c r="E2" s="301"/>
      <c r="F2" s="301"/>
      <c r="G2" s="85"/>
      <c r="H2" s="85"/>
      <c r="I2" s="85"/>
      <c r="J2" s="85"/>
      <c r="K2" s="85"/>
      <c r="L2" s="85"/>
    </row>
    <row r="3" spans="1:23" ht="15.75" x14ac:dyDescent="0.25">
      <c r="A3" s="302"/>
      <c r="B3" s="85"/>
      <c r="C3" s="85"/>
      <c r="D3" s="301"/>
      <c r="E3" s="301"/>
      <c r="F3" s="301"/>
      <c r="G3" s="301"/>
      <c r="H3" s="301"/>
      <c r="I3" s="301"/>
      <c r="J3" s="125" t="s">
        <v>44</v>
      </c>
      <c r="K3" s="125"/>
      <c r="L3" s="85"/>
    </row>
    <row r="4" spans="1:23" ht="15.75" x14ac:dyDescent="0.25">
      <c r="A4" s="303"/>
      <c r="B4" s="304">
        <v>1994</v>
      </c>
      <c r="C4" s="304">
        <v>1995</v>
      </c>
      <c r="D4" s="304">
        <v>1996</v>
      </c>
      <c r="E4" s="304">
        <v>1997</v>
      </c>
      <c r="F4" s="304">
        <v>1998</v>
      </c>
      <c r="G4" s="304">
        <v>1999</v>
      </c>
      <c r="H4" s="304">
        <v>2000</v>
      </c>
      <c r="I4" s="304">
        <v>2001</v>
      </c>
      <c r="J4" s="304">
        <v>2002</v>
      </c>
      <c r="K4" s="304">
        <v>2003</v>
      </c>
      <c r="L4" s="304">
        <v>2004</v>
      </c>
      <c r="M4" s="304">
        <v>2005</v>
      </c>
      <c r="N4" s="167">
        <v>2006</v>
      </c>
      <c r="O4" s="167">
        <v>2007</v>
      </c>
      <c r="P4" s="167">
        <v>2008</v>
      </c>
      <c r="Q4" s="167">
        <v>2009</v>
      </c>
      <c r="R4" s="167">
        <v>2010</v>
      </c>
      <c r="S4" s="167">
        <v>2011</v>
      </c>
      <c r="T4" s="167">
        <v>2012</v>
      </c>
      <c r="U4" s="167">
        <v>2013</v>
      </c>
      <c r="V4" s="167">
        <v>2014</v>
      </c>
    </row>
    <row r="5" spans="1:23" ht="15.75" x14ac:dyDescent="0.25">
      <c r="A5" s="305" t="s">
        <v>41</v>
      </c>
      <c r="B5" s="89">
        <v>194.81</v>
      </c>
      <c r="C5" s="89">
        <v>219.89</v>
      </c>
      <c r="D5" s="90">
        <v>250.5</v>
      </c>
      <c r="E5" s="90">
        <v>240.5</v>
      </c>
      <c r="F5" s="90">
        <v>206.96</v>
      </c>
      <c r="G5" s="90">
        <v>270</v>
      </c>
      <c r="H5" s="90">
        <v>365</v>
      </c>
      <c r="I5" s="90">
        <v>361</v>
      </c>
      <c r="J5" s="90">
        <v>397.42</v>
      </c>
      <c r="K5" s="91">
        <v>458</v>
      </c>
      <c r="L5" s="91">
        <v>558.66</v>
      </c>
      <c r="M5" s="306">
        <v>709.01</v>
      </c>
      <c r="N5" s="306">
        <v>789.94</v>
      </c>
      <c r="O5" s="307">
        <v>792.62</v>
      </c>
      <c r="P5" s="308">
        <v>951</v>
      </c>
      <c r="Q5" s="308">
        <v>693.59</v>
      </c>
      <c r="R5" s="308">
        <v>856.79</v>
      </c>
      <c r="S5" s="308">
        <v>1004.94</v>
      </c>
      <c r="T5" s="308">
        <v>1008.18</v>
      </c>
      <c r="U5" s="308">
        <v>1040.74951213282</v>
      </c>
      <c r="V5" s="308">
        <f>'[1]Prices RT &amp; WS (2)'!V5*4.546</f>
        <v>1031.2739561608232</v>
      </c>
      <c r="W5" s="53"/>
    </row>
    <row r="6" spans="1:23" ht="15.75" x14ac:dyDescent="0.25">
      <c r="A6" s="305" t="s">
        <v>42</v>
      </c>
      <c r="B6" s="89">
        <v>198.06</v>
      </c>
      <c r="C6" s="89">
        <v>205.04</v>
      </c>
      <c r="D6" s="90">
        <v>243</v>
      </c>
      <c r="E6" s="90">
        <v>219</v>
      </c>
      <c r="F6" s="90">
        <v>200.5</v>
      </c>
      <c r="G6" s="90">
        <v>243</v>
      </c>
      <c r="H6" s="90">
        <v>337</v>
      </c>
      <c r="I6" s="90">
        <v>323</v>
      </c>
      <c r="J6" s="90">
        <v>321.08</v>
      </c>
      <c r="K6" s="91">
        <v>370</v>
      </c>
      <c r="L6" s="91">
        <v>463.33</v>
      </c>
      <c r="M6" s="306">
        <v>610.6</v>
      </c>
      <c r="N6" s="306">
        <v>640.34</v>
      </c>
      <c r="O6" s="307">
        <v>725.83</v>
      </c>
      <c r="P6" s="307">
        <v>989.27</v>
      </c>
      <c r="Q6" s="307">
        <v>712.24</v>
      </c>
      <c r="R6" s="308">
        <v>798.14</v>
      </c>
      <c r="S6" s="308">
        <v>970.79</v>
      </c>
      <c r="T6" s="308">
        <v>989.51</v>
      </c>
      <c r="U6" s="308">
        <v>1008.33589348659</v>
      </c>
      <c r="V6" s="308">
        <f>'[1]Prices RT &amp; WS (2)'!V6*4.546</f>
        <v>999.44311180285388</v>
      </c>
      <c r="W6" s="53"/>
    </row>
    <row r="7" spans="1:23" ht="15.75" x14ac:dyDescent="0.25">
      <c r="A7" s="305" t="s">
        <v>36</v>
      </c>
      <c r="B7" s="89">
        <v>146.74</v>
      </c>
      <c r="C7" s="89">
        <v>149.91999999999999</v>
      </c>
      <c r="D7" s="90">
        <v>171</v>
      </c>
      <c r="E7" s="90">
        <v>159</v>
      </c>
      <c r="F7" s="90">
        <v>149.83000000000001</v>
      </c>
      <c r="G7" s="90">
        <v>180</v>
      </c>
      <c r="H7" s="90">
        <v>270</v>
      </c>
      <c r="I7" s="90">
        <v>282</v>
      </c>
      <c r="J7" s="90">
        <v>251.5</v>
      </c>
      <c r="K7" s="91">
        <v>305</v>
      </c>
      <c r="L7" s="91">
        <v>367.09</v>
      </c>
      <c r="M7" s="306">
        <v>532.04999999999995</v>
      </c>
      <c r="N7" s="306">
        <v>584.38</v>
      </c>
      <c r="O7" s="307">
        <v>622.11</v>
      </c>
      <c r="P7" s="307">
        <v>960.17</v>
      </c>
      <c r="Q7" s="307">
        <v>610.87</v>
      </c>
      <c r="R7" s="308">
        <v>639.5</v>
      </c>
      <c r="S7" s="308">
        <v>853.04</v>
      </c>
      <c r="T7" s="308">
        <v>906.82</v>
      </c>
      <c r="U7" s="308">
        <v>920.55629118774004</v>
      </c>
      <c r="V7" s="308">
        <f>'[1]Prices RT &amp; WS (2)'!V7*4.546</f>
        <v>921.32266666666669</v>
      </c>
      <c r="W7" s="53"/>
    </row>
    <row r="8" spans="1:23" s="166" customFormat="1" ht="21.75" customHeight="1" x14ac:dyDescent="0.4">
      <c r="A8" s="309" t="s">
        <v>45</v>
      </c>
      <c r="B8" s="310">
        <v>825</v>
      </c>
      <c r="C8" s="310">
        <v>1000</v>
      </c>
      <c r="D8" s="90">
        <v>1087</v>
      </c>
      <c r="E8" s="90">
        <v>1239</v>
      </c>
      <c r="F8" s="90">
        <v>1200</v>
      </c>
      <c r="G8" s="90">
        <v>1379</v>
      </c>
      <c r="H8" s="90">
        <v>1715</v>
      </c>
      <c r="I8" s="90">
        <v>1802</v>
      </c>
      <c r="J8" s="90">
        <v>1559</v>
      </c>
      <c r="K8" s="311">
        <v>1932.67</v>
      </c>
      <c r="L8" s="311">
        <v>2112</v>
      </c>
      <c r="M8" s="90">
        <v>2210.83</v>
      </c>
      <c r="N8" s="90">
        <v>2715</v>
      </c>
      <c r="O8" s="311">
        <v>2779.75</v>
      </c>
      <c r="P8" s="311">
        <v>3326.22</v>
      </c>
      <c r="Q8" s="311">
        <v>2922.5</v>
      </c>
      <c r="R8" s="311">
        <v>3100</v>
      </c>
      <c r="S8" s="311">
        <v>3583.14</v>
      </c>
      <c r="T8" s="311">
        <v>3419.85</v>
      </c>
      <c r="U8" s="311">
        <v>3537.2</v>
      </c>
      <c r="V8" s="311">
        <f>'[1]Prices RT &amp; WS (2)'!V8</f>
        <v>3649.2245989304811</v>
      </c>
      <c r="W8" s="312"/>
    </row>
    <row r="9" spans="1:23" ht="13.5" customHeight="1" x14ac:dyDescent="0.25">
      <c r="A9" s="313" t="s">
        <v>46</v>
      </c>
      <c r="B9" s="314"/>
      <c r="C9" s="131"/>
      <c r="D9" s="92"/>
      <c r="E9" s="92"/>
      <c r="F9" s="92"/>
      <c r="G9" s="92"/>
      <c r="H9" s="92"/>
      <c r="I9" s="92"/>
      <c r="J9" s="92"/>
      <c r="K9" s="92"/>
      <c r="L9" s="315"/>
      <c r="M9" s="157"/>
    </row>
    <row r="10" spans="1:23" ht="12" customHeight="1" x14ac:dyDescent="0.2">
      <c r="A10" s="316" t="s">
        <v>47</v>
      </c>
      <c r="B10" s="314"/>
      <c r="C10" s="131"/>
    </row>
    <row r="11" spans="1:23" ht="16.149999999999999" customHeight="1" x14ac:dyDescent="0.2">
      <c r="A11" s="156"/>
      <c r="B11" s="131"/>
      <c r="C11" s="131"/>
    </row>
    <row r="12" spans="1:23" ht="16.149999999999999" customHeight="1" x14ac:dyDescent="0.2">
      <c r="A12" s="156"/>
      <c r="B12" s="131"/>
      <c r="C12" s="131"/>
    </row>
    <row r="13" spans="1:23" ht="16.149999999999999" customHeight="1" x14ac:dyDescent="0.2">
      <c r="A13" s="156"/>
      <c r="B13" s="131"/>
      <c r="C13" s="131"/>
    </row>
    <row r="14" spans="1:23" ht="16.149999999999999" customHeight="1" x14ac:dyDescent="0.2">
      <c r="A14" s="156"/>
      <c r="B14" s="131"/>
      <c r="C14" s="131"/>
    </row>
    <row r="15" spans="1:23" ht="16.149999999999999" customHeight="1" x14ac:dyDescent="0.2">
      <c r="A15" s="156"/>
      <c r="B15" s="131"/>
      <c r="C15" s="131"/>
    </row>
    <row r="16" spans="1:23" ht="16.149999999999999" customHeight="1" x14ac:dyDescent="0.2">
      <c r="A16" s="156"/>
      <c r="B16" s="131"/>
      <c r="C16" s="131"/>
    </row>
    <row r="17" spans="1:3" ht="16.149999999999999" customHeight="1" x14ac:dyDescent="0.2">
      <c r="A17" s="156"/>
      <c r="B17" s="131"/>
      <c r="C17" s="131"/>
    </row>
    <row r="18" spans="1:3" ht="16.149999999999999" customHeight="1" x14ac:dyDescent="0.2">
      <c r="A18" s="156"/>
      <c r="B18" s="131"/>
      <c r="C18" s="131"/>
    </row>
    <row r="19" spans="1:3" ht="16.149999999999999" customHeight="1" x14ac:dyDescent="0.2">
      <c r="A19" s="156"/>
      <c r="B19" s="131"/>
      <c r="C19" s="131"/>
    </row>
    <row r="20" spans="1:3" ht="16.149999999999999" customHeight="1" x14ac:dyDescent="0.2">
      <c r="A20" s="156"/>
      <c r="B20" s="131"/>
      <c r="C20" s="131"/>
    </row>
    <row r="21" spans="1:3" ht="16.149999999999999" customHeight="1" x14ac:dyDescent="0.2">
      <c r="A21" s="156"/>
      <c r="B21" s="131"/>
      <c r="C21" s="131"/>
    </row>
    <row r="22" spans="1:3" ht="16.149999999999999" customHeight="1" x14ac:dyDescent="0.2">
      <c r="A22" s="156"/>
      <c r="B22" s="131"/>
      <c r="C22" s="131"/>
    </row>
    <row r="23" spans="1:3" ht="16.149999999999999" customHeight="1" x14ac:dyDescent="0.2">
      <c r="A23" s="156"/>
      <c r="B23" s="131"/>
      <c r="C23" s="131"/>
    </row>
    <row r="24" spans="1:3" ht="16.149999999999999" customHeight="1" x14ac:dyDescent="0.25">
      <c r="A24" s="317"/>
      <c r="B24" s="95"/>
    </row>
    <row r="25" spans="1:3" ht="16.149999999999999" customHeight="1" x14ac:dyDescent="0.25">
      <c r="A25" s="317"/>
      <c r="B25" s="95"/>
    </row>
    <row r="26" spans="1:3" ht="16.149999999999999" customHeight="1" x14ac:dyDescent="0.25">
      <c r="A26" s="317"/>
      <c r="B26" s="95"/>
    </row>
    <row r="27" spans="1:3" ht="16.149999999999999" customHeight="1" x14ac:dyDescent="0.25">
      <c r="A27" s="317"/>
      <c r="B27" s="95"/>
    </row>
    <row r="28" spans="1:3" ht="16.149999999999999" customHeight="1" x14ac:dyDescent="0.25">
      <c r="A28" s="317"/>
      <c r="B28" s="95"/>
    </row>
    <row r="29" spans="1:3" ht="16.149999999999999" customHeight="1" x14ac:dyDescent="0.25">
      <c r="A29" s="317"/>
      <c r="B29" s="95"/>
    </row>
    <row r="30" spans="1:3" ht="16.149999999999999" customHeight="1" x14ac:dyDescent="0.25">
      <c r="A30" s="317"/>
      <c r="B30" s="95"/>
    </row>
    <row r="31" spans="1:3" ht="16.149999999999999" customHeight="1" x14ac:dyDescent="0.25">
      <c r="A31" s="317"/>
      <c r="B31" s="95"/>
    </row>
    <row r="32" spans="1:3" ht="16.149999999999999" customHeight="1" x14ac:dyDescent="0.25">
      <c r="A32" s="317"/>
      <c r="B32" s="95"/>
    </row>
    <row r="33" spans="1:12" ht="16.149999999999999" customHeight="1" x14ac:dyDescent="0.25">
      <c r="A33" s="84" t="s">
        <v>48</v>
      </c>
      <c r="B33" s="95"/>
    </row>
    <row r="34" spans="1:12" ht="16.149999999999999" customHeight="1" x14ac:dyDescent="0.25">
      <c r="A34" s="317"/>
      <c r="B34" s="95"/>
    </row>
    <row r="35" spans="1:12" ht="15.75" x14ac:dyDescent="0.25">
      <c r="A35" s="138"/>
      <c r="B35" s="85"/>
      <c r="C35" s="85"/>
      <c r="D35" s="301"/>
      <c r="E35" s="301"/>
      <c r="F35" s="301"/>
      <c r="G35" s="301"/>
      <c r="H35" s="301"/>
      <c r="I35" s="301"/>
      <c r="J35" s="85"/>
      <c r="K35" s="85"/>
      <c r="L35" s="85"/>
    </row>
    <row r="36" spans="1:12" ht="15.75" x14ac:dyDescent="0.25">
      <c r="A36" s="138"/>
      <c r="B36" s="85"/>
      <c r="C36" s="85"/>
      <c r="D36" s="301"/>
      <c r="E36" s="301"/>
      <c r="F36" s="301"/>
      <c r="G36" s="301"/>
      <c r="H36" s="301"/>
      <c r="I36" s="301"/>
      <c r="J36" s="85"/>
      <c r="K36" s="85"/>
      <c r="L36" s="85"/>
    </row>
  </sheetData>
  <pageMargins left="2.1437007870000002" right="0.39370078740157499" top="0.39370078740157499" bottom="0.39370078740157499" header="0.511811023622047" footer="0.511811023622047"/>
  <pageSetup paperSize="5" scale="66" orientation="landscape" horizontalDpi="300" verticalDpi="300" r:id="rId1"/>
  <headerFooter alignWithMargins="0"/>
  <rowBreaks count="1" manualBreakCount="1">
    <brk id="33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44"/>
  <sheetViews>
    <sheetView zoomScaleNormal="100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V15" sqref="V15"/>
    </sheetView>
  </sheetViews>
  <sheetFormatPr defaultRowHeight="12.75" x14ac:dyDescent="0.2"/>
  <cols>
    <col min="1" max="1" width="13.28515625" style="52" customWidth="1"/>
    <col min="2" max="2" width="11.140625" style="52" customWidth="1"/>
    <col min="3" max="3" width="9.42578125" style="52" customWidth="1"/>
    <col min="4" max="4" width="8.7109375" style="52" customWidth="1"/>
    <col min="5" max="6" width="10.5703125" style="52" customWidth="1"/>
    <col min="7" max="7" width="10.140625" style="52" customWidth="1"/>
    <col min="8" max="8" width="10.5703125" style="52" customWidth="1"/>
    <col min="9" max="9" width="10.140625" style="52" customWidth="1"/>
    <col min="10" max="11" width="10.5703125" style="52" customWidth="1"/>
    <col min="12" max="12" width="10.85546875" style="52" customWidth="1"/>
    <col min="13" max="13" width="11.85546875" style="52" customWidth="1"/>
    <col min="14" max="14" width="12.7109375" style="52" customWidth="1"/>
    <col min="15" max="17" width="9.85546875" style="52" customWidth="1"/>
    <col min="18" max="19" width="12.85546875" style="52" bestFit="1" customWidth="1"/>
    <col min="20" max="20" width="10.28515625" style="52" bestFit="1" customWidth="1"/>
    <col min="21" max="21" width="10.7109375" style="52" bestFit="1" customWidth="1"/>
    <col min="22" max="22" width="11.85546875" style="52" bestFit="1" customWidth="1"/>
    <col min="23" max="24" width="13.28515625" style="52" bestFit="1" customWidth="1"/>
    <col min="25" max="25" width="9.28515625" style="52" customWidth="1"/>
    <col min="26" max="256" width="9.140625" style="52"/>
    <col min="257" max="257" width="13.28515625" style="52" customWidth="1"/>
    <col min="258" max="258" width="11.140625" style="52" customWidth="1"/>
    <col min="259" max="259" width="9.42578125" style="52" customWidth="1"/>
    <col min="260" max="260" width="8.7109375" style="52" customWidth="1"/>
    <col min="261" max="262" width="10.5703125" style="52" customWidth="1"/>
    <col min="263" max="263" width="10.140625" style="52" customWidth="1"/>
    <col min="264" max="264" width="10.5703125" style="52" customWidth="1"/>
    <col min="265" max="265" width="10.140625" style="52" customWidth="1"/>
    <col min="266" max="267" width="10.5703125" style="52" customWidth="1"/>
    <col min="268" max="268" width="10.85546875" style="52" customWidth="1"/>
    <col min="269" max="269" width="11.85546875" style="52" customWidth="1"/>
    <col min="270" max="270" width="12.7109375" style="52" customWidth="1"/>
    <col min="271" max="273" width="9.85546875" style="52" customWidth="1"/>
    <col min="274" max="275" width="12.85546875" style="52" bestFit="1" customWidth="1"/>
    <col min="276" max="277" width="10.28515625" style="52" bestFit="1" customWidth="1"/>
    <col min="278" max="278" width="9.140625" style="52"/>
    <col min="279" max="280" width="13.28515625" style="52" bestFit="1" customWidth="1"/>
    <col min="281" max="281" width="9.28515625" style="52" customWidth="1"/>
    <col min="282" max="512" width="9.140625" style="52"/>
    <col min="513" max="513" width="13.28515625" style="52" customWidth="1"/>
    <col min="514" max="514" width="11.140625" style="52" customWidth="1"/>
    <col min="515" max="515" width="9.42578125" style="52" customWidth="1"/>
    <col min="516" max="516" width="8.7109375" style="52" customWidth="1"/>
    <col min="517" max="518" width="10.5703125" style="52" customWidth="1"/>
    <col min="519" max="519" width="10.140625" style="52" customWidth="1"/>
    <col min="520" max="520" width="10.5703125" style="52" customWidth="1"/>
    <col min="521" max="521" width="10.140625" style="52" customWidth="1"/>
    <col min="522" max="523" width="10.5703125" style="52" customWidth="1"/>
    <col min="524" max="524" width="10.85546875" style="52" customWidth="1"/>
    <col min="525" max="525" width="11.85546875" style="52" customWidth="1"/>
    <col min="526" max="526" width="12.7109375" style="52" customWidth="1"/>
    <col min="527" max="529" width="9.85546875" style="52" customWidth="1"/>
    <col min="530" max="531" width="12.85546875" style="52" bestFit="1" customWidth="1"/>
    <col min="532" max="533" width="10.28515625" style="52" bestFit="1" customWidth="1"/>
    <col min="534" max="534" width="9.140625" style="52"/>
    <col min="535" max="536" width="13.28515625" style="52" bestFit="1" customWidth="1"/>
    <col min="537" max="537" width="9.28515625" style="52" customWidth="1"/>
    <col min="538" max="768" width="9.140625" style="52"/>
    <col min="769" max="769" width="13.28515625" style="52" customWidth="1"/>
    <col min="770" max="770" width="11.140625" style="52" customWidth="1"/>
    <col min="771" max="771" width="9.42578125" style="52" customWidth="1"/>
    <col min="772" max="772" width="8.7109375" style="52" customWidth="1"/>
    <col min="773" max="774" width="10.5703125" style="52" customWidth="1"/>
    <col min="775" max="775" width="10.140625" style="52" customWidth="1"/>
    <col min="776" max="776" width="10.5703125" style="52" customWidth="1"/>
    <col min="777" max="777" width="10.140625" style="52" customWidth="1"/>
    <col min="778" max="779" width="10.5703125" style="52" customWidth="1"/>
    <col min="780" max="780" width="10.85546875" style="52" customWidth="1"/>
    <col min="781" max="781" width="11.85546875" style="52" customWidth="1"/>
    <col min="782" max="782" width="12.7109375" style="52" customWidth="1"/>
    <col min="783" max="785" width="9.85546875" style="52" customWidth="1"/>
    <col min="786" max="787" width="12.85546875" style="52" bestFit="1" customWidth="1"/>
    <col min="788" max="789" width="10.28515625" style="52" bestFit="1" customWidth="1"/>
    <col min="790" max="790" width="9.140625" style="52"/>
    <col min="791" max="792" width="13.28515625" style="52" bestFit="1" customWidth="1"/>
    <col min="793" max="793" width="9.28515625" style="52" customWidth="1"/>
    <col min="794" max="1024" width="9.140625" style="52"/>
    <col min="1025" max="1025" width="13.28515625" style="52" customWidth="1"/>
    <col min="1026" max="1026" width="11.140625" style="52" customWidth="1"/>
    <col min="1027" max="1027" width="9.42578125" style="52" customWidth="1"/>
    <col min="1028" max="1028" width="8.7109375" style="52" customWidth="1"/>
    <col min="1029" max="1030" width="10.5703125" style="52" customWidth="1"/>
    <col min="1031" max="1031" width="10.140625" style="52" customWidth="1"/>
    <col min="1032" max="1032" width="10.5703125" style="52" customWidth="1"/>
    <col min="1033" max="1033" width="10.140625" style="52" customWidth="1"/>
    <col min="1034" max="1035" width="10.5703125" style="52" customWidth="1"/>
    <col min="1036" max="1036" width="10.85546875" style="52" customWidth="1"/>
    <col min="1037" max="1037" width="11.85546875" style="52" customWidth="1"/>
    <col min="1038" max="1038" width="12.7109375" style="52" customWidth="1"/>
    <col min="1039" max="1041" width="9.85546875" style="52" customWidth="1"/>
    <col min="1042" max="1043" width="12.85546875" style="52" bestFit="1" customWidth="1"/>
    <col min="1044" max="1045" width="10.28515625" style="52" bestFit="1" customWidth="1"/>
    <col min="1046" max="1046" width="9.140625" style="52"/>
    <col min="1047" max="1048" width="13.28515625" style="52" bestFit="1" customWidth="1"/>
    <col min="1049" max="1049" width="9.28515625" style="52" customWidth="1"/>
    <col min="1050" max="1280" width="9.140625" style="52"/>
    <col min="1281" max="1281" width="13.28515625" style="52" customWidth="1"/>
    <col min="1282" max="1282" width="11.140625" style="52" customWidth="1"/>
    <col min="1283" max="1283" width="9.42578125" style="52" customWidth="1"/>
    <col min="1284" max="1284" width="8.7109375" style="52" customWidth="1"/>
    <col min="1285" max="1286" width="10.5703125" style="52" customWidth="1"/>
    <col min="1287" max="1287" width="10.140625" style="52" customWidth="1"/>
    <col min="1288" max="1288" width="10.5703125" style="52" customWidth="1"/>
    <col min="1289" max="1289" width="10.140625" style="52" customWidth="1"/>
    <col min="1290" max="1291" width="10.5703125" style="52" customWidth="1"/>
    <col min="1292" max="1292" width="10.85546875" style="52" customWidth="1"/>
    <col min="1293" max="1293" width="11.85546875" style="52" customWidth="1"/>
    <col min="1294" max="1294" width="12.7109375" style="52" customWidth="1"/>
    <col min="1295" max="1297" width="9.85546875" style="52" customWidth="1"/>
    <col min="1298" max="1299" width="12.85546875" style="52" bestFit="1" customWidth="1"/>
    <col min="1300" max="1301" width="10.28515625" style="52" bestFit="1" customWidth="1"/>
    <col min="1302" max="1302" width="9.140625" style="52"/>
    <col min="1303" max="1304" width="13.28515625" style="52" bestFit="1" customWidth="1"/>
    <col min="1305" max="1305" width="9.28515625" style="52" customWidth="1"/>
    <col min="1306" max="1536" width="9.140625" style="52"/>
    <col min="1537" max="1537" width="13.28515625" style="52" customWidth="1"/>
    <col min="1538" max="1538" width="11.140625" style="52" customWidth="1"/>
    <col min="1539" max="1539" width="9.42578125" style="52" customWidth="1"/>
    <col min="1540" max="1540" width="8.7109375" style="52" customWidth="1"/>
    <col min="1541" max="1542" width="10.5703125" style="52" customWidth="1"/>
    <col min="1543" max="1543" width="10.140625" style="52" customWidth="1"/>
    <col min="1544" max="1544" width="10.5703125" style="52" customWidth="1"/>
    <col min="1545" max="1545" width="10.140625" style="52" customWidth="1"/>
    <col min="1546" max="1547" width="10.5703125" style="52" customWidth="1"/>
    <col min="1548" max="1548" width="10.85546875" style="52" customWidth="1"/>
    <col min="1549" max="1549" width="11.85546875" style="52" customWidth="1"/>
    <col min="1550" max="1550" width="12.7109375" style="52" customWidth="1"/>
    <col min="1551" max="1553" width="9.85546875" style="52" customWidth="1"/>
    <col min="1554" max="1555" width="12.85546875" style="52" bestFit="1" customWidth="1"/>
    <col min="1556" max="1557" width="10.28515625" style="52" bestFit="1" customWidth="1"/>
    <col min="1558" max="1558" width="9.140625" style="52"/>
    <col min="1559" max="1560" width="13.28515625" style="52" bestFit="1" customWidth="1"/>
    <col min="1561" max="1561" width="9.28515625" style="52" customWidth="1"/>
    <col min="1562" max="1792" width="9.140625" style="52"/>
    <col min="1793" max="1793" width="13.28515625" style="52" customWidth="1"/>
    <col min="1794" max="1794" width="11.140625" style="52" customWidth="1"/>
    <col min="1795" max="1795" width="9.42578125" style="52" customWidth="1"/>
    <col min="1796" max="1796" width="8.7109375" style="52" customWidth="1"/>
    <col min="1797" max="1798" width="10.5703125" style="52" customWidth="1"/>
    <col min="1799" max="1799" width="10.140625" style="52" customWidth="1"/>
    <col min="1800" max="1800" width="10.5703125" style="52" customWidth="1"/>
    <col min="1801" max="1801" width="10.140625" style="52" customWidth="1"/>
    <col min="1802" max="1803" width="10.5703125" style="52" customWidth="1"/>
    <col min="1804" max="1804" width="10.85546875" style="52" customWidth="1"/>
    <col min="1805" max="1805" width="11.85546875" style="52" customWidth="1"/>
    <col min="1806" max="1806" width="12.7109375" style="52" customWidth="1"/>
    <col min="1807" max="1809" width="9.85546875" style="52" customWidth="1"/>
    <col min="1810" max="1811" width="12.85546875" style="52" bestFit="1" customWidth="1"/>
    <col min="1812" max="1813" width="10.28515625" style="52" bestFit="1" customWidth="1"/>
    <col min="1814" max="1814" width="9.140625" style="52"/>
    <col min="1815" max="1816" width="13.28515625" style="52" bestFit="1" customWidth="1"/>
    <col min="1817" max="1817" width="9.28515625" style="52" customWidth="1"/>
    <col min="1818" max="2048" width="9.140625" style="52"/>
    <col min="2049" max="2049" width="13.28515625" style="52" customWidth="1"/>
    <col min="2050" max="2050" width="11.140625" style="52" customWidth="1"/>
    <col min="2051" max="2051" width="9.42578125" style="52" customWidth="1"/>
    <col min="2052" max="2052" width="8.7109375" style="52" customWidth="1"/>
    <col min="2053" max="2054" width="10.5703125" style="52" customWidth="1"/>
    <col min="2055" max="2055" width="10.140625" style="52" customWidth="1"/>
    <col min="2056" max="2056" width="10.5703125" style="52" customWidth="1"/>
    <col min="2057" max="2057" width="10.140625" style="52" customWidth="1"/>
    <col min="2058" max="2059" width="10.5703125" style="52" customWidth="1"/>
    <col min="2060" max="2060" width="10.85546875" style="52" customWidth="1"/>
    <col min="2061" max="2061" width="11.85546875" style="52" customWidth="1"/>
    <col min="2062" max="2062" width="12.7109375" style="52" customWidth="1"/>
    <col min="2063" max="2065" width="9.85546875" style="52" customWidth="1"/>
    <col min="2066" max="2067" width="12.85546875" style="52" bestFit="1" customWidth="1"/>
    <col min="2068" max="2069" width="10.28515625" style="52" bestFit="1" customWidth="1"/>
    <col min="2070" max="2070" width="9.140625" style="52"/>
    <col min="2071" max="2072" width="13.28515625" style="52" bestFit="1" customWidth="1"/>
    <col min="2073" max="2073" width="9.28515625" style="52" customWidth="1"/>
    <col min="2074" max="2304" width="9.140625" style="52"/>
    <col min="2305" max="2305" width="13.28515625" style="52" customWidth="1"/>
    <col min="2306" max="2306" width="11.140625" style="52" customWidth="1"/>
    <col min="2307" max="2307" width="9.42578125" style="52" customWidth="1"/>
    <col min="2308" max="2308" width="8.7109375" style="52" customWidth="1"/>
    <col min="2309" max="2310" width="10.5703125" style="52" customWidth="1"/>
    <col min="2311" max="2311" width="10.140625" style="52" customWidth="1"/>
    <col min="2312" max="2312" width="10.5703125" style="52" customWidth="1"/>
    <col min="2313" max="2313" width="10.140625" style="52" customWidth="1"/>
    <col min="2314" max="2315" width="10.5703125" style="52" customWidth="1"/>
    <col min="2316" max="2316" width="10.85546875" style="52" customWidth="1"/>
    <col min="2317" max="2317" width="11.85546875" style="52" customWidth="1"/>
    <col min="2318" max="2318" width="12.7109375" style="52" customWidth="1"/>
    <col min="2319" max="2321" width="9.85546875" style="52" customWidth="1"/>
    <col min="2322" max="2323" width="12.85546875" style="52" bestFit="1" customWidth="1"/>
    <col min="2324" max="2325" width="10.28515625" style="52" bestFit="1" customWidth="1"/>
    <col min="2326" max="2326" width="9.140625" style="52"/>
    <col min="2327" max="2328" width="13.28515625" style="52" bestFit="1" customWidth="1"/>
    <col min="2329" max="2329" width="9.28515625" style="52" customWidth="1"/>
    <col min="2330" max="2560" width="9.140625" style="52"/>
    <col min="2561" max="2561" width="13.28515625" style="52" customWidth="1"/>
    <col min="2562" max="2562" width="11.140625" style="52" customWidth="1"/>
    <col min="2563" max="2563" width="9.42578125" style="52" customWidth="1"/>
    <col min="2564" max="2564" width="8.7109375" style="52" customWidth="1"/>
    <col min="2565" max="2566" width="10.5703125" style="52" customWidth="1"/>
    <col min="2567" max="2567" width="10.140625" style="52" customWidth="1"/>
    <col min="2568" max="2568" width="10.5703125" style="52" customWidth="1"/>
    <col min="2569" max="2569" width="10.140625" style="52" customWidth="1"/>
    <col min="2570" max="2571" width="10.5703125" style="52" customWidth="1"/>
    <col min="2572" max="2572" width="10.85546875" style="52" customWidth="1"/>
    <col min="2573" max="2573" width="11.85546875" style="52" customWidth="1"/>
    <col min="2574" max="2574" width="12.7109375" style="52" customWidth="1"/>
    <col min="2575" max="2577" width="9.85546875" style="52" customWidth="1"/>
    <col min="2578" max="2579" width="12.85546875" style="52" bestFit="1" customWidth="1"/>
    <col min="2580" max="2581" width="10.28515625" style="52" bestFit="1" customWidth="1"/>
    <col min="2582" max="2582" width="9.140625" style="52"/>
    <col min="2583" max="2584" width="13.28515625" style="52" bestFit="1" customWidth="1"/>
    <col min="2585" max="2585" width="9.28515625" style="52" customWidth="1"/>
    <col min="2586" max="2816" width="9.140625" style="52"/>
    <col min="2817" max="2817" width="13.28515625" style="52" customWidth="1"/>
    <col min="2818" max="2818" width="11.140625" style="52" customWidth="1"/>
    <col min="2819" max="2819" width="9.42578125" style="52" customWidth="1"/>
    <col min="2820" max="2820" width="8.7109375" style="52" customWidth="1"/>
    <col min="2821" max="2822" width="10.5703125" style="52" customWidth="1"/>
    <col min="2823" max="2823" width="10.140625" style="52" customWidth="1"/>
    <col min="2824" max="2824" width="10.5703125" style="52" customWidth="1"/>
    <col min="2825" max="2825" width="10.140625" style="52" customWidth="1"/>
    <col min="2826" max="2827" width="10.5703125" style="52" customWidth="1"/>
    <col min="2828" max="2828" width="10.85546875" style="52" customWidth="1"/>
    <col min="2829" max="2829" width="11.85546875" style="52" customWidth="1"/>
    <col min="2830" max="2830" width="12.7109375" style="52" customWidth="1"/>
    <col min="2831" max="2833" width="9.85546875" style="52" customWidth="1"/>
    <col min="2834" max="2835" width="12.85546875" style="52" bestFit="1" customWidth="1"/>
    <col min="2836" max="2837" width="10.28515625" style="52" bestFit="1" customWidth="1"/>
    <col min="2838" max="2838" width="9.140625" style="52"/>
    <col min="2839" max="2840" width="13.28515625" style="52" bestFit="1" customWidth="1"/>
    <col min="2841" max="2841" width="9.28515625" style="52" customWidth="1"/>
    <col min="2842" max="3072" width="9.140625" style="52"/>
    <col min="3073" max="3073" width="13.28515625" style="52" customWidth="1"/>
    <col min="3074" max="3074" width="11.140625" style="52" customWidth="1"/>
    <col min="3075" max="3075" width="9.42578125" style="52" customWidth="1"/>
    <col min="3076" max="3076" width="8.7109375" style="52" customWidth="1"/>
    <col min="3077" max="3078" width="10.5703125" style="52" customWidth="1"/>
    <col min="3079" max="3079" width="10.140625" style="52" customWidth="1"/>
    <col min="3080" max="3080" width="10.5703125" style="52" customWidth="1"/>
    <col min="3081" max="3081" width="10.140625" style="52" customWidth="1"/>
    <col min="3082" max="3083" width="10.5703125" style="52" customWidth="1"/>
    <col min="3084" max="3084" width="10.85546875" style="52" customWidth="1"/>
    <col min="3085" max="3085" width="11.85546875" style="52" customWidth="1"/>
    <col min="3086" max="3086" width="12.7109375" style="52" customWidth="1"/>
    <col min="3087" max="3089" width="9.85546875" style="52" customWidth="1"/>
    <col min="3090" max="3091" width="12.85546875" style="52" bestFit="1" customWidth="1"/>
    <col min="3092" max="3093" width="10.28515625" style="52" bestFit="1" customWidth="1"/>
    <col min="3094" max="3094" width="9.140625" style="52"/>
    <col min="3095" max="3096" width="13.28515625" style="52" bestFit="1" customWidth="1"/>
    <col min="3097" max="3097" width="9.28515625" style="52" customWidth="1"/>
    <col min="3098" max="3328" width="9.140625" style="52"/>
    <col min="3329" max="3329" width="13.28515625" style="52" customWidth="1"/>
    <col min="3330" max="3330" width="11.140625" style="52" customWidth="1"/>
    <col min="3331" max="3331" width="9.42578125" style="52" customWidth="1"/>
    <col min="3332" max="3332" width="8.7109375" style="52" customWidth="1"/>
    <col min="3333" max="3334" width="10.5703125" style="52" customWidth="1"/>
    <col min="3335" max="3335" width="10.140625" style="52" customWidth="1"/>
    <col min="3336" max="3336" width="10.5703125" style="52" customWidth="1"/>
    <col min="3337" max="3337" width="10.140625" style="52" customWidth="1"/>
    <col min="3338" max="3339" width="10.5703125" style="52" customWidth="1"/>
    <col min="3340" max="3340" width="10.85546875" style="52" customWidth="1"/>
    <col min="3341" max="3341" width="11.85546875" style="52" customWidth="1"/>
    <col min="3342" max="3342" width="12.7109375" style="52" customWidth="1"/>
    <col min="3343" max="3345" width="9.85546875" style="52" customWidth="1"/>
    <col min="3346" max="3347" width="12.85546875" style="52" bestFit="1" customWidth="1"/>
    <col min="3348" max="3349" width="10.28515625" style="52" bestFit="1" customWidth="1"/>
    <col min="3350" max="3350" width="9.140625" style="52"/>
    <col min="3351" max="3352" width="13.28515625" style="52" bestFit="1" customWidth="1"/>
    <col min="3353" max="3353" width="9.28515625" style="52" customWidth="1"/>
    <col min="3354" max="3584" width="9.140625" style="52"/>
    <col min="3585" max="3585" width="13.28515625" style="52" customWidth="1"/>
    <col min="3586" max="3586" width="11.140625" style="52" customWidth="1"/>
    <col min="3587" max="3587" width="9.42578125" style="52" customWidth="1"/>
    <col min="3588" max="3588" width="8.7109375" style="52" customWidth="1"/>
    <col min="3589" max="3590" width="10.5703125" style="52" customWidth="1"/>
    <col min="3591" max="3591" width="10.140625" style="52" customWidth="1"/>
    <col min="3592" max="3592" width="10.5703125" style="52" customWidth="1"/>
    <col min="3593" max="3593" width="10.140625" style="52" customWidth="1"/>
    <col min="3594" max="3595" width="10.5703125" style="52" customWidth="1"/>
    <col min="3596" max="3596" width="10.85546875" style="52" customWidth="1"/>
    <col min="3597" max="3597" width="11.85546875" style="52" customWidth="1"/>
    <col min="3598" max="3598" width="12.7109375" style="52" customWidth="1"/>
    <col min="3599" max="3601" width="9.85546875" style="52" customWidth="1"/>
    <col min="3602" max="3603" width="12.85546875" style="52" bestFit="1" customWidth="1"/>
    <col min="3604" max="3605" width="10.28515625" style="52" bestFit="1" customWidth="1"/>
    <col min="3606" max="3606" width="9.140625" style="52"/>
    <col min="3607" max="3608" width="13.28515625" style="52" bestFit="1" customWidth="1"/>
    <col min="3609" max="3609" width="9.28515625" style="52" customWidth="1"/>
    <col min="3610" max="3840" width="9.140625" style="52"/>
    <col min="3841" max="3841" width="13.28515625" style="52" customWidth="1"/>
    <col min="3842" max="3842" width="11.140625" style="52" customWidth="1"/>
    <col min="3843" max="3843" width="9.42578125" style="52" customWidth="1"/>
    <col min="3844" max="3844" width="8.7109375" style="52" customWidth="1"/>
    <col min="3845" max="3846" width="10.5703125" style="52" customWidth="1"/>
    <col min="3847" max="3847" width="10.140625" style="52" customWidth="1"/>
    <col min="3848" max="3848" width="10.5703125" style="52" customWidth="1"/>
    <col min="3849" max="3849" width="10.140625" style="52" customWidth="1"/>
    <col min="3850" max="3851" width="10.5703125" style="52" customWidth="1"/>
    <col min="3852" max="3852" width="10.85546875" style="52" customWidth="1"/>
    <col min="3853" max="3853" width="11.85546875" style="52" customWidth="1"/>
    <col min="3854" max="3854" width="12.7109375" style="52" customWidth="1"/>
    <col min="3855" max="3857" width="9.85546875" style="52" customWidth="1"/>
    <col min="3858" max="3859" width="12.85546875" style="52" bestFit="1" customWidth="1"/>
    <col min="3860" max="3861" width="10.28515625" style="52" bestFit="1" customWidth="1"/>
    <col min="3862" max="3862" width="9.140625" style="52"/>
    <col min="3863" max="3864" width="13.28515625" style="52" bestFit="1" customWidth="1"/>
    <col min="3865" max="3865" width="9.28515625" style="52" customWidth="1"/>
    <col min="3866" max="4096" width="9.140625" style="52"/>
    <col min="4097" max="4097" width="13.28515625" style="52" customWidth="1"/>
    <col min="4098" max="4098" width="11.140625" style="52" customWidth="1"/>
    <col min="4099" max="4099" width="9.42578125" style="52" customWidth="1"/>
    <col min="4100" max="4100" width="8.7109375" style="52" customWidth="1"/>
    <col min="4101" max="4102" width="10.5703125" style="52" customWidth="1"/>
    <col min="4103" max="4103" width="10.140625" style="52" customWidth="1"/>
    <col min="4104" max="4104" width="10.5703125" style="52" customWidth="1"/>
    <col min="4105" max="4105" width="10.140625" style="52" customWidth="1"/>
    <col min="4106" max="4107" width="10.5703125" style="52" customWidth="1"/>
    <col min="4108" max="4108" width="10.85546875" style="52" customWidth="1"/>
    <col min="4109" max="4109" width="11.85546875" style="52" customWidth="1"/>
    <col min="4110" max="4110" width="12.7109375" style="52" customWidth="1"/>
    <col min="4111" max="4113" width="9.85546875" style="52" customWidth="1"/>
    <col min="4114" max="4115" width="12.85546875" style="52" bestFit="1" customWidth="1"/>
    <col min="4116" max="4117" width="10.28515625" style="52" bestFit="1" customWidth="1"/>
    <col min="4118" max="4118" width="9.140625" style="52"/>
    <col min="4119" max="4120" width="13.28515625" style="52" bestFit="1" customWidth="1"/>
    <col min="4121" max="4121" width="9.28515625" style="52" customWidth="1"/>
    <col min="4122" max="4352" width="9.140625" style="52"/>
    <col min="4353" max="4353" width="13.28515625" style="52" customWidth="1"/>
    <col min="4354" max="4354" width="11.140625" style="52" customWidth="1"/>
    <col min="4355" max="4355" width="9.42578125" style="52" customWidth="1"/>
    <col min="4356" max="4356" width="8.7109375" style="52" customWidth="1"/>
    <col min="4357" max="4358" width="10.5703125" style="52" customWidth="1"/>
    <col min="4359" max="4359" width="10.140625" style="52" customWidth="1"/>
    <col min="4360" max="4360" width="10.5703125" style="52" customWidth="1"/>
    <col min="4361" max="4361" width="10.140625" style="52" customWidth="1"/>
    <col min="4362" max="4363" width="10.5703125" style="52" customWidth="1"/>
    <col min="4364" max="4364" width="10.85546875" style="52" customWidth="1"/>
    <col min="4365" max="4365" width="11.85546875" style="52" customWidth="1"/>
    <col min="4366" max="4366" width="12.7109375" style="52" customWidth="1"/>
    <col min="4367" max="4369" width="9.85546875" style="52" customWidth="1"/>
    <col min="4370" max="4371" width="12.85546875" style="52" bestFit="1" customWidth="1"/>
    <col min="4372" max="4373" width="10.28515625" style="52" bestFit="1" customWidth="1"/>
    <col min="4374" max="4374" width="9.140625" style="52"/>
    <col min="4375" max="4376" width="13.28515625" style="52" bestFit="1" customWidth="1"/>
    <col min="4377" max="4377" width="9.28515625" style="52" customWidth="1"/>
    <col min="4378" max="4608" width="9.140625" style="52"/>
    <col min="4609" max="4609" width="13.28515625" style="52" customWidth="1"/>
    <col min="4610" max="4610" width="11.140625" style="52" customWidth="1"/>
    <col min="4611" max="4611" width="9.42578125" style="52" customWidth="1"/>
    <col min="4612" max="4612" width="8.7109375" style="52" customWidth="1"/>
    <col min="4613" max="4614" width="10.5703125" style="52" customWidth="1"/>
    <col min="4615" max="4615" width="10.140625" style="52" customWidth="1"/>
    <col min="4616" max="4616" width="10.5703125" style="52" customWidth="1"/>
    <col min="4617" max="4617" width="10.140625" style="52" customWidth="1"/>
    <col min="4618" max="4619" width="10.5703125" style="52" customWidth="1"/>
    <col min="4620" max="4620" width="10.85546875" style="52" customWidth="1"/>
    <col min="4621" max="4621" width="11.85546875" style="52" customWidth="1"/>
    <col min="4622" max="4622" width="12.7109375" style="52" customWidth="1"/>
    <col min="4623" max="4625" width="9.85546875" style="52" customWidth="1"/>
    <col min="4626" max="4627" width="12.85546875" style="52" bestFit="1" customWidth="1"/>
    <col min="4628" max="4629" width="10.28515625" style="52" bestFit="1" customWidth="1"/>
    <col min="4630" max="4630" width="9.140625" style="52"/>
    <col min="4631" max="4632" width="13.28515625" style="52" bestFit="1" customWidth="1"/>
    <col min="4633" max="4633" width="9.28515625" style="52" customWidth="1"/>
    <col min="4634" max="4864" width="9.140625" style="52"/>
    <col min="4865" max="4865" width="13.28515625" style="52" customWidth="1"/>
    <col min="4866" max="4866" width="11.140625" style="52" customWidth="1"/>
    <col min="4867" max="4867" width="9.42578125" style="52" customWidth="1"/>
    <col min="4868" max="4868" width="8.7109375" style="52" customWidth="1"/>
    <col min="4869" max="4870" width="10.5703125" style="52" customWidth="1"/>
    <col min="4871" max="4871" width="10.140625" style="52" customWidth="1"/>
    <col min="4872" max="4872" width="10.5703125" style="52" customWidth="1"/>
    <col min="4873" max="4873" width="10.140625" style="52" customWidth="1"/>
    <col min="4874" max="4875" width="10.5703125" style="52" customWidth="1"/>
    <col min="4876" max="4876" width="10.85546875" style="52" customWidth="1"/>
    <col min="4877" max="4877" width="11.85546875" style="52" customWidth="1"/>
    <col min="4878" max="4878" width="12.7109375" style="52" customWidth="1"/>
    <col min="4879" max="4881" width="9.85546875" style="52" customWidth="1"/>
    <col min="4882" max="4883" width="12.85546875" style="52" bestFit="1" customWidth="1"/>
    <col min="4884" max="4885" width="10.28515625" style="52" bestFit="1" customWidth="1"/>
    <col min="4886" max="4886" width="9.140625" style="52"/>
    <col min="4887" max="4888" width="13.28515625" style="52" bestFit="1" customWidth="1"/>
    <col min="4889" max="4889" width="9.28515625" style="52" customWidth="1"/>
    <col min="4890" max="5120" width="9.140625" style="52"/>
    <col min="5121" max="5121" width="13.28515625" style="52" customWidth="1"/>
    <col min="5122" max="5122" width="11.140625" style="52" customWidth="1"/>
    <col min="5123" max="5123" width="9.42578125" style="52" customWidth="1"/>
    <col min="5124" max="5124" width="8.7109375" style="52" customWidth="1"/>
    <col min="5125" max="5126" width="10.5703125" style="52" customWidth="1"/>
    <col min="5127" max="5127" width="10.140625" style="52" customWidth="1"/>
    <col min="5128" max="5128" width="10.5703125" style="52" customWidth="1"/>
    <col min="5129" max="5129" width="10.140625" style="52" customWidth="1"/>
    <col min="5130" max="5131" width="10.5703125" style="52" customWidth="1"/>
    <col min="5132" max="5132" width="10.85546875" style="52" customWidth="1"/>
    <col min="5133" max="5133" width="11.85546875" style="52" customWidth="1"/>
    <col min="5134" max="5134" width="12.7109375" style="52" customWidth="1"/>
    <col min="5135" max="5137" width="9.85546875" style="52" customWidth="1"/>
    <col min="5138" max="5139" width="12.85546875" style="52" bestFit="1" customWidth="1"/>
    <col min="5140" max="5141" width="10.28515625" style="52" bestFit="1" customWidth="1"/>
    <col min="5142" max="5142" width="9.140625" style="52"/>
    <col min="5143" max="5144" width="13.28515625" style="52" bestFit="1" customWidth="1"/>
    <col min="5145" max="5145" width="9.28515625" style="52" customWidth="1"/>
    <col min="5146" max="5376" width="9.140625" style="52"/>
    <col min="5377" max="5377" width="13.28515625" style="52" customWidth="1"/>
    <col min="5378" max="5378" width="11.140625" style="52" customWidth="1"/>
    <col min="5379" max="5379" width="9.42578125" style="52" customWidth="1"/>
    <col min="5380" max="5380" width="8.7109375" style="52" customWidth="1"/>
    <col min="5381" max="5382" width="10.5703125" style="52" customWidth="1"/>
    <col min="5383" max="5383" width="10.140625" style="52" customWidth="1"/>
    <col min="5384" max="5384" width="10.5703125" style="52" customWidth="1"/>
    <col min="5385" max="5385" width="10.140625" style="52" customWidth="1"/>
    <col min="5386" max="5387" width="10.5703125" style="52" customWidth="1"/>
    <col min="5388" max="5388" width="10.85546875" style="52" customWidth="1"/>
    <col min="5389" max="5389" width="11.85546875" style="52" customWidth="1"/>
    <col min="5390" max="5390" width="12.7109375" style="52" customWidth="1"/>
    <col min="5391" max="5393" width="9.85546875" style="52" customWidth="1"/>
    <col min="5394" max="5395" width="12.85546875" style="52" bestFit="1" customWidth="1"/>
    <col min="5396" max="5397" width="10.28515625" style="52" bestFit="1" customWidth="1"/>
    <col min="5398" max="5398" width="9.140625" style="52"/>
    <col min="5399" max="5400" width="13.28515625" style="52" bestFit="1" customWidth="1"/>
    <col min="5401" max="5401" width="9.28515625" style="52" customWidth="1"/>
    <col min="5402" max="5632" width="9.140625" style="52"/>
    <col min="5633" max="5633" width="13.28515625" style="52" customWidth="1"/>
    <col min="5634" max="5634" width="11.140625" style="52" customWidth="1"/>
    <col min="5635" max="5635" width="9.42578125" style="52" customWidth="1"/>
    <col min="5636" max="5636" width="8.7109375" style="52" customWidth="1"/>
    <col min="5637" max="5638" width="10.5703125" style="52" customWidth="1"/>
    <col min="5639" max="5639" width="10.140625" style="52" customWidth="1"/>
    <col min="5640" max="5640" width="10.5703125" style="52" customWidth="1"/>
    <col min="5641" max="5641" width="10.140625" style="52" customWidth="1"/>
    <col min="5642" max="5643" width="10.5703125" style="52" customWidth="1"/>
    <col min="5644" max="5644" width="10.85546875" style="52" customWidth="1"/>
    <col min="5645" max="5645" width="11.85546875" style="52" customWidth="1"/>
    <col min="5646" max="5646" width="12.7109375" style="52" customWidth="1"/>
    <col min="5647" max="5649" width="9.85546875" style="52" customWidth="1"/>
    <col min="5650" max="5651" width="12.85546875" style="52" bestFit="1" customWidth="1"/>
    <col min="5652" max="5653" width="10.28515625" style="52" bestFit="1" customWidth="1"/>
    <col min="5654" max="5654" width="9.140625" style="52"/>
    <col min="5655" max="5656" width="13.28515625" style="52" bestFit="1" customWidth="1"/>
    <col min="5657" max="5657" width="9.28515625" style="52" customWidth="1"/>
    <col min="5658" max="5888" width="9.140625" style="52"/>
    <col min="5889" max="5889" width="13.28515625" style="52" customWidth="1"/>
    <col min="5890" max="5890" width="11.140625" style="52" customWidth="1"/>
    <col min="5891" max="5891" width="9.42578125" style="52" customWidth="1"/>
    <col min="5892" max="5892" width="8.7109375" style="52" customWidth="1"/>
    <col min="5893" max="5894" width="10.5703125" style="52" customWidth="1"/>
    <col min="5895" max="5895" width="10.140625" style="52" customWidth="1"/>
    <col min="5896" max="5896" width="10.5703125" style="52" customWidth="1"/>
    <col min="5897" max="5897" width="10.140625" style="52" customWidth="1"/>
    <col min="5898" max="5899" width="10.5703125" style="52" customWidth="1"/>
    <col min="5900" max="5900" width="10.85546875" style="52" customWidth="1"/>
    <col min="5901" max="5901" width="11.85546875" style="52" customWidth="1"/>
    <col min="5902" max="5902" width="12.7109375" style="52" customWidth="1"/>
    <col min="5903" max="5905" width="9.85546875" style="52" customWidth="1"/>
    <col min="5906" max="5907" width="12.85546875" style="52" bestFit="1" customWidth="1"/>
    <col min="5908" max="5909" width="10.28515625" style="52" bestFit="1" customWidth="1"/>
    <col min="5910" max="5910" width="9.140625" style="52"/>
    <col min="5911" max="5912" width="13.28515625" style="52" bestFit="1" customWidth="1"/>
    <col min="5913" max="5913" width="9.28515625" style="52" customWidth="1"/>
    <col min="5914" max="6144" width="9.140625" style="52"/>
    <col min="6145" max="6145" width="13.28515625" style="52" customWidth="1"/>
    <col min="6146" max="6146" width="11.140625" style="52" customWidth="1"/>
    <col min="6147" max="6147" width="9.42578125" style="52" customWidth="1"/>
    <col min="6148" max="6148" width="8.7109375" style="52" customWidth="1"/>
    <col min="6149" max="6150" width="10.5703125" style="52" customWidth="1"/>
    <col min="6151" max="6151" width="10.140625" style="52" customWidth="1"/>
    <col min="6152" max="6152" width="10.5703125" style="52" customWidth="1"/>
    <col min="6153" max="6153" width="10.140625" style="52" customWidth="1"/>
    <col min="6154" max="6155" width="10.5703125" style="52" customWidth="1"/>
    <col min="6156" max="6156" width="10.85546875" style="52" customWidth="1"/>
    <col min="6157" max="6157" width="11.85546875" style="52" customWidth="1"/>
    <col min="6158" max="6158" width="12.7109375" style="52" customWidth="1"/>
    <col min="6159" max="6161" width="9.85546875" style="52" customWidth="1"/>
    <col min="6162" max="6163" width="12.85546875" style="52" bestFit="1" customWidth="1"/>
    <col min="6164" max="6165" width="10.28515625" style="52" bestFit="1" customWidth="1"/>
    <col min="6166" max="6166" width="9.140625" style="52"/>
    <col min="6167" max="6168" width="13.28515625" style="52" bestFit="1" customWidth="1"/>
    <col min="6169" max="6169" width="9.28515625" style="52" customWidth="1"/>
    <col min="6170" max="6400" width="9.140625" style="52"/>
    <col min="6401" max="6401" width="13.28515625" style="52" customWidth="1"/>
    <col min="6402" max="6402" width="11.140625" style="52" customWidth="1"/>
    <col min="6403" max="6403" width="9.42578125" style="52" customWidth="1"/>
    <col min="6404" max="6404" width="8.7109375" style="52" customWidth="1"/>
    <col min="6405" max="6406" width="10.5703125" style="52" customWidth="1"/>
    <col min="6407" max="6407" width="10.140625" style="52" customWidth="1"/>
    <col min="6408" max="6408" width="10.5703125" style="52" customWidth="1"/>
    <col min="6409" max="6409" width="10.140625" style="52" customWidth="1"/>
    <col min="6410" max="6411" width="10.5703125" style="52" customWidth="1"/>
    <col min="6412" max="6412" width="10.85546875" style="52" customWidth="1"/>
    <col min="6413" max="6413" width="11.85546875" style="52" customWidth="1"/>
    <col min="6414" max="6414" width="12.7109375" style="52" customWidth="1"/>
    <col min="6415" max="6417" width="9.85546875" style="52" customWidth="1"/>
    <col min="6418" max="6419" width="12.85546875" style="52" bestFit="1" customWidth="1"/>
    <col min="6420" max="6421" width="10.28515625" style="52" bestFit="1" customWidth="1"/>
    <col min="6422" max="6422" width="9.140625" style="52"/>
    <col min="6423" max="6424" width="13.28515625" style="52" bestFit="1" customWidth="1"/>
    <col min="6425" max="6425" width="9.28515625" style="52" customWidth="1"/>
    <col min="6426" max="6656" width="9.140625" style="52"/>
    <col min="6657" max="6657" width="13.28515625" style="52" customWidth="1"/>
    <col min="6658" max="6658" width="11.140625" style="52" customWidth="1"/>
    <col min="6659" max="6659" width="9.42578125" style="52" customWidth="1"/>
    <col min="6660" max="6660" width="8.7109375" style="52" customWidth="1"/>
    <col min="6661" max="6662" width="10.5703125" style="52" customWidth="1"/>
    <col min="6663" max="6663" width="10.140625" style="52" customWidth="1"/>
    <col min="6664" max="6664" width="10.5703125" style="52" customWidth="1"/>
    <col min="6665" max="6665" width="10.140625" style="52" customWidth="1"/>
    <col min="6666" max="6667" width="10.5703125" style="52" customWidth="1"/>
    <col min="6668" max="6668" width="10.85546875" style="52" customWidth="1"/>
    <col min="6669" max="6669" width="11.85546875" style="52" customWidth="1"/>
    <col min="6670" max="6670" width="12.7109375" style="52" customWidth="1"/>
    <col min="6671" max="6673" width="9.85546875" style="52" customWidth="1"/>
    <col min="6674" max="6675" width="12.85546875" style="52" bestFit="1" customWidth="1"/>
    <col min="6676" max="6677" width="10.28515625" style="52" bestFit="1" customWidth="1"/>
    <col min="6678" max="6678" width="9.140625" style="52"/>
    <col min="6679" max="6680" width="13.28515625" style="52" bestFit="1" customWidth="1"/>
    <col min="6681" max="6681" width="9.28515625" style="52" customWidth="1"/>
    <col min="6682" max="6912" width="9.140625" style="52"/>
    <col min="6913" max="6913" width="13.28515625" style="52" customWidth="1"/>
    <col min="6914" max="6914" width="11.140625" style="52" customWidth="1"/>
    <col min="6915" max="6915" width="9.42578125" style="52" customWidth="1"/>
    <col min="6916" max="6916" width="8.7109375" style="52" customWidth="1"/>
    <col min="6917" max="6918" width="10.5703125" style="52" customWidth="1"/>
    <col min="6919" max="6919" width="10.140625" style="52" customWidth="1"/>
    <col min="6920" max="6920" width="10.5703125" style="52" customWidth="1"/>
    <col min="6921" max="6921" width="10.140625" style="52" customWidth="1"/>
    <col min="6922" max="6923" width="10.5703125" style="52" customWidth="1"/>
    <col min="6924" max="6924" width="10.85546875" style="52" customWidth="1"/>
    <col min="6925" max="6925" width="11.85546875" style="52" customWidth="1"/>
    <col min="6926" max="6926" width="12.7109375" style="52" customWidth="1"/>
    <col min="6927" max="6929" width="9.85546875" style="52" customWidth="1"/>
    <col min="6930" max="6931" width="12.85546875" style="52" bestFit="1" customWidth="1"/>
    <col min="6932" max="6933" width="10.28515625" style="52" bestFit="1" customWidth="1"/>
    <col min="6934" max="6934" width="9.140625" style="52"/>
    <col min="6935" max="6936" width="13.28515625" style="52" bestFit="1" customWidth="1"/>
    <col min="6937" max="6937" width="9.28515625" style="52" customWidth="1"/>
    <col min="6938" max="7168" width="9.140625" style="52"/>
    <col min="7169" max="7169" width="13.28515625" style="52" customWidth="1"/>
    <col min="7170" max="7170" width="11.140625" style="52" customWidth="1"/>
    <col min="7171" max="7171" width="9.42578125" style="52" customWidth="1"/>
    <col min="7172" max="7172" width="8.7109375" style="52" customWidth="1"/>
    <col min="7173" max="7174" width="10.5703125" style="52" customWidth="1"/>
    <col min="7175" max="7175" width="10.140625" style="52" customWidth="1"/>
    <col min="7176" max="7176" width="10.5703125" style="52" customWidth="1"/>
    <col min="7177" max="7177" width="10.140625" style="52" customWidth="1"/>
    <col min="7178" max="7179" width="10.5703125" style="52" customWidth="1"/>
    <col min="7180" max="7180" width="10.85546875" style="52" customWidth="1"/>
    <col min="7181" max="7181" width="11.85546875" style="52" customWidth="1"/>
    <col min="7182" max="7182" width="12.7109375" style="52" customWidth="1"/>
    <col min="7183" max="7185" width="9.85546875" style="52" customWidth="1"/>
    <col min="7186" max="7187" width="12.85546875" style="52" bestFit="1" customWidth="1"/>
    <col min="7188" max="7189" width="10.28515625" style="52" bestFit="1" customWidth="1"/>
    <col min="7190" max="7190" width="9.140625" style="52"/>
    <col min="7191" max="7192" width="13.28515625" style="52" bestFit="1" customWidth="1"/>
    <col min="7193" max="7193" width="9.28515625" style="52" customWidth="1"/>
    <col min="7194" max="7424" width="9.140625" style="52"/>
    <col min="7425" max="7425" width="13.28515625" style="52" customWidth="1"/>
    <col min="7426" max="7426" width="11.140625" style="52" customWidth="1"/>
    <col min="7427" max="7427" width="9.42578125" style="52" customWidth="1"/>
    <col min="7428" max="7428" width="8.7109375" style="52" customWidth="1"/>
    <col min="7429" max="7430" width="10.5703125" style="52" customWidth="1"/>
    <col min="7431" max="7431" width="10.140625" style="52" customWidth="1"/>
    <col min="7432" max="7432" width="10.5703125" style="52" customWidth="1"/>
    <col min="7433" max="7433" width="10.140625" style="52" customWidth="1"/>
    <col min="7434" max="7435" width="10.5703125" style="52" customWidth="1"/>
    <col min="7436" max="7436" width="10.85546875" style="52" customWidth="1"/>
    <col min="7437" max="7437" width="11.85546875" style="52" customWidth="1"/>
    <col min="7438" max="7438" width="12.7109375" style="52" customWidth="1"/>
    <col min="7439" max="7441" width="9.85546875" style="52" customWidth="1"/>
    <col min="7442" max="7443" width="12.85546875" style="52" bestFit="1" customWidth="1"/>
    <col min="7444" max="7445" width="10.28515625" style="52" bestFit="1" customWidth="1"/>
    <col min="7446" max="7446" width="9.140625" style="52"/>
    <col min="7447" max="7448" width="13.28515625" style="52" bestFit="1" customWidth="1"/>
    <col min="7449" max="7449" width="9.28515625" style="52" customWidth="1"/>
    <col min="7450" max="7680" width="9.140625" style="52"/>
    <col min="7681" max="7681" width="13.28515625" style="52" customWidth="1"/>
    <col min="7682" max="7682" width="11.140625" style="52" customWidth="1"/>
    <col min="7683" max="7683" width="9.42578125" style="52" customWidth="1"/>
    <col min="7684" max="7684" width="8.7109375" style="52" customWidth="1"/>
    <col min="7685" max="7686" width="10.5703125" style="52" customWidth="1"/>
    <col min="7687" max="7687" width="10.140625" style="52" customWidth="1"/>
    <col min="7688" max="7688" width="10.5703125" style="52" customWidth="1"/>
    <col min="7689" max="7689" width="10.140625" style="52" customWidth="1"/>
    <col min="7690" max="7691" width="10.5703125" style="52" customWidth="1"/>
    <col min="7692" max="7692" width="10.85546875" style="52" customWidth="1"/>
    <col min="7693" max="7693" width="11.85546875" style="52" customWidth="1"/>
    <col min="7694" max="7694" width="12.7109375" style="52" customWidth="1"/>
    <col min="7695" max="7697" width="9.85546875" style="52" customWidth="1"/>
    <col min="7698" max="7699" width="12.85546875" style="52" bestFit="1" customWidth="1"/>
    <col min="7700" max="7701" width="10.28515625" style="52" bestFit="1" customWidth="1"/>
    <col min="7702" max="7702" width="9.140625" style="52"/>
    <col min="7703" max="7704" width="13.28515625" style="52" bestFit="1" customWidth="1"/>
    <col min="7705" max="7705" width="9.28515625" style="52" customWidth="1"/>
    <col min="7706" max="7936" width="9.140625" style="52"/>
    <col min="7937" max="7937" width="13.28515625" style="52" customWidth="1"/>
    <col min="7938" max="7938" width="11.140625" style="52" customWidth="1"/>
    <col min="7939" max="7939" width="9.42578125" style="52" customWidth="1"/>
    <col min="7940" max="7940" width="8.7109375" style="52" customWidth="1"/>
    <col min="7941" max="7942" width="10.5703125" style="52" customWidth="1"/>
    <col min="7943" max="7943" width="10.140625" style="52" customWidth="1"/>
    <col min="7944" max="7944" width="10.5703125" style="52" customWidth="1"/>
    <col min="7945" max="7945" width="10.140625" style="52" customWidth="1"/>
    <col min="7946" max="7947" width="10.5703125" style="52" customWidth="1"/>
    <col min="7948" max="7948" width="10.85546875" style="52" customWidth="1"/>
    <col min="7949" max="7949" width="11.85546875" style="52" customWidth="1"/>
    <col min="7950" max="7950" width="12.7109375" style="52" customWidth="1"/>
    <col min="7951" max="7953" width="9.85546875" style="52" customWidth="1"/>
    <col min="7954" max="7955" width="12.85546875" style="52" bestFit="1" customWidth="1"/>
    <col min="7956" max="7957" width="10.28515625" style="52" bestFit="1" customWidth="1"/>
    <col min="7958" max="7958" width="9.140625" style="52"/>
    <col min="7959" max="7960" width="13.28515625" style="52" bestFit="1" customWidth="1"/>
    <col min="7961" max="7961" width="9.28515625" style="52" customWidth="1"/>
    <col min="7962" max="8192" width="9.140625" style="52"/>
    <col min="8193" max="8193" width="13.28515625" style="52" customWidth="1"/>
    <col min="8194" max="8194" width="11.140625" style="52" customWidth="1"/>
    <col min="8195" max="8195" width="9.42578125" style="52" customWidth="1"/>
    <col min="8196" max="8196" width="8.7109375" style="52" customWidth="1"/>
    <col min="8197" max="8198" width="10.5703125" style="52" customWidth="1"/>
    <col min="8199" max="8199" width="10.140625" style="52" customWidth="1"/>
    <col min="8200" max="8200" width="10.5703125" style="52" customWidth="1"/>
    <col min="8201" max="8201" width="10.140625" style="52" customWidth="1"/>
    <col min="8202" max="8203" width="10.5703125" style="52" customWidth="1"/>
    <col min="8204" max="8204" width="10.85546875" style="52" customWidth="1"/>
    <col min="8205" max="8205" width="11.85546875" style="52" customWidth="1"/>
    <col min="8206" max="8206" width="12.7109375" style="52" customWidth="1"/>
    <col min="8207" max="8209" width="9.85546875" style="52" customWidth="1"/>
    <col min="8210" max="8211" width="12.85546875" style="52" bestFit="1" customWidth="1"/>
    <col min="8212" max="8213" width="10.28515625" style="52" bestFit="1" customWidth="1"/>
    <col min="8214" max="8214" width="9.140625" style="52"/>
    <col min="8215" max="8216" width="13.28515625" style="52" bestFit="1" customWidth="1"/>
    <col min="8217" max="8217" width="9.28515625" style="52" customWidth="1"/>
    <col min="8218" max="8448" width="9.140625" style="52"/>
    <col min="8449" max="8449" width="13.28515625" style="52" customWidth="1"/>
    <col min="8450" max="8450" width="11.140625" style="52" customWidth="1"/>
    <col min="8451" max="8451" width="9.42578125" style="52" customWidth="1"/>
    <col min="8452" max="8452" width="8.7109375" style="52" customWidth="1"/>
    <col min="8453" max="8454" width="10.5703125" style="52" customWidth="1"/>
    <col min="8455" max="8455" width="10.140625" style="52" customWidth="1"/>
    <col min="8456" max="8456" width="10.5703125" style="52" customWidth="1"/>
    <col min="8457" max="8457" width="10.140625" style="52" customWidth="1"/>
    <col min="8458" max="8459" width="10.5703125" style="52" customWidth="1"/>
    <col min="8460" max="8460" width="10.85546875" style="52" customWidth="1"/>
    <col min="8461" max="8461" width="11.85546875" style="52" customWidth="1"/>
    <col min="8462" max="8462" width="12.7109375" style="52" customWidth="1"/>
    <col min="8463" max="8465" width="9.85546875" style="52" customWidth="1"/>
    <col min="8466" max="8467" width="12.85546875" style="52" bestFit="1" customWidth="1"/>
    <col min="8468" max="8469" width="10.28515625" style="52" bestFit="1" customWidth="1"/>
    <col min="8470" max="8470" width="9.140625" style="52"/>
    <col min="8471" max="8472" width="13.28515625" style="52" bestFit="1" customWidth="1"/>
    <col min="8473" max="8473" width="9.28515625" style="52" customWidth="1"/>
    <col min="8474" max="8704" width="9.140625" style="52"/>
    <col min="8705" max="8705" width="13.28515625" style="52" customWidth="1"/>
    <col min="8706" max="8706" width="11.140625" style="52" customWidth="1"/>
    <col min="8707" max="8707" width="9.42578125" style="52" customWidth="1"/>
    <col min="8708" max="8708" width="8.7109375" style="52" customWidth="1"/>
    <col min="8709" max="8710" width="10.5703125" style="52" customWidth="1"/>
    <col min="8711" max="8711" width="10.140625" style="52" customWidth="1"/>
    <col min="8712" max="8712" width="10.5703125" style="52" customWidth="1"/>
    <col min="8713" max="8713" width="10.140625" style="52" customWidth="1"/>
    <col min="8714" max="8715" width="10.5703125" style="52" customWidth="1"/>
    <col min="8716" max="8716" width="10.85546875" style="52" customWidth="1"/>
    <col min="8717" max="8717" width="11.85546875" style="52" customWidth="1"/>
    <col min="8718" max="8718" width="12.7109375" style="52" customWidth="1"/>
    <col min="8719" max="8721" width="9.85546875" style="52" customWidth="1"/>
    <col min="8722" max="8723" width="12.85546875" style="52" bestFit="1" customWidth="1"/>
    <col min="8724" max="8725" width="10.28515625" style="52" bestFit="1" customWidth="1"/>
    <col min="8726" max="8726" width="9.140625" style="52"/>
    <col min="8727" max="8728" width="13.28515625" style="52" bestFit="1" customWidth="1"/>
    <col min="8729" max="8729" width="9.28515625" style="52" customWidth="1"/>
    <col min="8730" max="8960" width="9.140625" style="52"/>
    <col min="8961" max="8961" width="13.28515625" style="52" customWidth="1"/>
    <col min="8962" max="8962" width="11.140625" style="52" customWidth="1"/>
    <col min="8963" max="8963" width="9.42578125" style="52" customWidth="1"/>
    <col min="8964" max="8964" width="8.7109375" style="52" customWidth="1"/>
    <col min="8965" max="8966" width="10.5703125" style="52" customWidth="1"/>
    <col min="8967" max="8967" width="10.140625" style="52" customWidth="1"/>
    <col min="8968" max="8968" width="10.5703125" style="52" customWidth="1"/>
    <col min="8969" max="8969" width="10.140625" style="52" customWidth="1"/>
    <col min="8970" max="8971" width="10.5703125" style="52" customWidth="1"/>
    <col min="8972" max="8972" width="10.85546875" style="52" customWidth="1"/>
    <col min="8973" max="8973" width="11.85546875" style="52" customWidth="1"/>
    <col min="8974" max="8974" width="12.7109375" style="52" customWidth="1"/>
    <col min="8975" max="8977" width="9.85546875" style="52" customWidth="1"/>
    <col min="8978" max="8979" width="12.85546875" style="52" bestFit="1" customWidth="1"/>
    <col min="8980" max="8981" width="10.28515625" style="52" bestFit="1" customWidth="1"/>
    <col min="8982" max="8982" width="9.140625" style="52"/>
    <col min="8983" max="8984" width="13.28515625" style="52" bestFit="1" customWidth="1"/>
    <col min="8985" max="8985" width="9.28515625" style="52" customWidth="1"/>
    <col min="8986" max="9216" width="9.140625" style="52"/>
    <col min="9217" max="9217" width="13.28515625" style="52" customWidth="1"/>
    <col min="9218" max="9218" width="11.140625" style="52" customWidth="1"/>
    <col min="9219" max="9219" width="9.42578125" style="52" customWidth="1"/>
    <col min="9220" max="9220" width="8.7109375" style="52" customWidth="1"/>
    <col min="9221" max="9222" width="10.5703125" style="52" customWidth="1"/>
    <col min="9223" max="9223" width="10.140625" style="52" customWidth="1"/>
    <col min="9224" max="9224" width="10.5703125" style="52" customWidth="1"/>
    <col min="9225" max="9225" width="10.140625" style="52" customWidth="1"/>
    <col min="9226" max="9227" width="10.5703125" style="52" customWidth="1"/>
    <col min="9228" max="9228" width="10.85546875" style="52" customWidth="1"/>
    <col min="9229" max="9229" width="11.85546875" style="52" customWidth="1"/>
    <col min="9230" max="9230" width="12.7109375" style="52" customWidth="1"/>
    <col min="9231" max="9233" width="9.85546875" style="52" customWidth="1"/>
    <col min="9234" max="9235" width="12.85546875" style="52" bestFit="1" customWidth="1"/>
    <col min="9236" max="9237" width="10.28515625" style="52" bestFit="1" customWidth="1"/>
    <col min="9238" max="9238" width="9.140625" style="52"/>
    <col min="9239" max="9240" width="13.28515625" style="52" bestFit="1" customWidth="1"/>
    <col min="9241" max="9241" width="9.28515625" style="52" customWidth="1"/>
    <col min="9242" max="9472" width="9.140625" style="52"/>
    <col min="9473" max="9473" width="13.28515625" style="52" customWidth="1"/>
    <col min="9474" max="9474" width="11.140625" style="52" customWidth="1"/>
    <col min="9475" max="9475" width="9.42578125" style="52" customWidth="1"/>
    <col min="9476" max="9476" width="8.7109375" style="52" customWidth="1"/>
    <col min="9477" max="9478" width="10.5703125" style="52" customWidth="1"/>
    <col min="9479" max="9479" width="10.140625" style="52" customWidth="1"/>
    <col min="9480" max="9480" width="10.5703125" style="52" customWidth="1"/>
    <col min="9481" max="9481" width="10.140625" style="52" customWidth="1"/>
    <col min="9482" max="9483" width="10.5703125" style="52" customWidth="1"/>
    <col min="9484" max="9484" width="10.85546875" style="52" customWidth="1"/>
    <col min="9485" max="9485" width="11.85546875" style="52" customWidth="1"/>
    <col min="9486" max="9486" width="12.7109375" style="52" customWidth="1"/>
    <col min="9487" max="9489" width="9.85546875" style="52" customWidth="1"/>
    <col min="9490" max="9491" width="12.85546875" style="52" bestFit="1" customWidth="1"/>
    <col min="9492" max="9493" width="10.28515625" style="52" bestFit="1" customWidth="1"/>
    <col min="9494" max="9494" width="9.140625" style="52"/>
    <col min="9495" max="9496" width="13.28515625" style="52" bestFit="1" customWidth="1"/>
    <col min="9497" max="9497" width="9.28515625" style="52" customWidth="1"/>
    <col min="9498" max="9728" width="9.140625" style="52"/>
    <col min="9729" max="9729" width="13.28515625" style="52" customWidth="1"/>
    <col min="9730" max="9730" width="11.140625" style="52" customWidth="1"/>
    <col min="9731" max="9731" width="9.42578125" style="52" customWidth="1"/>
    <col min="9732" max="9732" width="8.7109375" style="52" customWidth="1"/>
    <col min="9733" max="9734" width="10.5703125" style="52" customWidth="1"/>
    <col min="9735" max="9735" width="10.140625" style="52" customWidth="1"/>
    <col min="9736" max="9736" width="10.5703125" style="52" customWidth="1"/>
    <col min="9737" max="9737" width="10.140625" style="52" customWidth="1"/>
    <col min="9738" max="9739" width="10.5703125" style="52" customWidth="1"/>
    <col min="9740" max="9740" width="10.85546875" style="52" customWidth="1"/>
    <col min="9741" max="9741" width="11.85546875" style="52" customWidth="1"/>
    <col min="9742" max="9742" width="12.7109375" style="52" customWidth="1"/>
    <col min="9743" max="9745" width="9.85546875" style="52" customWidth="1"/>
    <col min="9746" max="9747" width="12.85546875" style="52" bestFit="1" customWidth="1"/>
    <col min="9748" max="9749" width="10.28515625" style="52" bestFit="1" customWidth="1"/>
    <col min="9750" max="9750" width="9.140625" style="52"/>
    <col min="9751" max="9752" width="13.28515625" style="52" bestFit="1" customWidth="1"/>
    <col min="9753" max="9753" width="9.28515625" style="52" customWidth="1"/>
    <col min="9754" max="9984" width="9.140625" style="52"/>
    <col min="9985" max="9985" width="13.28515625" style="52" customWidth="1"/>
    <col min="9986" max="9986" width="11.140625" style="52" customWidth="1"/>
    <col min="9987" max="9987" width="9.42578125" style="52" customWidth="1"/>
    <col min="9988" max="9988" width="8.7109375" style="52" customWidth="1"/>
    <col min="9989" max="9990" width="10.5703125" style="52" customWidth="1"/>
    <col min="9991" max="9991" width="10.140625" style="52" customWidth="1"/>
    <col min="9992" max="9992" width="10.5703125" style="52" customWidth="1"/>
    <col min="9993" max="9993" width="10.140625" style="52" customWidth="1"/>
    <col min="9994" max="9995" width="10.5703125" style="52" customWidth="1"/>
    <col min="9996" max="9996" width="10.85546875" style="52" customWidth="1"/>
    <col min="9997" max="9997" width="11.85546875" style="52" customWidth="1"/>
    <col min="9998" max="9998" width="12.7109375" style="52" customWidth="1"/>
    <col min="9999" max="10001" width="9.85546875" style="52" customWidth="1"/>
    <col min="10002" max="10003" width="12.85546875" style="52" bestFit="1" customWidth="1"/>
    <col min="10004" max="10005" width="10.28515625" style="52" bestFit="1" customWidth="1"/>
    <col min="10006" max="10006" width="9.140625" style="52"/>
    <col min="10007" max="10008" width="13.28515625" style="52" bestFit="1" customWidth="1"/>
    <col min="10009" max="10009" width="9.28515625" style="52" customWidth="1"/>
    <col min="10010" max="10240" width="9.140625" style="52"/>
    <col min="10241" max="10241" width="13.28515625" style="52" customWidth="1"/>
    <col min="10242" max="10242" width="11.140625" style="52" customWidth="1"/>
    <col min="10243" max="10243" width="9.42578125" style="52" customWidth="1"/>
    <col min="10244" max="10244" width="8.7109375" style="52" customWidth="1"/>
    <col min="10245" max="10246" width="10.5703125" style="52" customWidth="1"/>
    <col min="10247" max="10247" width="10.140625" style="52" customWidth="1"/>
    <col min="10248" max="10248" width="10.5703125" style="52" customWidth="1"/>
    <col min="10249" max="10249" width="10.140625" style="52" customWidth="1"/>
    <col min="10250" max="10251" width="10.5703125" style="52" customWidth="1"/>
    <col min="10252" max="10252" width="10.85546875" style="52" customWidth="1"/>
    <col min="10253" max="10253" width="11.85546875" style="52" customWidth="1"/>
    <col min="10254" max="10254" width="12.7109375" style="52" customWidth="1"/>
    <col min="10255" max="10257" width="9.85546875" style="52" customWidth="1"/>
    <col min="10258" max="10259" width="12.85546875" style="52" bestFit="1" customWidth="1"/>
    <col min="10260" max="10261" width="10.28515625" style="52" bestFit="1" customWidth="1"/>
    <col min="10262" max="10262" width="9.140625" style="52"/>
    <col min="10263" max="10264" width="13.28515625" style="52" bestFit="1" customWidth="1"/>
    <col min="10265" max="10265" width="9.28515625" style="52" customWidth="1"/>
    <col min="10266" max="10496" width="9.140625" style="52"/>
    <col min="10497" max="10497" width="13.28515625" style="52" customWidth="1"/>
    <col min="10498" max="10498" width="11.140625" style="52" customWidth="1"/>
    <col min="10499" max="10499" width="9.42578125" style="52" customWidth="1"/>
    <col min="10500" max="10500" width="8.7109375" style="52" customWidth="1"/>
    <col min="10501" max="10502" width="10.5703125" style="52" customWidth="1"/>
    <col min="10503" max="10503" width="10.140625" style="52" customWidth="1"/>
    <col min="10504" max="10504" width="10.5703125" style="52" customWidth="1"/>
    <col min="10505" max="10505" width="10.140625" style="52" customWidth="1"/>
    <col min="10506" max="10507" width="10.5703125" style="52" customWidth="1"/>
    <col min="10508" max="10508" width="10.85546875" style="52" customWidth="1"/>
    <col min="10509" max="10509" width="11.85546875" style="52" customWidth="1"/>
    <col min="10510" max="10510" width="12.7109375" style="52" customWidth="1"/>
    <col min="10511" max="10513" width="9.85546875" style="52" customWidth="1"/>
    <col min="10514" max="10515" width="12.85546875" style="52" bestFit="1" customWidth="1"/>
    <col min="10516" max="10517" width="10.28515625" style="52" bestFit="1" customWidth="1"/>
    <col min="10518" max="10518" width="9.140625" style="52"/>
    <col min="10519" max="10520" width="13.28515625" style="52" bestFit="1" customWidth="1"/>
    <col min="10521" max="10521" width="9.28515625" style="52" customWidth="1"/>
    <col min="10522" max="10752" width="9.140625" style="52"/>
    <col min="10753" max="10753" width="13.28515625" style="52" customWidth="1"/>
    <col min="10754" max="10754" width="11.140625" style="52" customWidth="1"/>
    <col min="10755" max="10755" width="9.42578125" style="52" customWidth="1"/>
    <col min="10756" max="10756" width="8.7109375" style="52" customWidth="1"/>
    <col min="10757" max="10758" width="10.5703125" style="52" customWidth="1"/>
    <col min="10759" max="10759" width="10.140625" style="52" customWidth="1"/>
    <col min="10760" max="10760" width="10.5703125" style="52" customWidth="1"/>
    <col min="10761" max="10761" width="10.140625" style="52" customWidth="1"/>
    <col min="10762" max="10763" width="10.5703125" style="52" customWidth="1"/>
    <col min="10764" max="10764" width="10.85546875" style="52" customWidth="1"/>
    <col min="10765" max="10765" width="11.85546875" style="52" customWidth="1"/>
    <col min="10766" max="10766" width="12.7109375" style="52" customWidth="1"/>
    <col min="10767" max="10769" width="9.85546875" style="52" customWidth="1"/>
    <col min="10770" max="10771" width="12.85546875" style="52" bestFit="1" customWidth="1"/>
    <col min="10772" max="10773" width="10.28515625" style="52" bestFit="1" customWidth="1"/>
    <col min="10774" max="10774" width="9.140625" style="52"/>
    <col min="10775" max="10776" width="13.28515625" style="52" bestFit="1" customWidth="1"/>
    <col min="10777" max="10777" width="9.28515625" style="52" customWidth="1"/>
    <col min="10778" max="11008" width="9.140625" style="52"/>
    <col min="11009" max="11009" width="13.28515625" style="52" customWidth="1"/>
    <col min="11010" max="11010" width="11.140625" style="52" customWidth="1"/>
    <col min="11011" max="11011" width="9.42578125" style="52" customWidth="1"/>
    <col min="11012" max="11012" width="8.7109375" style="52" customWidth="1"/>
    <col min="11013" max="11014" width="10.5703125" style="52" customWidth="1"/>
    <col min="11015" max="11015" width="10.140625" style="52" customWidth="1"/>
    <col min="11016" max="11016" width="10.5703125" style="52" customWidth="1"/>
    <col min="11017" max="11017" width="10.140625" style="52" customWidth="1"/>
    <col min="11018" max="11019" width="10.5703125" style="52" customWidth="1"/>
    <col min="11020" max="11020" width="10.85546875" style="52" customWidth="1"/>
    <col min="11021" max="11021" width="11.85546875" style="52" customWidth="1"/>
    <col min="11022" max="11022" width="12.7109375" style="52" customWidth="1"/>
    <col min="11023" max="11025" width="9.85546875" style="52" customWidth="1"/>
    <col min="11026" max="11027" width="12.85546875" style="52" bestFit="1" customWidth="1"/>
    <col min="11028" max="11029" width="10.28515625" style="52" bestFit="1" customWidth="1"/>
    <col min="11030" max="11030" width="9.140625" style="52"/>
    <col min="11031" max="11032" width="13.28515625" style="52" bestFit="1" customWidth="1"/>
    <col min="11033" max="11033" width="9.28515625" style="52" customWidth="1"/>
    <col min="11034" max="11264" width="9.140625" style="52"/>
    <col min="11265" max="11265" width="13.28515625" style="52" customWidth="1"/>
    <col min="11266" max="11266" width="11.140625" style="52" customWidth="1"/>
    <col min="11267" max="11267" width="9.42578125" style="52" customWidth="1"/>
    <col min="11268" max="11268" width="8.7109375" style="52" customWidth="1"/>
    <col min="11269" max="11270" width="10.5703125" style="52" customWidth="1"/>
    <col min="11271" max="11271" width="10.140625" style="52" customWidth="1"/>
    <col min="11272" max="11272" width="10.5703125" style="52" customWidth="1"/>
    <col min="11273" max="11273" width="10.140625" style="52" customWidth="1"/>
    <col min="11274" max="11275" width="10.5703125" style="52" customWidth="1"/>
    <col min="11276" max="11276" width="10.85546875" style="52" customWidth="1"/>
    <col min="11277" max="11277" width="11.85546875" style="52" customWidth="1"/>
    <col min="11278" max="11278" width="12.7109375" style="52" customWidth="1"/>
    <col min="11279" max="11281" width="9.85546875" style="52" customWidth="1"/>
    <col min="11282" max="11283" width="12.85546875" style="52" bestFit="1" customWidth="1"/>
    <col min="11284" max="11285" width="10.28515625" style="52" bestFit="1" customWidth="1"/>
    <col min="11286" max="11286" width="9.140625" style="52"/>
    <col min="11287" max="11288" width="13.28515625" style="52" bestFit="1" customWidth="1"/>
    <col min="11289" max="11289" width="9.28515625" style="52" customWidth="1"/>
    <col min="11290" max="11520" width="9.140625" style="52"/>
    <col min="11521" max="11521" width="13.28515625" style="52" customWidth="1"/>
    <col min="11522" max="11522" width="11.140625" style="52" customWidth="1"/>
    <col min="11523" max="11523" width="9.42578125" style="52" customWidth="1"/>
    <col min="11524" max="11524" width="8.7109375" style="52" customWidth="1"/>
    <col min="11525" max="11526" width="10.5703125" style="52" customWidth="1"/>
    <col min="11527" max="11527" width="10.140625" style="52" customWidth="1"/>
    <col min="11528" max="11528" width="10.5703125" style="52" customWidth="1"/>
    <col min="11529" max="11529" width="10.140625" style="52" customWidth="1"/>
    <col min="11530" max="11531" width="10.5703125" style="52" customWidth="1"/>
    <col min="11532" max="11532" width="10.85546875" style="52" customWidth="1"/>
    <col min="11533" max="11533" width="11.85546875" style="52" customWidth="1"/>
    <col min="11534" max="11534" width="12.7109375" style="52" customWidth="1"/>
    <col min="11535" max="11537" width="9.85546875" style="52" customWidth="1"/>
    <col min="11538" max="11539" width="12.85546875" style="52" bestFit="1" customWidth="1"/>
    <col min="11540" max="11541" width="10.28515625" style="52" bestFit="1" customWidth="1"/>
    <col min="11542" max="11542" width="9.140625" style="52"/>
    <col min="11543" max="11544" width="13.28515625" style="52" bestFit="1" customWidth="1"/>
    <col min="11545" max="11545" width="9.28515625" style="52" customWidth="1"/>
    <col min="11546" max="11776" width="9.140625" style="52"/>
    <col min="11777" max="11777" width="13.28515625" style="52" customWidth="1"/>
    <col min="11778" max="11778" width="11.140625" style="52" customWidth="1"/>
    <col min="11779" max="11779" width="9.42578125" style="52" customWidth="1"/>
    <col min="11780" max="11780" width="8.7109375" style="52" customWidth="1"/>
    <col min="11781" max="11782" width="10.5703125" style="52" customWidth="1"/>
    <col min="11783" max="11783" width="10.140625" style="52" customWidth="1"/>
    <col min="11784" max="11784" width="10.5703125" style="52" customWidth="1"/>
    <col min="11785" max="11785" width="10.140625" style="52" customWidth="1"/>
    <col min="11786" max="11787" width="10.5703125" style="52" customWidth="1"/>
    <col min="11788" max="11788" width="10.85546875" style="52" customWidth="1"/>
    <col min="11789" max="11789" width="11.85546875" style="52" customWidth="1"/>
    <col min="11790" max="11790" width="12.7109375" style="52" customWidth="1"/>
    <col min="11791" max="11793" width="9.85546875" style="52" customWidth="1"/>
    <col min="11794" max="11795" width="12.85546875" style="52" bestFit="1" customWidth="1"/>
    <col min="11796" max="11797" width="10.28515625" style="52" bestFit="1" customWidth="1"/>
    <col min="11798" max="11798" width="9.140625" style="52"/>
    <col min="11799" max="11800" width="13.28515625" style="52" bestFit="1" customWidth="1"/>
    <col min="11801" max="11801" width="9.28515625" style="52" customWidth="1"/>
    <col min="11802" max="12032" width="9.140625" style="52"/>
    <col min="12033" max="12033" width="13.28515625" style="52" customWidth="1"/>
    <col min="12034" max="12034" width="11.140625" style="52" customWidth="1"/>
    <col min="12035" max="12035" width="9.42578125" style="52" customWidth="1"/>
    <col min="12036" max="12036" width="8.7109375" style="52" customWidth="1"/>
    <col min="12037" max="12038" width="10.5703125" style="52" customWidth="1"/>
    <col min="12039" max="12039" width="10.140625" style="52" customWidth="1"/>
    <col min="12040" max="12040" width="10.5703125" style="52" customWidth="1"/>
    <col min="12041" max="12041" width="10.140625" style="52" customWidth="1"/>
    <col min="12042" max="12043" width="10.5703125" style="52" customWidth="1"/>
    <col min="12044" max="12044" width="10.85546875" style="52" customWidth="1"/>
    <col min="12045" max="12045" width="11.85546875" style="52" customWidth="1"/>
    <col min="12046" max="12046" width="12.7109375" style="52" customWidth="1"/>
    <col min="12047" max="12049" width="9.85546875" style="52" customWidth="1"/>
    <col min="12050" max="12051" width="12.85546875" style="52" bestFit="1" customWidth="1"/>
    <col min="12052" max="12053" width="10.28515625" style="52" bestFit="1" customWidth="1"/>
    <col min="12054" max="12054" width="9.140625" style="52"/>
    <col min="12055" max="12056" width="13.28515625" style="52" bestFit="1" customWidth="1"/>
    <col min="12057" max="12057" width="9.28515625" style="52" customWidth="1"/>
    <col min="12058" max="12288" width="9.140625" style="52"/>
    <col min="12289" max="12289" width="13.28515625" style="52" customWidth="1"/>
    <col min="12290" max="12290" width="11.140625" style="52" customWidth="1"/>
    <col min="12291" max="12291" width="9.42578125" style="52" customWidth="1"/>
    <col min="12292" max="12292" width="8.7109375" style="52" customWidth="1"/>
    <col min="12293" max="12294" width="10.5703125" style="52" customWidth="1"/>
    <col min="12295" max="12295" width="10.140625" style="52" customWidth="1"/>
    <col min="12296" max="12296" width="10.5703125" style="52" customWidth="1"/>
    <col min="12297" max="12297" width="10.140625" style="52" customWidth="1"/>
    <col min="12298" max="12299" width="10.5703125" style="52" customWidth="1"/>
    <col min="12300" max="12300" width="10.85546875" style="52" customWidth="1"/>
    <col min="12301" max="12301" width="11.85546875" style="52" customWidth="1"/>
    <col min="12302" max="12302" width="12.7109375" style="52" customWidth="1"/>
    <col min="12303" max="12305" width="9.85546875" style="52" customWidth="1"/>
    <col min="12306" max="12307" width="12.85546875" style="52" bestFit="1" customWidth="1"/>
    <col min="12308" max="12309" width="10.28515625" style="52" bestFit="1" customWidth="1"/>
    <col min="12310" max="12310" width="9.140625" style="52"/>
    <col min="12311" max="12312" width="13.28515625" style="52" bestFit="1" customWidth="1"/>
    <col min="12313" max="12313" width="9.28515625" style="52" customWidth="1"/>
    <col min="12314" max="12544" width="9.140625" style="52"/>
    <col min="12545" max="12545" width="13.28515625" style="52" customWidth="1"/>
    <col min="12546" max="12546" width="11.140625" style="52" customWidth="1"/>
    <col min="12547" max="12547" width="9.42578125" style="52" customWidth="1"/>
    <col min="12548" max="12548" width="8.7109375" style="52" customWidth="1"/>
    <col min="12549" max="12550" width="10.5703125" style="52" customWidth="1"/>
    <col min="12551" max="12551" width="10.140625" style="52" customWidth="1"/>
    <col min="12552" max="12552" width="10.5703125" style="52" customWidth="1"/>
    <col min="12553" max="12553" width="10.140625" style="52" customWidth="1"/>
    <col min="12554" max="12555" width="10.5703125" style="52" customWidth="1"/>
    <col min="12556" max="12556" width="10.85546875" style="52" customWidth="1"/>
    <col min="12557" max="12557" width="11.85546875" style="52" customWidth="1"/>
    <col min="12558" max="12558" width="12.7109375" style="52" customWidth="1"/>
    <col min="12559" max="12561" width="9.85546875" style="52" customWidth="1"/>
    <col min="12562" max="12563" width="12.85546875" style="52" bestFit="1" customWidth="1"/>
    <col min="12564" max="12565" width="10.28515625" style="52" bestFit="1" customWidth="1"/>
    <col min="12566" max="12566" width="9.140625" style="52"/>
    <col min="12567" max="12568" width="13.28515625" style="52" bestFit="1" customWidth="1"/>
    <col min="12569" max="12569" width="9.28515625" style="52" customWidth="1"/>
    <col min="12570" max="12800" width="9.140625" style="52"/>
    <col min="12801" max="12801" width="13.28515625" style="52" customWidth="1"/>
    <col min="12802" max="12802" width="11.140625" style="52" customWidth="1"/>
    <col min="12803" max="12803" width="9.42578125" style="52" customWidth="1"/>
    <col min="12804" max="12804" width="8.7109375" style="52" customWidth="1"/>
    <col min="12805" max="12806" width="10.5703125" style="52" customWidth="1"/>
    <col min="12807" max="12807" width="10.140625" style="52" customWidth="1"/>
    <col min="12808" max="12808" width="10.5703125" style="52" customWidth="1"/>
    <col min="12809" max="12809" width="10.140625" style="52" customWidth="1"/>
    <col min="12810" max="12811" width="10.5703125" style="52" customWidth="1"/>
    <col min="12812" max="12812" width="10.85546875" style="52" customWidth="1"/>
    <col min="12813" max="12813" width="11.85546875" style="52" customWidth="1"/>
    <col min="12814" max="12814" width="12.7109375" style="52" customWidth="1"/>
    <col min="12815" max="12817" width="9.85546875" style="52" customWidth="1"/>
    <col min="12818" max="12819" width="12.85546875" style="52" bestFit="1" customWidth="1"/>
    <col min="12820" max="12821" width="10.28515625" style="52" bestFit="1" customWidth="1"/>
    <col min="12822" max="12822" width="9.140625" style="52"/>
    <col min="12823" max="12824" width="13.28515625" style="52" bestFit="1" customWidth="1"/>
    <col min="12825" max="12825" width="9.28515625" style="52" customWidth="1"/>
    <col min="12826" max="13056" width="9.140625" style="52"/>
    <col min="13057" max="13057" width="13.28515625" style="52" customWidth="1"/>
    <col min="13058" max="13058" width="11.140625" style="52" customWidth="1"/>
    <col min="13059" max="13059" width="9.42578125" style="52" customWidth="1"/>
    <col min="13060" max="13060" width="8.7109375" style="52" customWidth="1"/>
    <col min="13061" max="13062" width="10.5703125" style="52" customWidth="1"/>
    <col min="13063" max="13063" width="10.140625" style="52" customWidth="1"/>
    <col min="13064" max="13064" width="10.5703125" style="52" customWidth="1"/>
    <col min="13065" max="13065" width="10.140625" style="52" customWidth="1"/>
    <col min="13066" max="13067" width="10.5703125" style="52" customWidth="1"/>
    <col min="13068" max="13068" width="10.85546875" style="52" customWidth="1"/>
    <col min="13069" max="13069" width="11.85546875" style="52" customWidth="1"/>
    <col min="13070" max="13070" width="12.7109375" style="52" customWidth="1"/>
    <col min="13071" max="13073" width="9.85546875" style="52" customWidth="1"/>
    <col min="13074" max="13075" width="12.85546875" style="52" bestFit="1" customWidth="1"/>
    <col min="13076" max="13077" width="10.28515625" style="52" bestFit="1" customWidth="1"/>
    <col min="13078" max="13078" width="9.140625" style="52"/>
    <col min="13079" max="13080" width="13.28515625" style="52" bestFit="1" customWidth="1"/>
    <col min="13081" max="13081" width="9.28515625" style="52" customWidth="1"/>
    <col min="13082" max="13312" width="9.140625" style="52"/>
    <col min="13313" max="13313" width="13.28515625" style="52" customWidth="1"/>
    <col min="13314" max="13314" width="11.140625" style="52" customWidth="1"/>
    <col min="13315" max="13315" width="9.42578125" style="52" customWidth="1"/>
    <col min="13316" max="13316" width="8.7109375" style="52" customWidth="1"/>
    <col min="13317" max="13318" width="10.5703125" style="52" customWidth="1"/>
    <col min="13319" max="13319" width="10.140625" style="52" customWidth="1"/>
    <col min="13320" max="13320" width="10.5703125" style="52" customWidth="1"/>
    <col min="13321" max="13321" width="10.140625" style="52" customWidth="1"/>
    <col min="13322" max="13323" width="10.5703125" style="52" customWidth="1"/>
    <col min="13324" max="13324" width="10.85546875" style="52" customWidth="1"/>
    <col min="13325" max="13325" width="11.85546875" style="52" customWidth="1"/>
    <col min="13326" max="13326" width="12.7109375" style="52" customWidth="1"/>
    <col min="13327" max="13329" width="9.85546875" style="52" customWidth="1"/>
    <col min="13330" max="13331" width="12.85546875" style="52" bestFit="1" customWidth="1"/>
    <col min="13332" max="13333" width="10.28515625" style="52" bestFit="1" customWidth="1"/>
    <col min="13334" max="13334" width="9.140625" style="52"/>
    <col min="13335" max="13336" width="13.28515625" style="52" bestFit="1" customWidth="1"/>
    <col min="13337" max="13337" width="9.28515625" style="52" customWidth="1"/>
    <col min="13338" max="13568" width="9.140625" style="52"/>
    <col min="13569" max="13569" width="13.28515625" style="52" customWidth="1"/>
    <col min="13570" max="13570" width="11.140625" style="52" customWidth="1"/>
    <col min="13571" max="13571" width="9.42578125" style="52" customWidth="1"/>
    <col min="13572" max="13572" width="8.7109375" style="52" customWidth="1"/>
    <col min="13573" max="13574" width="10.5703125" style="52" customWidth="1"/>
    <col min="13575" max="13575" width="10.140625" style="52" customWidth="1"/>
    <col min="13576" max="13576" width="10.5703125" style="52" customWidth="1"/>
    <col min="13577" max="13577" width="10.140625" style="52" customWidth="1"/>
    <col min="13578" max="13579" width="10.5703125" style="52" customWidth="1"/>
    <col min="13580" max="13580" width="10.85546875" style="52" customWidth="1"/>
    <col min="13581" max="13581" width="11.85546875" style="52" customWidth="1"/>
    <col min="13582" max="13582" width="12.7109375" style="52" customWidth="1"/>
    <col min="13583" max="13585" width="9.85546875" style="52" customWidth="1"/>
    <col min="13586" max="13587" width="12.85546875" style="52" bestFit="1" customWidth="1"/>
    <col min="13588" max="13589" width="10.28515625" style="52" bestFit="1" customWidth="1"/>
    <col min="13590" max="13590" width="9.140625" style="52"/>
    <col min="13591" max="13592" width="13.28515625" style="52" bestFit="1" customWidth="1"/>
    <col min="13593" max="13593" width="9.28515625" style="52" customWidth="1"/>
    <col min="13594" max="13824" width="9.140625" style="52"/>
    <col min="13825" max="13825" width="13.28515625" style="52" customWidth="1"/>
    <col min="13826" max="13826" width="11.140625" style="52" customWidth="1"/>
    <col min="13827" max="13827" width="9.42578125" style="52" customWidth="1"/>
    <col min="13828" max="13828" width="8.7109375" style="52" customWidth="1"/>
    <col min="13829" max="13830" width="10.5703125" style="52" customWidth="1"/>
    <col min="13831" max="13831" width="10.140625" style="52" customWidth="1"/>
    <col min="13832" max="13832" width="10.5703125" style="52" customWidth="1"/>
    <col min="13833" max="13833" width="10.140625" style="52" customWidth="1"/>
    <col min="13834" max="13835" width="10.5703125" style="52" customWidth="1"/>
    <col min="13836" max="13836" width="10.85546875" style="52" customWidth="1"/>
    <col min="13837" max="13837" width="11.85546875" style="52" customWidth="1"/>
    <col min="13838" max="13838" width="12.7109375" style="52" customWidth="1"/>
    <col min="13839" max="13841" width="9.85546875" style="52" customWidth="1"/>
    <col min="13842" max="13843" width="12.85546875" style="52" bestFit="1" customWidth="1"/>
    <col min="13844" max="13845" width="10.28515625" style="52" bestFit="1" customWidth="1"/>
    <col min="13846" max="13846" width="9.140625" style="52"/>
    <col min="13847" max="13848" width="13.28515625" style="52" bestFit="1" customWidth="1"/>
    <col min="13849" max="13849" width="9.28515625" style="52" customWidth="1"/>
    <col min="13850" max="14080" width="9.140625" style="52"/>
    <col min="14081" max="14081" width="13.28515625" style="52" customWidth="1"/>
    <col min="14082" max="14082" width="11.140625" style="52" customWidth="1"/>
    <col min="14083" max="14083" width="9.42578125" style="52" customWidth="1"/>
    <col min="14084" max="14084" width="8.7109375" style="52" customWidth="1"/>
    <col min="14085" max="14086" width="10.5703125" style="52" customWidth="1"/>
    <col min="14087" max="14087" width="10.140625" style="52" customWidth="1"/>
    <col min="14088" max="14088" width="10.5703125" style="52" customWidth="1"/>
    <col min="14089" max="14089" width="10.140625" style="52" customWidth="1"/>
    <col min="14090" max="14091" width="10.5703125" style="52" customWidth="1"/>
    <col min="14092" max="14092" width="10.85546875" style="52" customWidth="1"/>
    <col min="14093" max="14093" width="11.85546875" style="52" customWidth="1"/>
    <col min="14094" max="14094" width="12.7109375" style="52" customWidth="1"/>
    <col min="14095" max="14097" width="9.85546875" style="52" customWidth="1"/>
    <col min="14098" max="14099" width="12.85546875" style="52" bestFit="1" customWidth="1"/>
    <col min="14100" max="14101" width="10.28515625" style="52" bestFit="1" customWidth="1"/>
    <col min="14102" max="14102" width="9.140625" style="52"/>
    <col min="14103" max="14104" width="13.28515625" style="52" bestFit="1" customWidth="1"/>
    <col min="14105" max="14105" width="9.28515625" style="52" customWidth="1"/>
    <col min="14106" max="14336" width="9.140625" style="52"/>
    <col min="14337" max="14337" width="13.28515625" style="52" customWidth="1"/>
    <col min="14338" max="14338" width="11.140625" style="52" customWidth="1"/>
    <col min="14339" max="14339" width="9.42578125" style="52" customWidth="1"/>
    <col min="14340" max="14340" width="8.7109375" style="52" customWidth="1"/>
    <col min="14341" max="14342" width="10.5703125" style="52" customWidth="1"/>
    <col min="14343" max="14343" width="10.140625" style="52" customWidth="1"/>
    <col min="14344" max="14344" width="10.5703125" style="52" customWidth="1"/>
    <col min="14345" max="14345" width="10.140625" style="52" customWidth="1"/>
    <col min="14346" max="14347" width="10.5703125" style="52" customWidth="1"/>
    <col min="14348" max="14348" width="10.85546875" style="52" customWidth="1"/>
    <col min="14349" max="14349" width="11.85546875" style="52" customWidth="1"/>
    <col min="14350" max="14350" width="12.7109375" style="52" customWidth="1"/>
    <col min="14351" max="14353" width="9.85546875" style="52" customWidth="1"/>
    <col min="14354" max="14355" width="12.85546875" style="52" bestFit="1" customWidth="1"/>
    <col min="14356" max="14357" width="10.28515625" style="52" bestFit="1" customWidth="1"/>
    <col min="14358" max="14358" width="9.140625" style="52"/>
    <col min="14359" max="14360" width="13.28515625" style="52" bestFit="1" customWidth="1"/>
    <col min="14361" max="14361" width="9.28515625" style="52" customWidth="1"/>
    <col min="14362" max="14592" width="9.140625" style="52"/>
    <col min="14593" max="14593" width="13.28515625" style="52" customWidth="1"/>
    <col min="14594" max="14594" width="11.140625" style="52" customWidth="1"/>
    <col min="14595" max="14595" width="9.42578125" style="52" customWidth="1"/>
    <col min="14596" max="14596" width="8.7109375" style="52" customWidth="1"/>
    <col min="14597" max="14598" width="10.5703125" style="52" customWidth="1"/>
    <col min="14599" max="14599" width="10.140625" style="52" customWidth="1"/>
    <col min="14600" max="14600" width="10.5703125" style="52" customWidth="1"/>
    <col min="14601" max="14601" width="10.140625" style="52" customWidth="1"/>
    <col min="14602" max="14603" width="10.5703125" style="52" customWidth="1"/>
    <col min="14604" max="14604" width="10.85546875" style="52" customWidth="1"/>
    <col min="14605" max="14605" width="11.85546875" style="52" customWidth="1"/>
    <col min="14606" max="14606" width="12.7109375" style="52" customWidth="1"/>
    <col min="14607" max="14609" width="9.85546875" style="52" customWidth="1"/>
    <col min="14610" max="14611" width="12.85546875" style="52" bestFit="1" customWidth="1"/>
    <col min="14612" max="14613" width="10.28515625" style="52" bestFit="1" customWidth="1"/>
    <col min="14614" max="14614" width="9.140625" style="52"/>
    <col min="14615" max="14616" width="13.28515625" style="52" bestFit="1" customWidth="1"/>
    <col min="14617" max="14617" width="9.28515625" style="52" customWidth="1"/>
    <col min="14618" max="14848" width="9.140625" style="52"/>
    <col min="14849" max="14849" width="13.28515625" style="52" customWidth="1"/>
    <col min="14850" max="14850" width="11.140625" style="52" customWidth="1"/>
    <col min="14851" max="14851" width="9.42578125" style="52" customWidth="1"/>
    <col min="14852" max="14852" width="8.7109375" style="52" customWidth="1"/>
    <col min="14853" max="14854" width="10.5703125" style="52" customWidth="1"/>
    <col min="14855" max="14855" width="10.140625" style="52" customWidth="1"/>
    <col min="14856" max="14856" width="10.5703125" style="52" customWidth="1"/>
    <col min="14857" max="14857" width="10.140625" style="52" customWidth="1"/>
    <col min="14858" max="14859" width="10.5703125" style="52" customWidth="1"/>
    <col min="14860" max="14860" width="10.85546875" style="52" customWidth="1"/>
    <col min="14861" max="14861" width="11.85546875" style="52" customWidth="1"/>
    <col min="14862" max="14862" width="12.7109375" style="52" customWidth="1"/>
    <col min="14863" max="14865" width="9.85546875" style="52" customWidth="1"/>
    <col min="14866" max="14867" width="12.85546875" style="52" bestFit="1" customWidth="1"/>
    <col min="14868" max="14869" width="10.28515625" style="52" bestFit="1" customWidth="1"/>
    <col min="14870" max="14870" width="9.140625" style="52"/>
    <col min="14871" max="14872" width="13.28515625" style="52" bestFit="1" customWidth="1"/>
    <col min="14873" max="14873" width="9.28515625" style="52" customWidth="1"/>
    <col min="14874" max="15104" width="9.140625" style="52"/>
    <col min="15105" max="15105" width="13.28515625" style="52" customWidth="1"/>
    <col min="15106" max="15106" width="11.140625" style="52" customWidth="1"/>
    <col min="15107" max="15107" width="9.42578125" style="52" customWidth="1"/>
    <col min="15108" max="15108" width="8.7109375" style="52" customWidth="1"/>
    <col min="15109" max="15110" width="10.5703125" style="52" customWidth="1"/>
    <col min="15111" max="15111" width="10.140625" style="52" customWidth="1"/>
    <col min="15112" max="15112" width="10.5703125" style="52" customWidth="1"/>
    <col min="15113" max="15113" width="10.140625" style="52" customWidth="1"/>
    <col min="15114" max="15115" width="10.5703125" style="52" customWidth="1"/>
    <col min="15116" max="15116" width="10.85546875" style="52" customWidth="1"/>
    <col min="15117" max="15117" width="11.85546875" style="52" customWidth="1"/>
    <col min="15118" max="15118" width="12.7109375" style="52" customWidth="1"/>
    <col min="15119" max="15121" width="9.85546875" style="52" customWidth="1"/>
    <col min="15122" max="15123" width="12.85546875" style="52" bestFit="1" customWidth="1"/>
    <col min="15124" max="15125" width="10.28515625" style="52" bestFit="1" customWidth="1"/>
    <col min="15126" max="15126" width="9.140625" style="52"/>
    <col min="15127" max="15128" width="13.28515625" style="52" bestFit="1" customWidth="1"/>
    <col min="15129" max="15129" width="9.28515625" style="52" customWidth="1"/>
    <col min="15130" max="15360" width="9.140625" style="52"/>
    <col min="15361" max="15361" width="13.28515625" style="52" customWidth="1"/>
    <col min="15362" max="15362" width="11.140625" style="52" customWidth="1"/>
    <col min="15363" max="15363" width="9.42578125" style="52" customWidth="1"/>
    <col min="15364" max="15364" width="8.7109375" style="52" customWidth="1"/>
    <col min="15365" max="15366" width="10.5703125" style="52" customWidth="1"/>
    <col min="15367" max="15367" width="10.140625" style="52" customWidth="1"/>
    <col min="15368" max="15368" width="10.5703125" style="52" customWidth="1"/>
    <col min="15369" max="15369" width="10.140625" style="52" customWidth="1"/>
    <col min="15370" max="15371" width="10.5703125" style="52" customWidth="1"/>
    <col min="15372" max="15372" width="10.85546875" style="52" customWidth="1"/>
    <col min="15373" max="15373" width="11.85546875" style="52" customWidth="1"/>
    <col min="15374" max="15374" width="12.7109375" style="52" customWidth="1"/>
    <col min="15375" max="15377" width="9.85546875" style="52" customWidth="1"/>
    <col min="15378" max="15379" width="12.85546875" style="52" bestFit="1" customWidth="1"/>
    <col min="15380" max="15381" width="10.28515625" style="52" bestFit="1" customWidth="1"/>
    <col min="15382" max="15382" width="9.140625" style="52"/>
    <col min="15383" max="15384" width="13.28515625" style="52" bestFit="1" customWidth="1"/>
    <col min="15385" max="15385" width="9.28515625" style="52" customWidth="1"/>
    <col min="15386" max="15616" width="9.140625" style="52"/>
    <col min="15617" max="15617" width="13.28515625" style="52" customWidth="1"/>
    <col min="15618" max="15618" width="11.140625" style="52" customWidth="1"/>
    <col min="15619" max="15619" width="9.42578125" style="52" customWidth="1"/>
    <col min="15620" max="15620" width="8.7109375" style="52" customWidth="1"/>
    <col min="15621" max="15622" width="10.5703125" style="52" customWidth="1"/>
    <col min="15623" max="15623" width="10.140625" style="52" customWidth="1"/>
    <col min="15624" max="15624" width="10.5703125" style="52" customWidth="1"/>
    <col min="15625" max="15625" width="10.140625" style="52" customWidth="1"/>
    <col min="15626" max="15627" width="10.5703125" style="52" customWidth="1"/>
    <col min="15628" max="15628" width="10.85546875" style="52" customWidth="1"/>
    <col min="15629" max="15629" width="11.85546875" style="52" customWidth="1"/>
    <col min="15630" max="15630" width="12.7109375" style="52" customWidth="1"/>
    <col min="15631" max="15633" width="9.85546875" style="52" customWidth="1"/>
    <col min="15634" max="15635" width="12.85546875" style="52" bestFit="1" customWidth="1"/>
    <col min="15636" max="15637" width="10.28515625" style="52" bestFit="1" customWidth="1"/>
    <col min="15638" max="15638" width="9.140625" style="52"/>
    <col min="15639" max="15640" width="13.28515625" style="52" bestFit="1" customWidth="1"/>
    <col min="15641" max="15641" width="9.28515625" style="52" customWidth="1"/>
    <col min="15642" max="15872" width="9.140625" style="52"/>
    <col min="15873" max="15873" width="13.28515625" style="52" customWidth="1"/>
    <col min="15874" max="15874" width="11.140625" style="52" customWidth="1"/>
    <col min="15875" max="15875" width="9.42578125" style="52" customWidth="1"/>
    <col min="15876" max="15876" width="8.7109375" style="52" customWidth="1"/>
    <col min="15877" max="15878" width="10.5703125" style="52" customWidth="1"/>
    <col min="15879" max="15879" width="10.140625" style="52" customWidth="1"/>
    <col min="15880" max="15880" width="10.5703125" style="52" customWidth="1"/>
    <col min="15881" max="15881" width="10.140625" style="52" customWidth="1"/>
    <col min="15882" max="15883" width="10.5703125" style="52" customWidth="1"/>
    <col min="15884" max="15884" width="10.85546875" style="52" customWidth="1"/>
    <col min="15885" max="15885" width="11.85546875" style="52" customWidth="1"/>
    <col min="15886" max="15886" width="12.7109375" style="52" customWidth="1"/>
    <col min="15887" max="15889" width="9.85546875" style="52" customWidth="1"/>
    <col min="15890" max="15891" width="12.85546875" style="52" bestFit="1" customWidth="1"/>
    <col min="15892" max="15893" width="10.28515625" style="52" bestFit="1" customWidth="1"/>
    <col min="15894" max="15894" width="9.140625" style="52"/>
    <col min="15895" max="15896" width="13.28515625" style="52" bestFit="1" customWidth="1"/>
    <col min="15897" max="15897" width="9.28515625" style="52" customWidth="1"/>
    <col min="15898" max="16128" width="9.140625" style="52"/>
    <col min="16129" max="16129" width="13.28515625" style="52" customWidth="1"/>
    <col min="16130" max="16130" width="11.140625" style="52" customWidth="1"/>
    <col min="16131" max="16131" width="9.42578125" style="52" customWidth="1"/>
    <col min="16132" max="16132" width="8.7109375" style="52" customWidth="1"/>
    <col min="16133" max="16134" width="10.5703125" style="52" customWidth="1"/>
    <col min="16135" max="16135" width="10.140625" style="52" customWidth="1"/>
    <col min="16136" max="16136" width="10.5703125" style="52" customWidth="1"/>
    <col min="16137" max="16137" width="10.140625" style="52" customWidth="1"/>
    <col min="16138" max="16139" width="10.5703125" style="52" customWidth="1"/>
    <col min="16140" max="16140" width="10.85546875" style="52" customWidth="1"/>
    <col min="16141" max="16141" width="11.85546875" style="52" customWidth="1"/>
    <col min="16142" max="16142" width="12.7109375" style="52" customWidth="1"/>
    <col min="16143" max="16145" width="9.85546875" style="52" customWidth="1"/>
    <col min="16146" max="16147" width="12.85546875" style="52" bestFit="1" customWidth="1"/>
    <col min="16148" max="16149" width="10.28515625" style="52" bestFit="1" customWidth="1"/>
    <col min="16150" max="16150" width="9.140625" style="52"/>
    <col min="16151" max="16152" width="13.28515625" style="52" bestFit="1" customWidth="1"/>
    <col min="16153" max="16153" width="9.28515625" style="52" customWidth="1"/>
    <col min="16154" max="16384" width="9.140625" style="52"/>
  </cols>
  <sheetData>
    <row r="1" spans="1:27" ht="15" x14ac:dyDescent="0.25">
      <c r="A1" s="94"/>
      <c r="B1" s="94"/>
      <c r="C1" s="374" t="s">
        <v>75</v>
      </c>
      <c r="D1" s="374"/>
      <c r="E1" s="374"/>
      <c r="F1" s="374"/>
      <c r="G1" s="374"/>
      <c r="H1" s="374"/>
      <c r="I1" s="374"/>
      <c r="J1" s="95"/>
      <c r="K1" s="95"/>
      <c r="L1" s="95"/>
      <c r="M1" s="95"/>
      <c r="N1" s="95"/>
      <c r="O1" s="95"/>
      <c r="P1" s="95"/>
      <c r="Q1" s="95"/>
      <c r="R1" s="95"/>
    </row>
    <row r="2" spans="1:27" ht="15" x14ac:dyDescent="0.25">
      <c r="A2" s="95"/>
      <c r="B2" s="95"/>
      <c r="C2" s="95"/>
      <c r="D2" s="95"/>
      <c r="E2" s="95"/>
      <c r="F2" s="95"/>
      <c r="G2" s="95"/>
      <c r="H2" s="95"/>
      <c r="I2" s="95"/>
      <c r="J2" s="96" t="s">
        <v>76</v>
      </c>
      <c r="K2" s="96"/>
      <c r="L2" s="95"/>
      <c r="M2" s="95"/>
      <c r="N2" s="95"/>
      <c r="O2" s="95"/>
      <c r="P2" s="95"/>
      <c r="Q2" s="95"/>
      <c r="R2" s="95"/>
    </row>
    <row r="3" spans="1:27" ht="14.25" x14ac:dyDescent="0.2">
      <c r="A3" s="95" t="s">
        <v>77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</row>
    <row r="4" spans="1:27" ht="18" customHeight="1" x14ac:dyDescent="0.25">
      <c r="A4" s="97"/>
      <c r="B4" s="97">
        <v>1994</v>
      </c>
      <c r="C4" s="97">
        <v>1995</v>
      </c>
      <c r="D4" s="98">
        <v>1996</v>
      </c>
      <c r="E4" s="98">
        <v>1997</v>
      </c>
      <c r="F4" s="98">
        <v>1998</v>
      </c>
      <c r="G4" s="98">
        <v>1999</v>
      </c>
      <c r="H4" s="98">
        <v>2000</v>
      </c>
      <c r="I4" s="98">
        <v>2001</v>
      </c>
      <c r="J4" s="98">
        <v>2002</v>
      </c>
      <c r="K4" s="98">
        <v>2003</v>
      </c>
      <c r="L4" s="98">
        <v>2004</v>
      </c>
      <c r="M4" s="98">
        <v>2005</v>
      </c>
      <c r="N4" s="99">
        <v>2006</v>
      </c>
      <c r="O4" s="100">
        <v>2007</v>
      </c>
      <c r="P4" s="100">
        <v>2008</v>
      </c>
      <c r="Q4" s="100">
        <v>2009</v>
      </c>
      <c r="R4" s="100">
        <v>2010</v>
      </c>
      <c r="S4" s="100">
        <v>2011</v>
      </c>
      <c r="T4" s="100">
        <v>2012</v>
      </c>
      <c r="U4" s="100">
        <v>2013</v>
      </c>
      <c r="V4" s="100">
        <v>2014</v>
      </c>
    </row>
    <row r="5" spans="1:27" ht="15" x14ac:dyDescent="0.25">
      <c r="A5" s="97" t="s">
        <v>82</v>
      </c>
      <c r="B5" s="101">
        <v>576.29999999999995</v>
      </c>
      <c r="C5" s="101">
        <v>571</v>
      </c>
      <c r="D5" s="102">
        <v>623.4</v>
      </c>
      <c r="E5" s="102">
        <v>648.20000000000005</v>
      </c>
      <c r="F5" s="102">
        <v>684.3</v>
      </c>
      <c r="G5" s="102">
        <v>727.6</v>
      </c>
      <c r="H5" s="102">
        <v>717</v>
      </c>
      <c r="I5" s="102">
        <v>749</v>
      </c>
      <c r="J5" s="102">
        <v>723.5</v>
      </c>
      <c r="K5" s="102">
        <v>744.8</v>
      </c>
      <c r="L5" s="102">
        <v>748.4</v>
      </c>
      <c r="M5" s="103">
        <v>730.1</v>
      </c>
      <c r="N5" s="103">
        <v>724.8</v>
      </c>
      <c r="O5" s="103">
        <v>778.2</v>
      </c>
      <c r="P5" s="104">
        <v>842.471</v>
      </c>
      <c r="Q5" s="104">
        <v>957</v>
      </c>
      <c r="R5" s="104">
        <v>1008.136</v>
      </c>
      <c r="S5" s="105">
        <v>1026.2720121154332</v>
      </c>
      <c r="T5" s="105">
        <v>1140.1189999999999</v>
      </c>
      <c r="U5" s="105">
        <v>1150.201</v>
      </c>
      <c r="V5" s="105">
        <v>1214.867750705245</v>
      </c>
      <c r="X5" s="106"/>
      <c r="AA5" s="106"/>
    </row>
    <row r="6" spans="1:27" ht="15" x14ac:dyDescent="0.25">
      <c r="A6" s="97" t="s">
        <v>42</v>
      </c>
      <c r="B6" s="101">
        <v>1302.0999999999999</v>
      </c>
      <c r="C6" s="101">
        <v>1474.2</v>
      </c>
      <c r="D6" s="102">
        <v>1713.4</v>
      </c>
      <c r="E6" s="102">
        <v>1914.5</v>
      </c>
      <c r="F6" s="102">
        <v>1752.7</v>
      </c>
      <c r="G6" s="102">
        <v>2152.6999999999998</v>
      </c>
      <c r="H6" s="102">
        <v>1950.9</v>
      </c>
      <c r="I6" s="102">
        <v>1997.2</v>
      </c>
      <c r="J6" s="102">
        <v>1902.4</v>
      </c>
      <c r="K6" s="102">
        <v>1839.1</v>
      </c>
      <c r="L6" s="102">
        <v>1965.2</v>
      </c>
      <c r="M6" s="102">
        <v>1836.1</v>
      </c>
      <c r="N6" s="103">
        <v>1584.3</v>
      </c>
      <c r="O6" s="103">
        <v>1822.3</v>
      </c>
      <c r="P6" s="104">
        <v>1668.12</v>
      </c>
      <c r="Q6" s="104">
        <v>1679</v>
      </c>
      <c r="R6" s="104">
        <v>1626.569</v>
      </c>
      <c r="S6" s="105">
        <v>1984.948221894397</v>
      </c>
      <c r="T6" s="105">
        <v>2085.171579154493</v>
      </c>
      <c r="U6" s="105">
        <v>1968.022112837039</v>
      </c>
      <c r="V6" s="105">
        <v>2110.1426876354367</v>
      </c>
      <c r="X6" s="106"/>
      <c r="AA6" s="106"/>
    </row>
    <row r="7" spans="1:27" ht="15" x14ac:dyDescent="0.25">
      <c r="A7" s="97" t="s">
        <v>78</v>
      </c>
      <c r="B7" s="101">
        <v>211.4</v>
      </c>
      <c r="C7" s="101">
        <v>259.5</v>
      </c>
      <c r="D7" s="102">
        <v>226.1</v>
      </c>
      <c r="E7" s="102">
        <v>253.4</v>
      </c>
      <c r="F7" s="102">
        <v>198.8</v>
      </c>
      <c r="G7" s="102">
        <v>231.8</v>
      </c>
      <c r="H7" s="102">
        <v>255.3</v>
      </c>
      <c r="I7" s="102">
        <v>197</v>
      </c>
      <c r="J7" s="102">
        <v>204.7</v>
      </c>
      <c r="K7" s="102">
        <v>201</v>
      </c>
      <c r="L7" s="102">
        <v>192.5</v>
      </c>
      <c r="M7" s="103">
        <v>190.4</v>
      </c>
      <c r="N7" s="103">
        <v>163.4</v>
      </c>
      <c r="O7" s="103">
        <v>174.5</v>
      </c>
      <c r="P7" s="104">
        <v>171.82599999999999</v>
      </c>
      <c r="Q7" s="104">
        <v>179.1</v>
      </c>
      <c r="R7" s="104">
        <v>175.96100000000001</v>
      </c>
      <c r="S7" s="105">
        <v>150.54133474371901</v>
      </c>
      <c r="T7" s="105">
        <v>229.90899999999999</v>
      </c>
      <c r="U7" s="105">
        <v>160.90299999999999</v>
      </c>
      <c r="V7" s="105">
        <f>86.0226567474257+77.3088282409979</f>
        <v>163.3314849884236</v>
      </c>
      <c r="X7" s="106"/>
      <c r="AA7" s="106"/>
    </row>
    <row r="8" spans="1:27" ht="15" x14ac:dyDescent="0.25">
      <c r="A8" s="97" t="s">
        <v>73</v>
      </c>
      <c r="B8" s="101">
        <v>1166.3</v>
      </c>
      <c r="C8" s="101">
        <v>1239.5</v>
      </c>
      <c r="D8" s="102">
        <v>1091.8</v>
      </c>
      <c r="E8" s="102">
        <v>1175.8</v>
      </c>
      <c r="F8" s="102">
        <v>1380.3</v>
      </c>
      <c r="G8" s="102">
        <v>906.5</v>
      </c>
      <c r="H8" s="102">
        <v>944.5</v>
      </c>
      <c r="I8" s="102">
        <v>873.2</v>
      </c>
      <c r="J8" s="102">
        <v>927.2</v>
      </c>
      <c r="K8" s="102">
        <v>941.3</v>
      </c>
      <c r="L8" s="102">
        <v>946.7</v>
      </c>
      <c r="M8" s="103">
        <v>673.9</v>
      </c>
      <c r="N8" s="103">
        <v>608.1</v>
      </c>
      <c r="O8" s="103">
        <v>932.4</v>
      </c>
      <c r="P8" s="104">
        <v>1006.641</v>
      </c>
      <c r="Q8" s="104">
        <v>905.9</v>
      </c>
      <c r="R8" s="104">
        <v>1231.3810000000001</v>
      </c>
      <c r="S8" s="105">
        <v>1044.81525677373</v>
      </c>
      <c r="T8" s="105">
        <v>1190.9730102699432</v>
      </c>
      <c r="U8" s="105">
        <v>1275.9353114016071</v>
      </c>
      <c r="V8" s="105">
        <v>1258.668747239841</v>
      </c>
      <c r="AA8" s="106"/>
    </row>
    <row r="9" spans="1:27" ht="15" x14ac:dyDescent="0.25">
      <c r="A9" s="97" t="s">
        <v>49</v>
      </c>
      <c r="B9" s="101">
        <v>68.599999999999994</v>
      </c>
      <c r="C9" s="101">
        <v>40.700000000000003</v>
      </c>
      <c r="D9" s="102">
        <v>64.5</v>
      </c>
      <c r="E9" s="102">
        <v>68</v>
      </c>
      <c r="F9" s="102">
        <v>54.5</v>
      </c>
      <c r="G9" s="102">
        <v>93.2</v>
      </c>
      <c r="H9" s="102">
        <v>75.7</v>
      </c>
      <c r="I9" s="102">
        <v>90</v>
      </c>
      <c r="J9" s="102">
        <v>99.3</v>
      </c>
      <c r="K9" s="102">
        <v>122.7</v>
      </c>
      <c r="L9" s="102">
        <v>130.6</v>
      </c>
      <c r="M9" s="103">
        <v>122.1</v>
      </c>
      <c r="N9" s="103">
        <v>128.1</v>
      </c>
      <c r="O9" s="103">
        <v>109.2</v>
      </c>
      <c r="P9" s="107">
        <v>133.37200000000001</v>
      </c>
      <c r="Q9" s="107">
        <v>151.6</v>
      </c>
      <c r="R9" s="107">
        <v>166.602</v>
      </c>
      <c r="S9" s="108">
        <v>173.86990389106552</v>
      </c>
      <c r="T9" s="108">
        <v>180.56485714285714</v>
      </c>
      <c r="U9" s="108">
        <v>194.2978</v>
      </c>
      <c r="V9" s="105">
        <v>197.1209031518855</v>
      </c>
      <c r="X9" s="106"/>
      <c r="AA9" s="106"/>
    </row>
    <row r="10" spans="1:27" ht="15" x14ac:dyDescent="0.25">
      <c r="A10" s="97" t="s">
        <v>18</v>
      </c>
      <c r="B10" s="101">
        <v>16.5</v>
      </c>
      <c r="C10" s="101">
        <v>13.3</v>
      </c>
      <c r="D10" s="102">
        <v>12.1</v>
      </c>
      <c r="E10" s="102">
        <v>9.9</v>
      </c>
      <c r="F10" s="102">
        <v>19</v>
      </c>
      <c r="G10" s="102">
        <v>11.2</v>
      </c>
      <c r="H10" s="102">
        <v>13.3</v>
      </c>
      <c r="I10" s="102">
        <v>7.4</v>
      </c>
      <c r="J10" s="102">
        <v>8.6</v>
      </c>
      <c r="K10" s="102">
        <v>8.5</v>
      </c>
      <c r="L10" s="102">
        <v>8.3000000000000007</v>
      </c>
      <c r="M10" s="103">
        <v>5.7</v>
      </c>
      <c r="N10" s="103">
        <v>10.1</v>
      </c>
      <c r="O10" s="103">
        <v>8.6</v>
      </c>
      <c r="P10" s="104">
        <v>9.9879999999999995</v>
      </c>
      <c r="Q10" s="104">
        <v>8.1999999999999993</v>
      </c>
      <c r="R10" s="104">
        <v>9.0370000000000008</v>
      </c>
      <c r="S10" s="105">
        <v>13.67478163850344</v>
      </c>
      <c r="T10" s="105">
        <v>12.333486253304509</v>
      </c>
      <c r="U10" s="105">
        <v>11.005000000000001</v>
      </c>
      <c r="V10" s="105">
        <v>9.812915475009639</v>
      </c>
      <c r="AA10" s="106"/>
    </row>
    <row r="11" spans="1:27" ht="15.75" thickBot="1" x14ac:dyDescent="0.3">
      <c r="A11" s="109" t="s">
        <v>6</v>
      </c>
      <c r="B11" s="110">
        <f>SUM(B5:B10)</f>
        <v>3341.1999999999994</v>
      </c>
      <c r="C11" s="110">
        <f t="shared" ref="C11:U11" si="0">SUM(C5:C10)</f>
        <v>3598.2</v>
      </c>
      <c r="D11" s="110">
        <f t="shared" si="0"/>
        <v>3731.2999999999997</v>
      </c>
      <c r="E11" s="110">
        <f t="shared" si="0"/>
        <v>4069.7999999999997</v>
      </c>
      <c r="F11" s="110">
        <f t="shared" si="0"/>
        <v>4089.6000000000004</v>
      </c>
      <c r="G11" s="110">
        <f t="shared" si="0"/>
        <v>4123</v>
      </c>
      <c r="H11" s="110">
        <f t="shared" si="0"/>
        <v>3956.7000000000003</v>
      </c>
      <c r="I11" s="110">
        <f t="shared" si="0"/>
        <v>3913.7999999999997</v>
      </c>
      <c r="J11" s="110">
        <f t="shared" si="0"/>
        <v>3865.7000000000003</v>
      </c>
      <c r="K11" s="110">
        <f t="shared" si="0"/>
        <v>3857.3999999999996</v>
      </c>
      <c r="L11" s="110">
        <f t="shared" si="0"/>
        <v>3991.7000000000003</v>
      </c>
      <c r="M11" s="110">
        <f t="shared" si="0"/>
        <v>3558.2999999999997</v>
      </c>
      <c r="N11" s="110">
        <f t="shared" si="0"/>
        <v>3218.7999999999997</v>
      </c>
      <c r="O11" s="110">
        <f t="shared" si="0"/>
        <v>3825.2</v>
      </c>
      <c r="P11" s="110">
        <f t="shared" si="0"/>
        <v>3832.4179999999997</v>
      </c>
      <c r="Q11" s="110">
        <f t="shared" si="0"/>
        <v>3880.7999999999997</v>
      </c>
      <c r="R11" s="110">
        <f t="shared" si="0"/>
        <v>4217.6860000000006</v>
      </c>
      <c r="S11" s="110">
        <f t="shared" si="0"/>
        <v>4394.1215110568473</v>
      </c>
      <c r="T11" s="110">
        <f t="shared" si="0"/>
        <v>4839.0709328205976</v>
      </c>
      <c r="U11" s="110">
        <f t="shared" si="0"/>
        <v>4760.3642242386459</v>
      </c>
      <c r="V11" s="363">
        <f>SUM(V5:V10)</f>
        <v>4953.944489195841</v>
      </c>
      <c r="AA11" s="106"/>
    </row>
    <row r="12" spans="1:27" ht="19.5" customHeight="1" thickBot="1" x14ac:dyDescent="0.3">
      <c r="A12" s="111" t="s">
        <v>79</v>
      </c>
      <c r="B12" s="112">
        <f>B11/365</f>
        <v>9.1539726027397244</v>
      </c>
      <c r="C12" s="113">
        <f t="shared" ref="C12:O12" si="1">C11/365</f>
        <v>9.8580821917808219</v>
      </c>
      <c r="D12" s="113">
        <f>D11/366</f>
        <v>10.194808743169398</v>
      </c>
      <c r="E12" s="113">
        <f t="shared" si="1"/>
        <v>11.150136986301369</v>
      </c>
      <c r="F12" s="112">
        <f t="shared" si="1"/>
        <v>11.204383561643837</v>
      </c>
      <c r="G12" s="113">
        <f t="shared" si="1"/>
        <v>11.295890410958904</v>
      </c>
      <c r="H12" s="113">
        <f>H11/366</f>
        <v>10.810655737704918</v>
      </c>
      <c r="I12" s="113">
        <f t="shared" si="1"/>
        <v>10.722739726027397</v>
      </c>
      <c r="J12" s="112">
        <f t="shared" si="1"/>
        <v>10.59095890410959</v>
      </c>
      <c r="K12" s="113">
        <f t="shared" si="1"/>
        <v>10.56821917808219</v>
      </c>
      <c r="L12" s="113">
        <f>L11/366</f>
        <v>10.906284153005465</v>
      </c>
      <c r="M12" s="113">
        <f t="shared" si="1"/>
        <v>9.7487671232876707</v>
      </c>
      <c r="N12" s="112">
        <f t="shared" si="1"/>
        <v>8.8186301369863003</v>
      </c>
      <c r="O12" s="113">
        <f t="shared" si="1"/>
        <v>10.479999999999999</v>
      </c>
      <c r="P12" s="113">
        <f>P11/366</f>
        <v>10.471087431693988</v>
      </c>
      <c r="Q12" s="113">
        <f>Q11/365</f>
        <v>10.632328767123287</v>
      </c>
      <c r="R12" s="113">
        <f>R11/365</f>
        <v>11.555304109589043</v>
      </c>
      <c r="S12" s="113">
        <f>S11/365</f>
        <v>12.038689071388623</v>
      </c>
      <c r="T12" s="113">
        <f>T11/366</f>
        <v>13.221505280930595</v>
      </c>
      <c r="U12" s="113">
        <f>U11/365</f>
        <v>13.042093765037386</v>
      </c>
      <c r="V12" s="113">
        <f>V11/365</f>
        <v>13.572450655331071</v>
      </c>
      <c r="AA12" s="106"/>
    </row>
    <row r="13" spans="1:27" x14ac:dyDescent="0.2">
      <c r="O13" s="114"/>
      <c r="P13" s="114"/>
      <c r="Q13" s="114"/>
      <c r="R13" s="114"/>
      <c r="S13" s="375"/>
      <c r="T13" s="376"/>
    </row>
    <row r="14" spans="1:27" ht="15.75" x14ac:dyDescent="0.25">
      <c r="A14" s="115"/>
      <c r="B14" s="115"/>
      <c r="C14" s="115"/>
      <c r="D14" s="115"/>
      <c r="O14" s="114"/>
      <c r="P14" s="114"/>
      <c r="Q14" s="114"/>
      <c r="R14" s="114"/>
      <c r="S14" s="375"/>
      <c r="T14" s="376"/>
      <c r="U14" s="377"/>
      <c r="V14" s="377"/>
      <c r="W14" s="377"/>
      <c r="X14" s="377"/>
      <c r="Y14" s="377"/>
    </row>
    <row r="15" spans="1:27" ht="15" x14ac:dyDescent="0.25">
      <c r="O15" s="116"/>
      <c r="P15" s="116"/>
      <c r="Q15" s="116"/>
      <c r="R15" s="116"/>
      <c r="U15" s="378"/>
      <c r="V15" s="362"/>
      <c r="W15" s="117"/>
      <c r="X15" s="117"/>
      <c r="Y15" s="117"/>
    </row>
    <row r="16" spans="1:27" ht="15" customHeight="1" x14ac:dyDescent="0.25">
      <c r="R16" s="51"/>
      <c r="S16" s="51"/>
      <c r="U16" s="378"/>
      <c r="V16" s="118"/>
      <c r="W16" s="119"/>
      <c r="X16" s="119"/>
      <c r="Y16" s="120"/>
    </row>
    <row r="17" spans="19:25" ht="15" x14ac:dyDescent="0.25">
      <c r="U17" s="378"/>
      <c r="V17" s="118"/>
      <c r="W17" s="119"/>
      <c r="X17" s="119"/>
      <c r="Y17" s="120"/>
    </row>
    <row r="18" spans="19:25" ht="15" x14ac:dyDescent="0.25">
      <c r="U18" s="378"/>
      <c r="V18" s="118"/>
      <c r="W18" s="119"/>
      <c r="X18" s="119"/>
      <c r="Y18" s="120"/>
    </row>
    <row r="19" spans="19:25" ht="15" x14ac:dyDescent="0.25">
      <c r="U19" s="378"/>
      <c r="V19" s="118"/>
      <c r="W19" s="119"/>
      <c r="X19" s="119"/>
      <c r="Y19" s="120"/>
    </row>
    <row r="20" spans="19:25" ht="15" x14ac:dyDescent="0.25">
      <c r="S20" s="106"/>
      <c r="U20" s="378"/>
      <c r="V20" s="118"/>
      <c r="W20" s="119"/>
      <c r="X20" s="119"/>
      <c r="Y20" s="120"/>
    </row>
    <row r="21" spans="19:25" ht="15" x14ac:dyDescent="0.25">
      <c r="U21" s="378"/>
      <c r="V21" s="118"/>
      <c r="W21" s="119"/>
      <c r="X21" s="119"/>
      <c r="Y21" s="120"/>
    </row>
    <row r="22" spans="19:25" ht="15" x14ac:dyDescent="0.25">
      <c r="U22" s="378"/>
      <c r="V22" s="118"/>
      <c r="W22" s="119"/>
      <c r="X22" s="119"/>
      <c r="Y22" s="120"/>
    </row>
    <row r="23" spans="19:25" ht="15" x14ac:dyDescent="0.25">
      <c r="U23" s="378"/>
      <c r="V23" s="121"/>
      <c r="W23" s="122"/>
      <c r="X23" s="122"/>
      <c r="Y23" s="123"/>
    </row>
    <row r="40" spans="1:14" ht="15" x14ac:dyDescent="0.25">
      <c r="A40" s="84" t="s">
        <v>74</v>
      </c>
    </row>
    <row r="42" spans="1:14" ht="15" x14ac:dyDescent="0.2">
      <c r="A42" s="55" t="s">
        <v>50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</row>
    <row r="43" spans="1:14" ht="15" x14ac:dyDescent="0.2">
      <c r="A43" s="55" t="s">
        <v>80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</row>
    <row r="44" spans="1:14" ht="22.5" customHeight="1" x14ac:dyDescent="0.2">
      <c r="A44" s="379" t="s">
        <v>81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124"/>
    </row>
  </sheetData>
  <mergeCells count="5">
    <mergeCell ref="C1:I1"/>
    <mergeCell ref="S13:T14"/>
    <mergeCell ref="U14:Y14"/>
    <mergeCell ref="U15:U23"/>
    <mergeCell ref="A44:M44"/>
  </mergeCells>
  <pageMargins left="0.39370078740157483" right="0.39370078740157483" top="0.39370078740157483" bottom="0.39370078740157483" header="0.51181102362204722" footer="0.51181102362204722"/>
  <pageSetup scale="7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45"/>
  <sheetViews>
    <sheetView zoomScaleNormal="100" workbookViewId="0">
      <selection activeCell="D33" sqref="D33"/>
    </sheetView>
  </sheetViews>
  <sheetFormatPr defaultRowHeight="12.75" x14ac:dyDescent="0.2"/>
  <cols>
    <col min="1" max="1" width="9.140625" style="52"/>
    <col min="2" max="2" width="17.42578125" style="52" customWidth="1"/>
    <col min="3" max="3" width="17.5703125" style="52" bestFit="1" customWidth="1"/>
    <col min="4" max="4" width="18.42578125" style="134" customWidth="1"/>
    <col min="5" max="5" width="9.140625" style="135"/>
    <col min="6" max="6" width="12" style="52" bestFit="1" customWidth="1"/>
    <col min="7" max="15" width="9.140625" style="52"/>
    <col min="16" max="16" width="14.85546875" style="52" bestFit="1" customWidth="1"/>
    <col min="17" max="257" width="9.140625" style="52"/>
    <col min="258" max="258" width="17.42578125" style="52" customWidth="1"/>
    <col min="259" max="259" width="17.5703125" style="52" bestFit="1" customWidth="1"/>
    <col min="260" max="260" width="18.42578125" style="52" customWidth="1"/>
    <col min="261" max="513" width="9.140625" style="52"/>
    <col min="514" max="514" width="17.42578125" style="52" customWidth="1"/>
    <col min="515" max="515" width="17.5703125" style="52" bestFit="1" customWidth="1"/>
    <col min="516" max="516" width="18.42578125" style="52" customWidth="1"/>
    <col min="517" max="769" width="9.140625" style="52"/>
    <col min="770" max="770" width="17.42578125" style="52" customWidth="1"/>
    <col min="771" max="771" width="17.5703125" style="52" bestFit="1" customWidth="1"/>
    <col min="772" max="772" width="18.42578125" style="52" customWidth="1"/>
    <col min="773" max="1025" width="9.140625" style="52"/>
    <col min="1026" max="1026" width="17.42578125" style="52" customWidth="1"/>
    <col min="1027" max="1027" width="17.5703125" style="52" bestFit="1" customWidth="1"/>
    <col min="1028" max="1028" width="18.42578125" style="52" customWidth="1"/>
    <col min="1029" max="1281" width="9.140625" style="52"/>
    <col min="1282" max="1282" width="17.42578125" style="52" customWidth="1"/>
    <col min="1283" max="1283" width="17.5703125" style="52" bestFit="1" customWidth="1"/>
    <col min="1284" max="1284" width="18.42578125" style="52" customWidth="1"/>
    <col min="1285" max="1537" width="9.140625" style="52"/>
    <col min="1538" max="1538" width="17.42578125" style="52" customWidth="1"/>
    <col min="1539" max="1539" width="17.5703125" style="52" bestFit="1" customWidth="1"/>
    <col min="1540" max="1540" width="18.42578125" style="52" customWidth="1"/>
    <col min="1541" max="1793" width="9.140625" style="52"/>
    <col min="1794" max="1794" width="17.42578125" style="52" customWidth="1"/>
    <col min="1795" max="1795" width="17.5703125" style="52" bestFit="1" customWidth="1"/>
    <col min="1796" max="1796" width="18.42578125" style="52" customWidth="1"/>
    <col min="1797" max="2049" width="9.140625" style="52"/>
    <col min="2050" max="2050" width="17.42578125" style="52" customWidth="1"/>
    <col min="2051" max="2051" width="17.5703125" style="52" bestFit="1" customWidth="1"/>
    <col min="2052" max="2052" width="18.42578125" style="52" customWidth="1"/>
    <col min="2053" max="2305" width="9.140625" style="52"/>
    <col min="2306" max="2306" width="17.42578125" style="52" customWidth="1"/>
    <col min="2307" max="2307" width="17.5703125" style="52" bestFit="1" customWidth="1"/>
    <col min="2308" max="2308" width="18.42578125" style="52" customWidth="1"/>
    <col min="2309" max="2561" width="9.140625" style="52"/>
    <col min="2562" max="2562" width="17.42578125" style="52" customWidth="1"/>
    <col min="2563" max="2563" width="17.5703125" style="52" bestFit="1" customWidth="1"/>
    <col min="2564" max="2564" width="18.42578125" style="52" customWidth="1"/>
    <col min="2565" max="2817" width="9.140625" style="52"/>
    <col min="2818" max="2818" width="17.42578125" style="52" customWidth="1"/>
    <col min="2819" max="2819" width="17.5703125" style="52" bestFit="1" customWidth="1"/>
    <col min="2820" max="2820" width="18.42578125" style="52" customWidth="1"/>
    <col min="2821" max="3073" width="9.140625" style="52"/>
    <col min="3074" max="3074" width="17.42578125" style="52" customWidth="1"/>
    <col min="3075" max="3075" width="17.5703125" style="52" bestFit="1" customWidth="1"/>
    <col min="3076" max="3076" width="18.42578125" style="52" customWidth="1"/>
    <col min="3077" max="3329" width="9.140625" style="52"/>
    <col min="3330" max="3330" width="17.42578125" style="52" customWidth="1"/>
    <col min="3331" max="3331" width="17.5703125" style="52" bestFit="1" customWidth="1"/>
    <col min="3332" max="3332" width="18.42578125" style="52" customWidth="1"/>
    <col min="3333" max="3585" width="9.140625" style="52"/>
    <col min="3586" max="3586" width="17.42578125" style="52" customWidth="1"/>
    <col min="3587" max="3587" width="17.5703125" style="52" bestFit="1" customWidth="1"/>
    <col min="3588" max="3588" width="18.42578125" style="52" customWidth="1"/>
    <col min="3589" max="3841" width="9.140625" style="52"/>
    <col min="3842" max="3842" width="17.42578125" style="52" customWidth="1"/>
    <col min="3843" max="3843" width="17.5703125" style="52" bestFit="1" customWidth="1"/>
    <col min="3844" max="3844" width="18.42578125" style="52" customWidth="1"/>
    <col min="3845" max="4097" width="9.140625" style="52"/>
    <col min="4098" max="4098" width="17.42578125" style="52" customWidth="1"/>
    <col min="4099" max="4099" width="17.5703125" style="52" bestFit="1" customWidth="1"/>
    <col min="4100" max="4100" width="18.42578125" style="52" customWidth="1"/>
    <col min="4101" max="4353" width="9.140625" style="52"/>
    <col min="4354" max="4354" width="17.42578125" style="52" customWidth="1"/>
    <col min="4355" max="4355" width="17.5703125" style="52" bestFit="1" customWidth="1"/>
    <col min="4356" max="4356" width="18.42578125" style="52" customWidth="1"/>
    <col min="4357" max="4609" width="9.140625" style="52"/>
    <col min="4610" max="4610" width="17.42578125" style="52" customWidth="1"/>
    <col min="4611" max="4611" width="17.5703125" style="52" bestFit="1" customWidth="1"/>
    <col min="4612" max="4612" width="18.42578125" style="52" customWidth="1"/>
    <col min="4613" max="4865" width="9.140625" style="52"/>
    <col min="4866" max="4866" width="17.42578125" style="52" customWidth="1"/>
    <col min="4867" max="4867" width="17.5703125" style="52" bestFit="1" customWidth="1"/>
    <col min="4868" max="4868" width="18.42578125" style="52" customWidth="1"/>
    <col min="4869" max="5121" width="9.140625" style="52"/>
    <col min="5122" max="5122" width="17.42578125" style="52" customWidth="1"/>
    <col min="5123" max="5123" width="17.5703125" style="52" bestFit="1" customWidth="1"/>
    <col min="5124" max="5124" width="18.42578125" style="52" customWidth="1"/>
    <col min="5125" max="5377" width="9.140625" style="52"/>
    <col min="5378" max="5378" width="17.42578125" style="52" customWidth="1"/>
    <col min="5379" max="5379" width="17.5703125" style="52" bestFit="1" customWidth="1"/>
    <col min="5380" max="5380" width="18.42578125" style="52" customWidth="1"/>
    <col min="5381" max="5633" width="9.140625" style="52"/>
    <col min="5634" max="5634" width="17.42578125" style="52" customWidth="1"/>
    <col min="5635" max="5635" width="17.5703125" style="52" bestFit="1" customWidth="1"/>
    <col min="5636" max="5636" width="18.42578125" style="52" customWidth="1"/>
    <col min="5637" max="5889" width="9.140625" style="52"/>
    <col min="5890" max="5890" width="17.42578125" style="52" customWidth="1"/>
    <col min="5891" max="5891" width="17.5703125" style="52" bestFit="1" customWidth="1"/>
    <col min="5892" max="5892" width="18.42578125" style="52" customWidth="1"/>
    <col min="5893" max="6145" width="9.140625" style="52"/>
    <col min="6146" max="6146" width="17.42578125" style="52" customWidth="1"/>
    <col min="6147" max="6147" width="17.5703125" style="52" bestFit="1" customWidth="1"/>
    <col min="6148" max="6148" width="18.42578125" style="52" customWidth="1"/>
    <col min="6149" max="6401" width="9.140625" style="52"/>
    <col min="6402" max="6402" width="17.42578125" style="52" customWidth="1"/>
    <col min="6403" max="6403" width="17.5703125" style="52" bestFit="1" customWidth="1"/>
    <col min="6404" max="6404" width="18.42578125" style="52" customWidth="1"/>
    <col min="6405" max="6657" width="9.140625" style="52"/>
    <col min="6658" max="6658" width="17.42578125" style="52" customWidth="1"/>
    <col min="6659" max="6659" width="17.5703125" style="52" bestFit="1" customWidth="1"/>
    <col min="6660" max="6660" width="18.42578125" style="52" customWidth="1"/>
    <col min="6661" max="6913" width="9.140625" style="52"/>
    <col min="6914" max="6914" width="17.42578125" style="52" customWidth="1"/>
    <col min="6915" max="6915" width="17.5703125" style="52" bestFit="1" customWidth="1"/>
    <col min="6916" max="6916" width="18.42578125" style="52" customWidth="1"/>
    <col min="6917" max="7169" width="9.140625" style="52"/>
    <col min="7170" max="7170" width="17.42578125" style="52" customWidth="1"/>
    <col min="7171" max="7171" width="17.5703125" style="52" bestFit="1" customWidth="1"/>
    <col min="7172" max="7172" width="18.42578125" style="52" customWidth="1"/>
    <col min="7173" max="7425" width="9.140625" style="52"/>
    <col min="7426" max="7426" width="17.42578125" style="52" customWidth="1"/>
    <col min="7427" max="7427" width="17.5703125" style="52" bestFit="1" customWidth="1"/>
    <col min="7428" max="7428" width="18.42578125" style="52" customWidth="1"/>
    <col min="7429" max="7681" width="9.140625" style="52"/>
    <col min="7682" max="7682" width="17.42578125" style="52" customWidth="1"/>
    <col min="7683" max="7683" width="17.5703125" style="52" bestFit="1" customWidth="1"/>
    <col min="7684" max="7684" width="18.42578125" style="52" customWidth="1"/>
    <col min="7685" max="7937" width="9.140625" style="52"/>
    <col min="7938" max="7938" width="17.42578125" style="52" customWidth="1"/>
    <col min="7939" max="7939" width="17.5703125" style="52" bestFit="1" customWidth="1"/>
    <col min="7940" max="7940" width="18.42578125" style="52" customWidth="1"/>
    <col min="7941" max="8193" width="9.140625" style="52"/>
    <col min="8194" max="8194" width="17.42578125" style="52" customWidth="1"/>
    <col min="8195" max="8195" width="17.5703125" style="52" bestFit="1" customWidth="1"/>
    <col min="8196" max="8196" width="18.42578125" style="52" customWidth="1"/>
    <col min="8197" max="8449" width="9.140625" style="52"/>
    <col min="8450" max="8450" width="17.42578125" style="52" customWidth="1"/>
    <col min="8451" max="8451" width="17.5703125" style="52" bestFit="1" customWidth="1"/>
    <col min="8452" max="8452" width="18.42578125" style="52" customWidth="1"/>
    <col min="8453" max="8705" width="9.140625" style="52"/>
    <col min="8706" max="8706" width="17.42578125" style="52" customWidth="1"/>
    <col min="8707" max="8707" width="17.5703125" style="52" bestFit="1" customWidth="1"/>
    <col min="8708" max="8708" width="18.42578125" style="52" customWidth="1"/>
    <col min="8709" max="8961" width="9.140625" style="52"/>
    <col min="8962" max="8962" width="17.42578125" style="52" customWidth="1"/>
    <col min="8963" max="8963" width="17.5703125" style="52" bestFit="1" customWidth="1"/>
    <col min="8964" max="8964" width="18.42578125" style="52" customWidth="1"/>
    <col min="8965" max="9217" width="9.140625" style="52"/>
    <col min="9218" max="9218" width="17.42578125" style="52" customWidth="1"/>
    <col min="9219" max="9219" width="17.5703125" style="52" bestFit="1" customWidth="1"/>
    <col min="9220" max="9220" width="18.42578125" style="52" customWidth="1"/>
    <col min="9221" max="9473" width="9.140625" style="52"/>
    <col min="9474" max="9474" width="17.42578125" style="52" customWidth="1"/>
    <col min="9475" max="9475" width="17.5703125" style="52" bestFit="1" customWidth="1"/>
    <col min="9476" max="9476" width="18.42578125" style="52" customWidth="1"/>
    <col min="9477" max="9729" width="9.140625" style="52"/>
    <col min="9730" max="9730" width="17.42578125" style="52" customWidth="1"/>
    <col min="9731" max="9731" width="17.5703125" style="52" bestFit="1" customWidth="1"/>
    <col min="9732" max="9732" width="18.42578125" style="52" customWidth="1"/>
    <col min="9733" max="9985" width="9.140625" style="52"/>
    <col min="9986" max="9986" width="17.42578125" style="52" customWidth="1"/>
    <col min="9987" max="9987" width="17.5703125" style="52" bestFit="1" customWidth="1"/>
    <col min="9988" max="9988" width="18.42578125" style="52" customWidth="1"/>
    <col min="9989" max="10241" width="9.140625" style="52"/>
    <col min="10242" max="10242" width="17.42578125" style="52" customWidth="1"/>
    <col min="10243" max="10243" width="17.5703125" style="52" bestFit="1" customWidth="1"/>
    <col min="10244" max="10244" width="18.42578125" style="52" customWidth="1"/>
    <col min="10245" max="10497" width="9.140625" style="52"/>
    <col min="10498" max="10498" width="17.42578125" style="52" customWidth="1"/>
    <col min="10499" max="10499" width="17.5703125" style="52" bestFit="1" customWidth="1"/>
    <col min="10500" max="10500" width="18.42578125" style="52" customWidth="1"/>
    <col min="10501" max="10753" width="9.140625" style="52"/>
    <col min="10754" max="10754" width="17.42578125" style="52" customWidth="1"/>
    <col min="10755" max="10755" width="17.5703125" style="52" bestFit="1" customWidth="1"/>
    <col min="10756" max="10756" width="18.42578125" style="52" customWidth="1"/>
    <col min="10757" max="11009" width="9.140625" style="52"/>
    <col min="11010" max="11010" width="17.42578125" style="52" customWidth="1"/>
    <col min="11011" max="11011" width="17.5703125" style="52" bestFit="1" customWidth="1"/>
    <col min="11012" max="11012" width="18.42578125" style="52" customWidth="1"/>
    <col min="11013" max="11265" width="9.140625" style="52"/>
    <col min="11266" max="11266" width="17.42578125" style="52" customWidth="1"/>
    <col min="11267" max="11267" width="17.5703125" style="52" bestFit="1" customWidth="1"/>
    <col min="11268" max="11268" width="18.42578125" style="52" customWidth="1"/>
    <col min="11269" max="11521" width="9.140625" style="52"/>
    <col min="11522" max="11522" width="17.42578125" style="52" customWidth="1"/>
    <col min="11523" max="11523" width="17.5703125" style="52" bestFit="1" customWidth="1"/>
    <col min="11524" max="11524" width="18.42578125" style="52" customWidth="1"/>
    <col min="11525" max="11777" width="9.140625" style="52"/>
    <col min="11778" max="11778" width="17.42578125" style="52" customWidth="1"/>
    <col min="11779" max="11779" width="17.5703125" style="52" bestFit="1" customWidth="1"/>
    <col min="11780" max="11780" width="18.42578125" style="52" customWidth="1"/>
    <col min="11781" max="12033" width="9.140625" style="52"/>
    <col min="12034" max="12034" width="17.42578125" style="52" customWidth="1"/>
    <col min="12035" max="12035" width="17.5703125" style="52" bestFit="1" customWidth="1"/>
    <col min="12036" max="12036" width="18.42578125" style="52" customWidth="1"/>
    <col min="12037" max="12289" width="9.140625" style="52"/>
    <col min="12290" max="12290" width="17.42578125" style="52" customWidth="1"/>
    <col min="12291" max="12291" width="17.5703125" style="52" bestFit="1" customWidth="1"/>
    <col min="12292" max="12292" width="18.42578125" style="52" customWidth="1"/>
    <col min="12293" max="12545" width="9.140625" style="52"/>
    <col min="12546" max="12546" width="17.42578125" style="52" customWidth="1"/>
    <col min="12547" max="12547" width="17.5703125" style="52" bestFit="1" customWidth="1"/>
    <col min="12548" max="12548" width="18.42578125" style="52" customWidth="1"/>
    <col min="12549" max="12801" width="9.140625" style="52"/>
    <col min="12802" max="12802" width="17.42578125" style="52" customWidth="1"/>
    <col min="12803" max="12803" width="17.5703125" style="52" bestFit="1" customWidth="1"/>
    <col min="12804" max="12804" width="18.42578125" style="52" customWidth="1"/>
    <col min="12805" max="13057" width="9.140625" style="52"/>
    <col min="13058" max="13058" width="17.42578125" style="52" customWidth="1"/>
    <col min="13059" max="13059" width="17.5703125" style="52" bestFit="1" customWidth="1"/>
    <col min="13060" max="13060" width="18.42578125" style="52" customWidth="1"/>
    <col min="13061" max="13313" width="9.140625" style="52"/>
    <col min="13314" max="13314" width="17.42578125" style="52" customWidth="1"/>
    <col min="13315" max="13315" width="17.5703125" style="52" bestFit="1" customWidth="1"/>
    <col min="13316" max="13316" width="18.42578125" style="52" customWidth="1"/>
    <col min="13317" max="13569" width="9.140625" style="52"/>
    <col min="13570" max="13570" width="17.42578125" style="52" customWidth="1"/>
    <col min="13571" max="13571" width="17.5703125" style="52" bestFit="1" customWidth="1"/>
    <col min="13572" max="13572" width="18.42578125" style="52" customWidth="1"/>
    <col min="13573" max="13825" width="9.140625" style="52"/>
    <col min="13826" max="13826" width="17.42578125" style="52" customWidth="1"/>
    <col min="13827" max="13827" width="17.5703125" style="52" bestFit="1" customWidth="1"/>
    <col min="13828" max="13828" width="18.42578125" style="52" customWidth="1"/>
    <col min="13829" max="14081" width="9.140625" style="52"/>
    <col min="14082" max="14082" width="17.42578125" style="52" customWidth="1"/>
    <col min="14083" max="14083" width="17.5703125" style="52" bestFit="1" customWidth="1"/>
    <col min="14084" max="14084" width="18.42578125" style="52" customWidth="1"/>
    <col min="14085" max="14337" width="9.140625" style="52"/>
    <col min="14338" max="14338" width="17.42578125" style="52" customWidth="1"/>
    <col min="14339" max="14339" width="17.5703125" style="52" bestFit="1" customWidth="1"/>
    <col min="14340" max="14340" width="18.42578125" style="52" customWidth="1"/>
    <col min="14341" max="14593" width="9.140625" style="52"/>
    <col min="14594" max="14594" width="17.42578125" style="52" customWidth="1"/>
    <col min="14595" max="14595" width="17.5703125" style="52" bestFit="1" customWidth="1"/>
    <col min="14596" max="14596" width="18.42578125" style="52" customWidth="1"/>
    <col min="14597" max="14849" width="9.140625" style="52"/>
    <col min="14850" max="14850" width="17.42578125" style="52" customWidth="1"/>
    <col min="14851" max="14851" width="17.5703125" style="52" bestFit="1" customWidth="1"/>
    <col min="14852" max="14852" width="18.42578125" style="52" customWidth="1"/>
    <col min="14853" max="15105" width="9.140625" style="52"/>
    <col min="15106" max="15106" width="17.42578125" style="52" customWidth="1"/>
    <col min="15107" max="15107" width="17.5703125" style="52" bestFit="1" customWidth="1"/>
    <col min="15108" max="15108" width="18.42578125" style="52" customWidth="1"/>
    <col min="15109" max="15361" width="9.140625" style="52"/>
    <col min="15362" max="15362" width="17.42578125" style="52" customWidth="1"/>
    <col min="15363" max="15363" width="17.5703125" style="52" bestFit="1" customWidth="1"/>
    <col min="15364" max="15364" width="18.42578125" style="52" customWidth="1"/>
    <col min="15365" max="15617" width="9.140625" style="52"/>
    <col min="15618" max="15618" width="17.42578125" style="52" customWidth="1"/>
    <col min="15619" max="15619" width="17.5703125" style="52" bestFit="1" customWidth="1"/>
    <col min="15620" max="15620" width="18.42578125" style="52" customWidth="1"/>
    <col min="15621" max="15873" width="9.140625" style="52"/>
    <col min="15874" max="15874" width="17.42578125" style="52" customWidth="1"/>
    <col min="15875" max="15875" width="17.5703125" style="52" bestFit="1" customWidth="1"/>
    <col min="15876" max="15876" width="18.42578125" style="52" customWidth="1"/>
    <col min="15877" max="16129" width="9.140625" style="52"/>
    <col min="16130" max="16130" width="17.42578125" style="52" customWidth="1"/>
    <col min="16131" max="16131" width="17.5703125" style="52" bestFit="1" customWidth="1"/>
    <col min="16132" max="16132" width="18.42578125" style="52" customWidth="1"/>
    <col min="16133" max="16384" width="9.140625" style="52"/>
  </cols>
  <sheetData>
    <row r="1" spans="1:5" ht="15" x14ac:dyDescent="0.2">
      <c r="A1" s="55"/>
      <c r="B1" s="55"/>
      <c r="C1" s="55"/>
    </row>
    <row r="2" spans="1:5" ht="16.5" x14ac:dyDescent="0.3">
      <c r="B2" s="366" t="s">
        <v>83</v>
      </c>
      <c r="C2" s="366"/>
      <c r="D2" s="366"/>
    </row>
    <row r="3" spans="1:5" ht="15" x14ac:dyDescent="0.2">
      <c r="A3" s="136"/>
      <c r="B3" s="136"/>
      <c r="C3" s="136"/>
      <c r="D3" s="137"/>
    </row>
    <row r="4" spans="1:5" ht="15.75" x14ac:dyDescent="0.25">
      <c r="A4" s="136"/>
      <c r="B4" s="136"/>
      <c r="C4" s="138" t="s">
        <v>84</v>
      </c>
      <c r="D4" s="139"/>
    </row>
    <row r="5" spans="1:5" ht="15.75" thickBot="1" x14ac:dyDescent="0.25">
      <c r="A5" s="55"/>
      <c r="B5" s="55"/>
      <c r="C5" s="55"/>
    </row>
    <row r="6" spans="1:5" ht="15.75" x14ac:dyDescent="0.25">
      <c r="A6" s="140" t="s">
        <v>59</v>
      </c>
      <c r="B6" s="381" t="s">
        <v>85</v>
      </c>
      <c r="C6" s="383" t="s">
        <v>86</v>
      </c>
      <c r="D6" s="385" t="s">
        <v>87</v>
      </c>
      <c r="E6" s="141"/>
    </row>
    <row r="7" spans="1:5" ht="16.5" thickBot="1" x14ac:dyDescent="0.3">
      <c r="A7" s="142"/>
      <c r="B7" s="382"/>
      <c r="C7" s="384"/>
      <c r="D7" s="386"/>
    </row>
    <row r="8" spans="1:5" ht="18.75" customHeight="1" x14ac:dyDescent="0.2">
      <c r="A8" s="143">
        <v>1994</v>
      </c>
      <c r="B8" s="144">
        <v>72068</v>
      </c>
      <c r="C8" s="145">
        <v>456811</v>
      </c>
      <c r="D8" s="146">
        <f t="shared" ref="D8:D28" si="0">B8/C8</f>
        <v>0.15776327627837333</v>
      </c>
    </row>
    <row r="9" spans="1:5" ht="19.5" customHeight="1" x14ac:dyDescent="0.2">
      <c r="A9" s="147">
        <v>1995</v>
      </c>
      <c r="B9" s="148">
        <v>85161</v>
      </c>
      <c r="C9" s="149">
        <v>520980</v>
      </c>
      <c r="D9" s="150">
        <f t="shared" si="0"/>
        <v>0.16346308879419555</v>
      </c>
    </row>
    <row r="10" spans="1:5" ht="18.75" customHeight="1" x14ac:dyDescent="0.2">
      <c r="A10" s="147">
        <v>1996</v>
      </c>
      <c r="B10" s="148">
        <v>100697</v>
      </c>
      <c r="C10" s="149">
        <v>583142</v>
      </c>
      <c r="D10" s="150">
        <f t="shared" si="0"/>
        <v>0.17268006763361241</v>
      </c>
    </row>
    <row r="11" spans="1:5" ht="19.5" customHeight="1" x14ac:dyDescent="0.2">
      <c r="A11" s="147">
        <v>1997</v>
      </c>
      <c r="B11" s="148">
        <v>107727</v>
      </c>
      <c r="C11" s="149">
        <v>628988</v>
      </c>
      <c r="D11" s="150">
        <f t="shared" si="0"/>
        <v>0.17127035809904165</v>
      </c>
    </row>
    <row r="12" spans="1:5" ht="19.5" customHeight="1" x14ac:dyDescent="0.2">
      <c r="A12" s="147">
        <v>1998</v>
      </c>
      <c r="B12" s="148">
        <v>78540</v>
      </c>
      <c r="C12" s="149">
        <v>593214</v>
      </c>
      <c r="D12" s="150">
        <f t="shared" si="0"/>
        <v>0.1323974147609463</v>
      </c>
    </row>
    <row r="13" spans="1:5" ht="17.25" customHeight="1" x14ac:dyDescent="0.2">
      <c r="A13" s="147">
        <v>1999</v>
      </c>
      <c r="B13" s="148">
        <v>99704</v>
      </c>
      <c r="C13" s="149">
        <v>591585</v>
      </c>
      <c r="D13" s="150">
        <f t="shared" si="0"/>
        <v>0.16853706567948815</v>
      </c>
    </row>
    <row r="14" spans="1:5" ht="18.75" customHeight="1" x14ac:dyDescent="0.2">
      <c r="A14" s="147">
        <v>2000</v>
      </c>
      <c r="B14" s="148">
        <v>143278</v>
      </c>
      <c r="C14" s="149">
        <v>592449</v>
      </c>
      <c r="D14" s="150">
        <f t="shared" si="0"/>
        <v>0.24184022590974075</v>
      </c>
    </row>
    <row r="15" spans="1:5" ht="18" customHeight="1" x14ac:dyDescent="0.2">
      <c r="A15" s="147">
        <v>2001</v>
      </c>
      <c r="B15" s="148">
        <v>123374</v>
      </c>
      <c r="C15" s="149">
        <v>579010</v>
      </c>
      <c r="D15" s="150">
        <f t="shared" si="0"/>
        <v>0.21307749434379372</v>
      </c>
    </row>
    <row r="16" spans="1:5" ht="17.25" customHeight="1" x14ac:dyDescent="0.2">
      <c r="A16" s="147">
        <v>2002</v>
      </c>
      <c r="B16" s="148">
        <v>122644</v>
      </c>
      <c r="C16" s="149">
        <v>614143</v>
      </c>
      <c r="D16" s="150">
        <f t="shared" si="0"/>
        <v>0.1996994185393304</v>
      </c>
    </row>
    <row r="17" spans="1:16" ht="16.5" customHeight="1" x14ac:dyDescent="0.2">
      <c r="A17" s="147">
        <v>2003</v>
      </c>
      <c r="B17" s="148">
        <v>153194</v>
      </c>
      <c r="C17" s="149">
        <v>635989</v>
      </c>
      <c r="D17" s="150">
        <f t="shared" si="0"/>
        <v>0.24087523526350299</v>
      </c>
    </row>
    <row r="18" spans="1:16" ht="18" customHeight="1" x14ac:dyDescent="0.2">
      <c r="A18" s="147">
        <v>2004</v>
      </c>
      <c r="B18" s="148">
        <v>185702</v>
      </c>
      <c r="C18" s="149">
        <v>658199</v>
      </c>
      <c r="D18" s="150">
        <f t="shared" si="0"/>
        <v>0.28213655748489441</v>
      </c>
    </row>
    <row r="19" spans="1:16" ht="17.25" customHeight="1" x14ac:dyDescent="0.2">
      <c r="A19" s="147">
        <v>2005</v>
      </c>
      <c r="B19" s="148">
        <v>240663</v>
      </c>
      <c r="C19" s="149">
        <v>638200</v>
      </c>
      <c r="D19" s="150">
        <f t="shared" si="0"/>
        <v>0.37709652146662487</v>
      </c>
    </row>
    <row r="20" spans="1:16" ht="17.25" customHeight="1" x14ac:dyDescent="0.25">
      <c r="A20" s="152" t="s">
        <v>66</v>
      </c>
      <c r="B20" s="148">
        <v>251594.08300000001</v>
      </c>
      <c r="C20" s="149">
        <v>1308381.4450000001</v>
      </c>
      <c r="D20" s="150">
        <f>B20/C20</f>
        <v>0.19229413865617759</v>
      </c>
      <c r="O20" s="114"/>
    </row>
    <row r="21" spans="1:16" ht="18" customHeight="1" x14ac:dyDescent="0.25">
      <c r="A21" s="151">
        <v>2007</v>
      </c>
      <c r="B21" s="148">
        <v>325461.55</v>
      </c>
      <c r="C21" s="149">
        <v>1502722.4920000001</v>
      </c>
      <c r="D21" s="150">
        <f t="shared" si="0"/>
        <v>0.21658127281161368</v>
      </c>
      <c r="O21" s="323"/>
    </row>
    <row r="22" spans="1:16" ht="18" customHeight="1" x14ac:dyDescent="0.25">
      <c r="A22" s="151">
        <v>2008</v>
      </c>
      <c r="B22" s="148">
        <v>410442.23</v>
      </c>
      <c r="C22" s="149">
        <v>1714457.4175799999</v>
      </c>
      <c r="D22" s="150">
        <f t="shared" si="0"/>
        <v>0.23940065573594099</v>
      </c>
      <c r="O22" s="323"/>
      <c r="P22" s="133"/>
    </row>
    <row r="23" spans="1:16" ht="18" customHeight="1" x14ac:dyDescent="0.25">
      <c r="A23" s="152">
        <v>2009</v>
      </c>
      <c r="B23" s="148">
        <v>279114</v>
      </c>
      <c r="C23" s="149">
        <v>1766912.378</v>
      </c>
      <c r="D23" s="150">
        <f t="shared" si="0"/>
        <v>0.15796708624336775</v>
      </c>
      <c r="O23" s="323"/>
    </row>
    <row r="24" spans="1:16" ht="18" customHeight="1" x14ac:dyDescent="0.25">
      <c r="A24" s="152">
        <v>2010</v>
      </c>
      <c r="B24" s="148">
        <v>376762</v>
      </c>
      <c r="C24" s="149">
        <v>1935470.89</v>
      </c>
      <c r="D24" s="150">
        <f t="shared" si="0"/>
        <v>0.1946616722300587</v>
      </c>
      <c r="O24" s="323"/>
    </row>
    <row r="25" spans="1:16" ht="18" customHeight="1" x14ac:dyDescent="0.25">
      <c r="A25" s="152">
        <v>2011</v>
      </c>
      <c r="B25" s="148">
        <v>541639.27364102402</v>
      </c>
      <c r="C25" s="149">
        <f>2255.43*1000</f>
        <v>2255430</v>
      </c>
      <c r="D25" s="150">
        <f t="shared" si="0"/>
        <v>0.24014900646041953</v>
      </c>
      <c r="O25" s="323"/>
    </row>
    <row r="26" spans="1:16" ht="16.5" customHeight="1" x14ac:dyDescent="0.25">
      <c r="A26" s="152">
        <v>2012</v>
      </c>
      <c r="B26" s="148">
        <f>599946823.452242/1000</f>
        <v>599946.82345224207</v>
      </c>
      <c r="C26" s="149">
        <f>2506.8*1000</f>
        <v>2506800</v>
      </c>
      <c r="D26" s="150">
        <f t="shared" si="0"/>
        <v>0.23932775787946467</v>
      </c>
      <c r="O26" s="323"/>
    </row>
    <row r="27" spans="1:16" ht="16.5" customHeight="1" x14ac:dyDescent="0.25">
      <c r="A27" s="152">
        <v>2013</v>
      </c>
      <c r="B27" s="148">
        <v>577217.140184519</v>
      </c>
      <c r="C27" s="149">
        <f>2611.3*1000</f>
        <v>2611300</v>
      </c>
      <c r="D27" s="150">
        <f t="shared" si="0"/>
        <v>0.22104589292096619</v>
      </c>
      <c r="O27" s="323"/>
    </row>
    <row r="28" spans="1:16" ht="16.5" customHeight="1" thickBot="1" x14ac:dyDescent="0.3">
      <c r="A28" s="322">
        <v>2014</v>
      </c>
      <c r="B28" s="321">
        <v>561633.69737792504</v>
      </c>
      <c r="C28" s="326">
        <v>2691704.6004842613</v>
      </c>
      <c r="D28" s="328">
        <f t="shared" si="0"/>
        <v>0.20865354143128567</v>
      </c>
      <c r="O28" s="323"/>
    </row>
    <row r="29" spans="1:16" x14ac:dyDescent="0.2">
      <c r="O29" s="114"/>
    </row>
    <row r="30" spans="1:16" x14ac:dyDescent="0.2">
      <c r="A30" s="87" t="s">
        <v>88</v>
      </c>
      <c r="B30" s="131" t="s">
        <v>89</v>
      </c>
      <c r="O30" s="114"/>
    </row>
    <row r="31" spans="1:16" ht="18" x14ac:dyDescent="0.25">
      <c r="A31" s="153"/>
      <c r="B31" s="87" t="s">
        <v>90</v>
      </c>
      <c r="C31" s="87"/>
    </row>
    <row r="32" spans="1:16" x14ac:dyDescent="0.2">
      <c r="B32" s="380"/>
      <c r="C32" s="380"/>
      <c r="D32" s="380"/>
      <c r="E32" s="380"/>
      <c r="F32" s="380"/>
      <c r="G32" s="380"/>
      <c r="P32" s="155"/>
    </row>
    <row r="33" spans="1:16" ht="15" x14ac:dyDescent="0.25">
      <c r="A33" s="84" t="s">
        <v>91</v>
      </c>
      <c r="P33" s="327">
        <v>555837000000</v>
      </c>
    </row>
    <row r="34" spans="1:16" x14ac:dyDescent="0.2">
      <c r="P34" s="155">
        <f>P33/206.5</f>
        <v>2691704600.4842615</v>
      </c>
    </row>
    <row r="35" spans="1:16" x14ac:dyDescent="0.2">
      <c r="D35" s="52"/>
      <c r="P35" s="155"/>
    </row>
    <row r="36" spans="1:16" x14ac:dyDescent="0.2">
      <c r="P36" s="155"/>
    </row>
    <row r="37" spans="1:16" x14ac:dyDescent="0.2">
      <c r="C37" s="325"/>
      <c r="P37" s="155"/>
    </row>
    <row r="38" spans="1:16" x14ac:dyDescent="0.2">
      <c r="P38" s="155"/>
    </row>
    <row r="45" spans="1:16" x14ac:dyDescent="0.2">
      <c r="B45" s="52">
        <v>1</v>
      </c>
    </row>
  </sheetData>
  <mergeCells count="5">
    <mergeCell ref="B2:D2"/>
    <mergeCell ref="B6:B7"/>
    <mergeCell ref="C6:C7"/>
    <mergeCell ref="D6:D7"/>
    <mergeCell ref="B32:G32"/>
  </mergeCells>
  <pageMargins left="1.17" right="0.75" top="1" bottom="1" header="0.5" footer="0.5"/>
  <pageSetup paperSize="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Energy Intensity TOE</vt:lpstr>
      <vt:lpstr>Total Imports</vt:lpstr>
      <vt:lpstr>Total by Product &amp; year</vt:lpstr>
      <vt:lpstr>Total by Product and Year 2</vt:lpstr>
      <vt:lpstr>Prices RT &amp; WS (UK Gal)</vt:lpstr>
      <vt:lpstr>Prices RT &amp; WS (Ltr)</vt:lpstr>
      <vt:lpstr>Oil Consumption by Product</vt:lpstr>
      <vt:lpstr>Cost VS GDP</vt:lpstr>
      <vt:lpstr>'Cost VS GDP'!Print_Area</vt:lpstr>
      <vt:lpstr>'Oil Consumption by Product'!Print_Area</vt:lpstr>
      <vt:lpstr>'Total by Product &amp; year'!Print_Area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Private</cp:lastModifiedBy>
  <dcterms:created xsi:type="dcterms:W3CDTF">2012-02-29T02:17:35Z</dcterms:created>
  <dcterms:modified xsi:type="dcterms:W3CDTF">2016-01-19T17:49:20Z</dcterms:modified>
</cp:coreProperties>
</file>