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auedu-my.sharepoint.com/personal/cuestabl_my_erau_edu/Documents/Documents/ERAU/3. JUNIOR YEAR/Spring/AE 413HON/Final Project/"/>
    </mc:Choice>
  </mc:AlternateContent>
  <xr:revisionPtr revIDLastSave="2736" documentId="8_{AA859B47-87EE-46C5-8407-E3BA7DDDDBC9}" xr6:coauthVersionLast="47" xr6:coauthVersionMax="47" xr10:uidLastSave="{4BF1CDC2-89F7-44EB-8A7C-D13E5F5C74D1}"/>
  <bookViews>
    <workbookView xWindow="-110" yWindow="-110" windowWidth="25820" windowHeight="15500" firstSheet="6" activeTab="11" xr2:uid="{D2D5F255-5B38-482C-B33A-6D7753342AD0}"/>
  </bookViews>
  <sheets>
    <sheet name="Dimensions" sheetId="2" r:id="rId1"/>
    <sheet name="Flight Conditions" sheetId="3" r:id="rId2"/>
    <sheet name="DATCOM" sheetId="8" r:id="rId3"/>
    <sheet name="Multhopp" sheetId="7" r:id="rId4"/>
    <sheet name="Longitudinal" sheetId="4" r:id="rId5"/>
    <sheet name="Directional  " sheetId="5" r:id="rId6"/>
    <sheet name="Lateral " sheetId="6" r:id="rId7"/>
    <sheet name="Neutral Point" sheetId="9" r:id="rId8"/>
    <sheet name="Control Surfaces" sheetId="10" r:id="rId9"/>
    <sheet name="Inertias " sheetId="13" r:id="rId10"/>
    <sheet name="Corrected Matlab Derv" sheetId="14" r:id="rId11"/>
    <sheet name="Lookup Tables " sheetId="15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3" l="1"/>
  <c r="H24" i="3"/>
  <c r="F70" i="6"/>
  <c r="H70" i="6" s="1"/>
  <c r="F69" i="6"/>
  <c r="H67" i="6"/>
  <c r="H55" i="6"/>
  <c r="H56" i="6"/>
  <c r="H57" i="6"/>
  <c r="H58" i="6"/>
  <c r="H59" i="6"/>
  <c r="H60" i="6"/>
  <c r="H61" i="6"/>
  <c r="H62" i="6"/>
  <c r="O10" i="4"/>
  <c r="O23" i="4"/>
  <c r="O24" i="4"/>
  <c r="O25" i="4"/>
  <c r="O26" i="4"/>
  <c r="O27" i="4"/>
  <c r="S7" i="5"/>
  <c r="S6" i="5"/>
  <c r="S5" i="5"/>
  <c r="AA51" i="14"/>
  <c r="AA4" i="14"/>
  <c r="AA48" i="14"/>
  <c r="AA39" i="14"/>
  <c r="AA38" i="14"/>
  <c r="AA32" i="14"/>
  <c r="AA17" i="14"/>
  <c r="AA18" i="14"/>
  <c r="AA20" i="14"/>
  <c r="AA21" i="14"/>
  <c r="AA22" i="14"/>
  <c r="AA25" i="14"/>
  <c r="AA26" i="14"/>
  <c r="AA27" i="14"/>
  <c r="AA28" i="14"/>
  <c r="AA14" i="14"/>
  <c r="AA13" i="14"/>
  <c r="AA12" i="14"/>
  <c r="AA7" i="14"/>
  <c r="AA6" i="14"/>
  <c r="C14" i="13"/>
  <c r="C23" i="13" s="1"/>
  <c r="D14" i="13"/>
  <c r="D19" i="13" s="1"/>
  <c r="B14" i="13"/>
  <c r="B22" i="13" s="1"/>
  <c r="D30" i="10"/>
  <c r="D29" i="10" s="1"/>
  <c r="L25" i="10"/>
  <c r="L26" i="10" s="1"/>
  <c r="L15" i="10"/>
  <c r="L11" i="10" s="1"/>
  <c r="G28" i="10"/>
  <c r="I25" i="10"/>
  <c r="I28" i="10" s="1"/>
  <c r="F13" i="10"/>
  <c r="E22" i="10" s="1"/>
  <c r="H10" i="10"/>
  <c r="E10" i="10"/>
  <c r="J7" i="10"/>
  <c r="D7" i="10"/>
  <c r="C7" i="10"/>
  <c r="F4" i="10"/>
  <c r="L44" i="6"/>
  <c r="J43" i="6"/>
  <c r="P21" i="6"/>
  <c r="P22" i="6" s="1"/>
  <c r="P27" i="6" s="1"/>
  <c r="J44" i="6" s="1"/>
  <c r="P11" i="6"/>
  <c r="P7" i="6"/>
  <c r="P31" i="5"/>
  <c r="P32" i="5"/>
  <c r="P35" i="5" s="1"/>
  <c r="D23" i="9"/>
  <c r="C23" i="9"/>
  <c r="G11" i="9"/>
  <c r="L41" i="6"/>
  <c r="H10" i="9"/>
  <c r="K22" i="6"/>
  <c r="K20" i="6"/>
  <c r="K19" i="6"/>
  <c r="K21" i="6" s="1"/>
  <c r="K11" i="6"/>
  <c r="K9" i="6"/>
  <c r="K8" i="6"/>
  <c r="K10" i="6" s="1"/>
  <c r="K7" i="6"/>
  <c r="K6" i="6"/>
  <c r="K5" i="6"/>
  <c r="P21" i="5"/>
  <c r="P17" i="5" s="1"/>
  <c r="P11" i="5"/>
  <c r="K23" i="5"/>
  <c r="K21" i="5"/>
  <c r="K20" i="5"/>
  <c r="K22" i="5" s="1"/>
  <c r="P7" i="5" s="1"/>
  <c r="K12" i="5"/>
  <c r="P4" i="5" s="1"/>
  <c r="K10" i="5"/>
  <c r="K9" i="5"/>
  <c r="K8" i="5"/>
  <c r="K7" i="5"/>
  <c r="K6" i="5"/>
  <c r="O4" i="8"/>
  <c r="M4" i="8"/>
  <c r="G36" i="4"/>
  <c r="G37" i="4"/>
  <c r="G38" i="4"/>
  <c r="G39" i="4"/>
  <c r="G40" i="4"/>
  <c r="G41" i="4"/>
  <c r="G42" i="4"/>
  <c r="E36" i="4"/>
  <c r="E37" i="4"/>
  <c r="E38" i="4"/>
  <c r="E39" i="4"/>
  <c r="E40" i="4"/>
  <c r="E41" i="4"/>
  <c r="E42" i="4"/>
  <c r="G35" i="4"/>
  <c r="E35" i="4"/>
  <c r="S16" i="4"/>
  <c r="O21" i="7"/>
  <c r="N21" i="7"/>
  <c r="O15" i="7"/>
  <c r="O6" i="7"/>
  <c r="O7" i="7"/>
  <c r="O8" i="7"/>
  <c r="O9" i="7"/>
  <c r="O10" i="7"/>
  <c r="O11" i="7"/>
  <c r="O12" i="7"/>
  <c r="O13" i="7"/>
  <c r="O14" i="7"/>
  <c r="O5" i="7"/>
  <c r="N6" i="7"/>
  <c r="N7" i="7"/>
  <c r="N8" i="7"/>
  <c r="N5" i="7"/>
  <c r="N10" i="7"/>
  <c r="N11" i="7"/>
  <c r="N12" i="7"/>
  <c r="N13" i="7"/>
  <c r="N14" i="7"/>
  <c r="N9" i="7"/>
  <c r="M10" i="7"/>
  <c r="M11" i="7"/>
  <c r="M12" i="7"/>
  <c r="M13" i="7"/>
  <c r="M14" i="7"/>
  <c r="M9" i="7"/>
  <c r="L10" i="7"/>
  <c r="L11" i="7"/>
  <c r="L12" i="7"/>
  <c r="L13" i="7"/>
  <c r="L14" i="7"/>
  <c r="L9" i="7"/>
  <c r="C2" i="7"/>
  <c r="E2" i="7" s="1"/>
  <c r="H6" i="7" s="1"/>
  <c r="I6" i="7" s="1"/>
  <c r="B7" i="7"/>
  <c r="B8" i="7" s="1"/>
  <c r="B9" i="7" s="1"/>
  <c r="B10" i="7" s="1"/>
  <c r="B11" i="7" s="1"/>
  <c r="B12" i="7" s="1"/>
  <c r="B13" i="7" s="1"/>
  <c r="U7" i="4"/>
  <c r="V7" i="4"/>
  <c r="T7" i="4"/>
  <c r="L10" i="4"/>
  <c r="Q7" i="4"/>
  <c r="K7" i="4"/>
  <c r="C8" i="4" s="1"/>
  <c r="J7" i="4"/>
  <c r="M4" i="4"/>
  <c r="C4" i="4" s="1"/>
  <c r="H11" i="3"/>
  <c r="F5" i="3"/>
  <c r="H5" i="3" s="1"/>
  <c r="AB21" i="2"/>
  <c r="AB19" i="2"/>
  <c r="AB18" i="2"/>
  <c r="AB8" i="2"/>
  <c r="AB7" i="2"/>
  <c r="P2" i="2"/>
  <c r="R2" i="2" s="1"/>
  <c r="W12" i="2" s="1"/>
  <c r="AA12" i="2" s="1"/>
  <c r="AB12" i="2" s="1"/>
  <c r="I14" i="10" l="1"/>
  <c r="E30" i="10" s="1"/>
  <c r="E29" i="10" s="1"/>
  <c r="I26" i="10"/>
  <c r="I27" i="10"/>
  <c r="G29" i="10" s="1"/>
  <c r="F23" i="10" s="1"/>
  <c r="I10" i="10"/>
  <c r="E17" i="10"/>
  <c r="E20" i="10"/>
  <c r="F10" i="4"/>
  <c r="C16" i="4"/>
  <c r="P10" i="4"/>
  <c r="D20" i="13"/>
  <c r="B21" i="13"/>
  <c r="B23" i="13"/>
  <c r="D23" i="13"/>
  <c r="B25" i="13" s="1"/>
  <c r="D22" i="13"/>
  <c r="C22" i="13"/>
  <c r="B24" i="13" s="1"/>
  <c r="C19" i="13" s="1"/>
  <c r="C15" i="13" s="1"/>
  <c r="B30" i="13" s="1"/>
  <c r="D21" i="13"/>
  <c r="B19" i="13"/>
  <c r="B20" i="13"/>
  <c r="G27" i="10"/>
  <c r="E18" i="10"/>
  <c r="E19" i="10"/>
  <c r="G25" i="10" s="1"/>
  <c r="E21" i="10"/>
  <c r="G26" i="10" s="1"/>
  <c r="K11" i="5"/>
  <c r="P6" i="5"/>
  <c r="P37" i="5"/>
  <c r="P5" i="5"/>
  <c r="W13" i="2"/>
  <c r="U13" i="2"/>
  <c r="S13" i="2"/>
  <c r="Q13" i="2"/>
  <c r="W17" i="2"/>
  <c r="W16" i="2"/>
  <c r="W15" i="2"/>
  <c r="W14" i="2"/>
  <c r="W10" i="2"/>
  <c r="W9" i="2"/>
  <c r="W8" i="2"/>
  <c r="W7" i="2"/>
  <c r="X7" i="2" s="1"/>
  <c r="Y7" i="2" s="1"/>
  <c r="Q11" i="2"/>
  <c r="S11" i="2"/>
  <c r="U11" i="2"/>
  <c r="W11" i="2"/>
  <c r="AA11" i="2" s="1"/>
  <c r="AB11" i="2" s="1"/>
  <c r="W21" i="2"/>
  <c r="X21" i="2" s="1"/>
  <c r="Y21" i="2" s="1"/>
  <c r="Q12" i="2"/>
  <c r="W20" i="2"/>
  <c r="AA20" i="2" s="1"/>
  <c r="AB20" i="2" s="1"/>
  <c r="S12" i="2"/>
  <c r="W19" i="2"/>
  <c r="U12" i="2"/>
  <c r="W18" i="2"/>
  <c r="X12" i="2"/>
  <c r="Y12" i="2" s="1"/>
  <c r="AA14" i="2"/>
  <c r="AB14" i="2" s="1"/>
  <c r="AA10" i="2"/>
  <c r="AB10" i="2" s="1"/>
  <c r="E10" i="4"/>
  <c r="E8" i="4"/>
  <c r="C12" i="4"/>
  <c r="X19" i="2"/>
  <c r="Y19" i="2" s="1"/>
  <c r="U18" i="2"/>
  <c r="S18" i="2"/>
  <c r="Q18" i="2"/>
  <c r="S7" i="2"/>
  <c r="Q17" i="2"/>
  <c r="U10" i="2"/>
  <c r="AA16" i="2"/>
  <c r="AB16" i="2" s="1"/>
  <c r="S10" i="2"/>
  <c r="U16" i="2"/>
  <c r="Q10" i="2"/>
  <c r="S16" i="2"/>
  <c r="Q16" i="2"/>
  <c r="Q9" i="2"/>
  <c r="Q15" i="2"/>
  <c r="X8" i="2"/>
  <c r="Y8" i="2" s="1"/>
  <c r="X14" i="2"/>
  <c r="Y14" i="2" s="1"/>
  <c r="U8" i="2"/>
  <c r="S8" i="2"/>
  <c r="U7" i="2"/>
  <c r="U21" i="2"/>
  <c r="S21" i="2"/>
  <c r="Q21" i="2"/>
  <c r="U20" i="2"/>
  <c r="S20" i="2"/>
  <c r="Q20" i="2"/>
  <c r="S19" i="2"/>
  <c r="Q19" i="2"/>
  <c r="U14" i="2"/>
  <c r="X18" i="2"/>
  <c r="Y18" i="2" s="1"/>
  <c r="S14" i="2"/>
  <c r="Q8" i="2"/>
  <c r="Q14" i="2"/>
  <c r="G2" i="7"/>
  <c r="H8" i="7" s="1"/>
  <c r="I8" i="7" s="1"/>
  <c r="H5" i="7"/>
  <c r="I5" i="7" s="1"/>
  <c r="H7" i="7"/>
  <c r="I7" i="7" s="1"/>
  <c r="F6" i="7"/>
  <c r="D12" i="7"/>
  <c r="F7" i="7"/>
  <c r="D13" i="7"/>
  <c r="F8" i="7"/>
  <c r="D14" i="7"/>
  <c r="F9" i="7"/>
  <c r="D5" i="7"/>
  <c r="F10" i="7"/>
  <c r="F11" i="7"/>
  <c r="F13" i="7"/>
  <c r="F14" i="7"/>
  <c r="F5" i="7"/>
  <c r="D7" i="7"/>
  <c r="D9" i="7"/>
  <c r="F12" i="7"/>
  <c r="D6" i="7"/>
  <c r="D8" i="7"/>
  <c r="D10" i="7"/>
  <c r="D11" i="7"/>
  <c r="C17" i="4"/>
  <c r="D17" i="4" s="1"/>
  <c r="C6" i="4"/>
  <c r="C9" i="4" s="1"/>
  <c r="C11" i="4"/>
  <c r="C14" i="4"/>
  <c r="D4" i="4"/>
  <c r="D14" i="4" s="1"/>
  <c r="F8" i="3"/>
  <c r="H8" i="3" s="1"/>
  <c r="S9" i="2"/>
  <c r="S15" i="2"/>
  <c r="S17" i="2"/>
  <c r="U19" i="2"/>
  <c r="U9" i="2"/>
  <c r="U15" i="2"/>
  <c r="U17" i="2"/>
  <c r="F17" i="10" l="1"/>
  <c r="H14" i="10" s="1"/>
  <c r="C7" i="4"/>
  <c r="C10" i="4" s="1"/>
  <c r="C5" i="4"/>
  <c r="D5" i="4" s="1"/>
  <c r="C21" i="13"/>
  <c r="C16" i="13" s="1"/>
  <c r="B31" i="13" s="1"/>
  <c r="C20" i="13"/>
  <c r="C17" i="13" s="1"/>
  <c r="B32" i="13" s="1"/>
  <c r="F19" i="10"/>
  <c r="C29" i="10"/>
  <c r="C30" i="10" s="1"/>
  <c r="X13" i="2"/>
  <c r="Y13" i="2" s="1"/>
  <c r="AA13" i="2"/>
  <c r="AB13" i="2" s="1"/>
  <c r="X11" i="2"/>
  <c r="Y11" i="2" s="1"/>
  <c r="X10" i="2"/>
  <c r="Y10" i="2" s="1"/>
  <c r="X20" i="2"/>
  <c r="Y20" i="2" s="1"/>
  <c r="X17" i="2"/>
  <c r="Y17" i="2" s="1"/>
  <c r="AA17" i="2"/>
  <c r="AB17" i="2" s="1"/>
  <c r="X16" i="2"/>
  <c r="Y16" i="2" s="1"/>
  <c r="X15" i="2"/>
  <c r="Y15" i="2" s="1"/>
  <c r="AA15" i="2"/>
  <c r="AB15" i="2" s="1"/>
  <c r="X9" i="2"/>
  <c r="Y9" i="2" s="1"/>
  <c r="AA9" i="2"/>
  <c r="AB9" i="2" s="1"/>
  <c r="D11" i="4"/>
  <c r="C15" i="4"/>
  <c r="C18" i="4" s="1"/>
  <c r="D18" i="4" s="1"/>
  <c r="D19" i="4" s="1"/>
  <c r="C19" i="4" l="1"/>
</calcChain>
</file>

<file path=xl/sharedStrings.xml><?xml version="1.0" encoding="utf-8"?>
<sst xmlns="http://schemas.openxmlformats.org/spreadsheetml/2006/main" count="720" uniqueCount="408">
  <si>
    <t>Real length</t>
  </si>
  <si>
    <t>drawing (cm)</t>
  </si>
  <si>
    <t xml:space="preserve">* factor </t>
  </si>
  <si>
    <t xml:space="preserve">SYNTHS </t>
  </si>
  <si>
    <t>ft</t>
  </si>
  <si>
    <t>Description</t>
  </si>
  <si>
    <t>65' 0.2''</t>
  </si>
  <si>
    <t xml:space="preserve">XW </t>
  </si>
  <si>
    <t>Horizontal loc. Wing a.c</t>
  </si>
  <si>
    <t xml:space="preserve">ZW </t>
  </si>
  <si>
    <t>Vertical loc. Wing ref. pt</t>
  </si>
  <si>
    <t>Body Parameters</t>
  </si>
  <si>
    <t>ALIW</t>
  </si>
  <si>
    <t>Wing incidence angle (deg)</t>
  </si>
  <si>
    <t>NX</t>
  </si>
  <si>
    <t>X</t>
  </si>
  <si>
    <t>ZU</t>
  </si>
  <si>
    <t>ZL</t>
  </si>
  <si>
    <t>R</t>
  </si>
  <si>
    <t>S</t>
  </si>
  <si>
    <t>R fatter</t>
  </si>
  <si>
    <t xml:space="preserve">XH </t>
  </si>
  <si>
    <t>Hor. Location of H.T</t>
  </si>
  <si>
    <t>Section</t>
  </si>
  <si>
    <t>Measured (cm)</t>
  </si>
  <si>
    <t>Real Value (ft)</t>
  </si>
  <si>
    <t xml:space="preserve">Measured </t>
  </si>
  <si>
    <t>Real Value</t>
  </si>
  <si>
    <t>Measured D</t>
  </si>
  <si>
    <t>Modified (fatter)</t>
  </si>
  <si>
    <t xml:space="preserve">ZH </t>
  </si>
  <si>
    <t>Vertical loc. of H.T</t>
  </si>
  <si>
    <t xml:space="preserve">ALIH </t>
  </si>
  <si>
    <t xml:space="preserve">H.T incidence angle </t>
  </si>
  <si>
    <t xml:space="preserve">XV </t>
  </si>
  <si>
    <t>Horizontal loc. Of V.T ref. pt</t>
  </si>
  <si>
    <t xml:space="preserve">ZV </t>
  </si>
  <si>
    <t>Vertical loc. V.T ref. pt</t>
  </si>
  <si>
    <t>Wing Parameters</t>
  </si>
  <si>
    <t xml:space="preserve">Large control surface areas. Flying slow and big, to move the aircraft as quickly as possible to be safe (firefighting) </t>
  </si>
  <si>
    <t>CHRDTP_WG</t>
  </si>
  <si>
    <t>Tip chord</t>
  </si>
  <si>
    <t>SSPNE_WG</t>
  </si>
  <si>
    <t>Exposed semi_span</t>
  </si>
  <si>
    <t>SSPN_WG</t>
  </si>
  <si>
    <t>Total semi-span</t>
  </si>
  <si>
    <t>CHRDR_WG</t>
  </si>
  <si>
    <t>Root chord</t>
  </si>
  <si>
    <t>SAVSI_WG</t>
  </si>
  <si>
    <t>Sweep angle (deg)</t>
  </si>
  <si>
    <t>CHSTAT_WG</t>
  </si>
  <si>
    <t xml:space="preserve">Quarter chord </t>
  </si>
  <si>
    <t>TWISTA_WG</t>
  </si>
  <si>
    <t>Washout</t>
  </si>
  <si>
    <t>DHDADI_WG</t>
  </si>
  <si>
    <t>Dihedral (deg)</t>
  </si>
  <si>
    <t>DHDADO_WG</t>
  </si>
  <si>
    <t>Diheral outboard (deg)</t>
  </si>
  <si>
    <t>TC_WG</t>
  </si>
  <si>
    <t>Thickness ratio</t>
  </si>
  <si>
    <t>H.T Parameters</t>
  </si>
  <si>
    <t xml:space="preserve">Description </t>
  </si>
  <si>
    <t>CHRDTP_HT</t>
  </si>
  <si>
    <t>SSPNE_HT</t>
  </si>
  <si>
    <t>Exposed Semi-span</t>
  </si>
  <si>
    <t>SSPN_HT</t>
  </si>
  <si>
    <t>CHRDR_HT</t>
  </si>
  <si>
    <t xml:space="preserve">root chord </t>
  </si>
  <si>
    <t>SAVSI_HT</t>
  </si>
  <si>
    <t>sweep angle (deg)</t>
  </si>
  <si>
    <t>CHSTAT_HT</t>
  </si>
  <si>
    <t>quarter chord ref. location</t>
  </si>
  <si>
    <t>TWISTA_HT</t>
  </si>
  <si>
    <t>twist angle (deg)</t>
  </si>
  <si>
    <t>DHDADI_HT</t>
  </si>
  <si>
    <t>DHDADO_HT</t>
  </si>
  <si>
    <t>Dihedral outboard (deg)</t>
  </si>
  <si>
    <t xml:space="preserve">V.T Parameters </t>
  </si>
  <si>
    <t>CHRDTP_VT</t>
  </si>
  <si>
    <t xml:space="preserve">Tip chord </t>
  </si>
  <si>
    <t>SSPNE_VT</t>
  </si>
  <si>
    <t xml:space="preserve">Exposed Vertical span </t>
  </si>
  <si>
    <t>SSPN_VT</t>
  </si>
  <si>
    <t>Vertical Span</t>
  </si>
  <si>
    <t>CHRDR_VT</t>
  </si>
  <si>
    <t xml:space="preserve">Root chord </t>
  </si>
  <si>
    <t>SAVSI_VT</t>
  </si>
  <si>
    <t>CHSTAT_VT</t>
  </si>
  <si>
    <t>Quarter chord ref. loc</t>
  </si>
  <si>
    <t>Tank capacity (total GAL)</t>
  </si>
  <si>
    <t xml:space="preserve">Foam tank cap. </t>
  </si>
  <si>
    <t>Water (lb/GAL)</t>
  </si>
  <si>
    <t>foam</t>
  </si>
  <si>
    <t>Max Water takeoff weight</t>
  </si>
  <si>
    <t>Altitude (ft)</t>
  </si>
  <si>
    <t>Mach</t>
  </si>
  <si>
    <t>AoA</t>
  </si>
  <si>
    <t>Tank</t>
  </si>
  <si>
    <t>Tanks Weight</t>
  </si>
  <si>
    <t xml:space="preserve">Body Weight </t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</si>
  <si>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CG</t>
    </r>
    <r>
      <rPr>
        <b/>
        <sz val="11"/>
        <color theme="1"/>
        <rFont val="Aptos Narrow"/>
        <family val="2"/>
        <scheme val="minor"/>
      </rPr>
      <t xml:space="preserve"> (ft)</t>
    </r>
  </si>
  <si>
    <r>
      <t>Z</t>
    </r>
    <r>
      <rPr>
        <b/>
        <vertAlign val="subscript"/>
        <sz val="11"/>
        <color theme="1"/>
        <rFont val="Aptos Narrow"/>
        <family val="2"/>
        <scheme val="minor"/>
      </rPr>
      <t>CG</t>
    </r>
    <r>
      <rPr>
        <b/>
        <sz val="11"/>
        <color theme="1"/>
        <rFont val="Aptos Narrow"/>
        <family val="2"/>
        <scheme val="minor"/>
      </rPr>
      <t xml:space="preserve"> (ft)</t>
    </r>
  </si>
  <si>
    <t>Case 1 (Pre-drop)</t>
  </si>
  <si>
    <t>FULL</t>
  </si>
  <si>
    <t>Case 2 (Drop)</t>
  </si>
  <si>
    <t>HALF</t>
  </si>
  <si>
    <t>Case 3 (Post-drop &amp; climb out)</t>
  </si>
  <si>
    <t>EMPTY</t>
  </si>
  <si>
    <t>Wing Flap</t>
  </si>
  <si>
    <t>SPANFI_F</t>
  </si>
  <si>
    <t>SPANFO_F</t>
  </si>
  <si>
    <t>CHRDFI_F</t>
  </si>
  <si>
    <t>CHRDFO_F</t>
  </si>
  <si>
    <t>DELTA_F</t>
  </si>
  <si>
    <t>Wing Aileron</t>
  </si>
  <si>
    <t>SPANFI_A</t>
  </si>
  <si>
    <t>SPANFO_A</t>
  </si>
  <si>
    <t>CHRDFI_A</t>
  </si>
  <si>
    <t>CHRDFO_A</t>
  </si>
  <si>
    <t>DELTAL_A</t>
  </si>
  <si>
    <t>DELTAR_A</t>
  </si>
  <si>
    <t xml:space="preserve">Elevator </t>
  </si>
  <si>
    <t>SPANFI_E</t>
  </si>
  <si>
    <t>SPANFO_E</t>
  </si>
  <si>
    <t>CHRDFI_E</t>
  </si>
  <si>
    <t>CHRDFO_E</t>
  </si>
  <si>
    <t>DELTA_E</t>
  </si>
  <si>
    <r>
      <t>c</t>
    </r>
    <r>
      <rPr>
        <vertAlign val="subscript"/>
        <sz val="11"/>
        <color theme="1"/>
        <rFont val="Aptos Narrow"/>
        <family val="2"/>
        <scheme val="minor"/>
      </rPr>
      <t>rc</t>
    </r>
  </si>
  <si>
    <r>
      <t>x_bar</t>
    </r>
    <r>
      <rPr>
        <vertAlign val="subscript"/>
        <sz val="11"/>
        <color theme="1"/>
        <rFont val="Aptos Narrow"/>
        <family val="2"/>
        <scheme val="minor"/>
      </rPr>
      <t>l</t>
    </r>
  </si>
  <si>
    <r>
      <t>l</t>
    </r>
    <r>
      <rPr>
        <vertAlign val="subscript"/>
        <sz val="11"/>
        <color theme="1"/>
        <rFont val="Aptos Narrow"/>
        <family val="2"/>
        <scheme val="minor"/>
      </rPr>
      <t>h</t>
    </r>
  </si>
  <si>
    <t>dε/dα (@M=0)</t>
  </si>
  <si>
    <t>Sw</t>
  </si>
  <si>
    <t>c,wing</t>
  </si>
  <si>
    <t xml:space="preserve">Section </t>
  </si>
  <si>
    <t xml:space="preserve">measured </t>
  </si>
  <si>
    <r>
      <t>b</t>
    </r>
    <r>
      <rPr>
        <b/>
        <vertAlign val="subscript"/>
        <sz val="11"/>
        <color theme="1"/>
        <rFont val="Aptos Narrow"/>
        <family val="2"/>
        <scheme val="minor"/>
      </rPr>
      <t>f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</si>
  <si>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measured</t>
  </si>
  <si>
    <t>∆X</t>
  </si>
  <si>
    <r>
      <t>x</t>
    </r>
    <r>
      <rPr>
        <b/>
        <vertAlign val="subscript"/>
        <sz val="11"/>
        <color theme="1"/>
        <rFont val="Aptos Narrow"/>
        <family val="2"/>
      </rPr>
      <t>l</t>
    </r>
    <r>
      <rPr>
        <b/>
        <sz val="11"/>
        <color theme="1"/>
        <rFont val="Aptos Narrow"/>
        <family val="2"/>
      </rPr>
      <t xml:space="preserve"> (measured)</t>
    </r>
  </si>
  <si>
    <t>xl</t>
  </si>
  <si>
    <r>
      <t>x</t>
    </r>
    <r>
      <rPr>
        <b/>
        <vertAlign val="subscript"/>
        <sz val="11"/>
        <color theme="1"/>
        <rFont val="Aptos Narrow"/>
        <family val="2"/>
      </rPr>
      <t>l</t>
    </r>
    <r>
      <rPr>
        <b/>
        <sz val="11"/>
        <color theme="1"/>
        <rFont val="Aptos Narrow"/>
        <family val="2"/>
      </rPr>
      <t>/c</t>
    </r>
    <r>
      <rPr>
        <b/>
        <vertAlign val="subscript"/>
        <sz val="11"/>
        <color theme="1"/>
        <rFont val="Aptos Narrow"/>
        <family val="2"/>
      </rPr>
      <t>rc</t>
    </r>
  </si>
  <si>
    <r>
      <t>dε/d</t>
    </r>
    <r>
      <rPr>
        <b/>
        <sz val="11"/>
        <color theme="1"/>
        <rFont val="Aptos Narrow"/>
        <family val="2"/>
      </rPr>
      <t>α</t>
    </r>
  </si>
  <si>
    <t>X1 (measured)</t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</si>
  <si>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1</t>
    </r>
  </si>
  <si>
    <r>
      <t>X</t>
    </r>
    <r>
      <rPr>
        <b/>
        <vertAlign val="subscript"/>
        <sz val="11"/>
        <color theme="1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>/l</t>
    </r>
    <r>
      <rPr>
        <b/>
        <vertAlign val="subscript"/>
        <sz val="11"/>
        <color theme="1"/>
        <rFont val="Aptos Narrow"/>
        <family val="2"/>
        <scheme val="minor"/>
      </rPr>
      <t>h</t>
    </r>
  </si>
  <si>
    <t>(1+dε/dα)</t>
  </si>
  <si>
    <t>Sum</t>
  </si>
  <si>
    <t>(Cmα)f</t>
  </si>
  <si>
    <t>/rad</t>
  </si>
  <si>
    <t>/deg</t>
  </si>
  <si>
    <t>CASE 1</t>
  </si>
  <si>
    <t>Hand Calcs</t>
  </si>
  <si>
    <t>Datcom</t>
  </si>
  <si>
    <r>
      <t xml:space="preserve"> α = 5</t>
    </r>
    <r>
      <rPr>
        <b/>
        <sz val="11"/>
        <color theme="1"/>
        <rFont val="Aptos Narrow"/>
        <family val="2"/>
      </rPr>
      <t>º</t>
    </r>
  </si>
  <si>
    <t xml:space="preserve"> α = 7º</t>
  </si>
  <si>
    <t>Wing</t>
  </si>
  <si>
    <t>M</t>
  </si>
  <si>
    <t>Alt</t>
  </si>
  <si>
    <t>ρ</t>
  </si>
  <si>
    <t>β</t>
  </si>
  <si>
    <t>AR</t>
  </si>
  <si>
    <t>K</t>
  </si>
  <si>
    <t>e</t>
  </si>
  <si>
    <t xml:space="preserve">Sweep </t>
  </si>
  <si>
    <t>W</t>
  </si>
  <si>
    <t>b</t>
  </si>
  <si>
    <t>λ</t>
  </si>
  <si>
    <t>η</t>
  </si>
  <si>
    <t>cos(sweep)</t>
  </si>
  <si>
    <t>tan(sweep)</t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</si>
  <si>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Lα</t>
    </r>
  </si>
  <si>
    <r>
      <t>CD</t>
    </r>
    <r>
      <rPr>
        <b/>
        <vertAlign val="subscript"/>
        <sz val="11"/>
        <color theme="1"/>
        <rFont val="Aptos Narrow"/>
        <family val="2"/>
        <scheme val="minor"/>
      </rPr>
      <t>α</t>
    </r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</si>
  <si>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L</t>
    </r>
  </si>
  <si>
    <t>V</t>
  </si>
  <si>
    <r>
      <t>S</t>
    </r>
    <r>
      <rPr>
        <b/>
        <vertAlign val="subscript"/>
        <sz val="11"/>
        <color theme="1"/>
        <rFont val="Aptos Narrow"/>
        <family val="2"/>
        <scheme val="minor"/>
      </rPr>
      <t>w</t>
    </r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</si>
  <si>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D0</t>
    </r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</si>
  <si>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L,max</t>
    </r>
  </si>
  <si>
    <t>Xcg</t>
  </si>
  <si>
    <t>Xac,w</t>
  </si>
  <si>
    <t>c_bar,w</t>
  </si>
  <si>
    <t>Xa,bar</t>
  </si>
  <si>
    <r>
      <t>h</t>
    </r>
    <r>
      <rPr>
        <b/>
        <vertAlign val="subscript"/>
        <sz val="11"/>
        <color theme="1"/>
        <rFont val="Aptos Narrow"/>
        <family val="2"/>
        <scheme val="minor"/>
      </rPr>
      <t>H</t>
    </r>
  </si>
  <si>
    <r>
      <rPr>
        <b/>
        <sz val="11"/>
        <color theme="1"/>
        <rFont val="Aptos Narrow"/>
        <family val="2"/>
        <scheme val="minor"/>
      </rPr>
      <t>l</t>
    </r>
    <r>
      <rPr>
        <b/>
        <vertAlign val="subscript"/>
        <sz val="11"/>
        <color theme="1"/>
        <rFont val="Aptos Narrow"/>
        <family val="2"/>
        <scheme val="minor"/>
      </rPr>
      <t>H</t>
    </r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</si>
  <si>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A</t>
    </r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</si>
  <si>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H</t>
    </r>
  </si>
  <si>
    <r>
      <t>K</t>
    </r>
    <r>
      <rPr>
        <b/>
        <vertAlign val="subscript"/>
        <sz val="11"/>
        <color theme="1"/>
        <rFont val="Aptos Narrow"/>
        <family val="2"/>
      </rPr>
      <t>λ</t>
    </r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</si>
  <si>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D</t>
    </r>
  </si>
  <si>
    <r>
      <t>V</t>
    </r>
    <r>
      <rPr>
        <b/>
        <vertAlign val="subscript"/>
        <sz val="11"/>
        <color theme="1"/>
        <rFont val="Aptos Narrow"/>
        <family val="2"/>
        <scheme val="minor"/>
      </rPr>
      <t>stall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vertAlign val="subscript"/>
        <sz val="11"/>
        <color theme="1"/>
        <rFont val="Aptos Narrow"/>
        <family val="2"/>
        <scheme val="minor"/>
      </rPr>
      <t>(ft/s)</t>
    </r>
  </si>
  <si>
    <t>Total L (lbf)</t>
  </si>
  <si>
    <t>H.T Param</t>
  </si>
  <si>
    <t>Sweep</t>
  </si>
  <si>
    <t>Xac,t</t>
  </si>
  <si>
    <r>
      <t>l</t>
    </r>
    <r>
      <rPr>
        <b/>
        <vertAlign val="subscript"/>
        <sz val="11"/>
        <color theme="1"/>
        <rFont val="Aptos Narrow"/>
        <family val="2"/>
        <scheme val="minor"/>
      </rPr>
      <t>H.T</t>
    </r>
  </si>
  <si>
    <t>Vbar,t</t>
  </si>
  <si>
    <t>c,h.t</t>
  </si>
  <si>
    <t>Total D (lbf)</t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</si>
  <si>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Lα,H.T</t>
    </r>
  </si>
  <si>
    <r>
      <t>(d</t>
    </r>
    <r>
      <rPr>
        <b/>
        <sz val="11"/>
        <color theme="1"/>
        <rFont val="Aptos Narrow"/>
        <family val="2"/>
      </rPr>
      <t>ε</t>
    </r>
    <r>
      <rPr>
        <b/>
        <sz val="9.35"/>
        <color theme="1"/>
        <rFont val="Aptos Narrow"/>
        <family val="2"/>
      </rPr>
      <t>/d</t>
    </r>
    <r>
      <rPr>
        <b/>
        <sz val="11"/>
        <color theme="1"/>
        <rFont val="Aptos Narrow"/>
        <family val="2"/>
        <scheme val="minor"/>
      </rPr>
      <t>α)</t>
    </r>
    <r>
      <rPr>
        <b/>
        <vertAlign val="subscript"/>
        <sz val="11"/>
        <color theme="1"/>
        <rFont val="Aptos Narrow"/>
        <family val="2"/>
        <scheme val="minor"/>
      </rPr>
      <t>M=0</t>
    </r>
  </si>
  <si>
    <t>Weight</t>
  </si>
  <si>
    <r>
      <t>(Cm</t>
    </r>
    <r>
      <rPr>
        <b/>
        <vertAlign val="subscript"/>
        <sz val="11"/>
        <color theme="1"/>
        <rFont val="Aptos Narrow"/>
        <family val="2"/>
      </rPr>
      <t>α</t>
    </r>
    <r>
      <rPr>
        <b/>
        <sz val="11.65"/>
        <color theme="1"/>
        <rFont val="Aptos Narrow"/>
        <family val="2"/>
      </rPr>
      <t>)f</t>
    </r>
    <r>
      <rPr>
        <b/>
        <sz val="11"/>
        <color theme="1"/>
        <rFont val="Aptos Narrow"/>
        <family val="2"/>
        <scheme val="minor"/>
      </rPr>
      <t xml:space="preserve"> </t>
    </r>
  </si>
  <si>
    <t>Wing contrib</t>
  </si>
  <si>
    <r>
      <t>(d</t>
    </r>
    <r>
      <rPr>
        <b/>
        <sz val="11"/>
        <color theme="1"/>
        <rFont val="Aptos Narrow"/>
        <family val="2"/>
      </rPr>
      <t>ε</t>
    </r>
    <r>
      <rPr>
        <b/>
        <sz val="9.35"/>
        <color theme="1"/>
        <rFont val="Aptos Narrow"/>
        <family val="2"/>
      </rPr>
      <t>/d</t>
    </r>
    <r>
      <rPr>
        <b/>
        <sz val="11"/>
        <color theme="1"/>
        <rFont val="Aptos Narrow"/>
        <family val="2"/>
        <scheme val="minor"/>
      </rPr>
      <t>α)</t>
    </r>
    <r>
      <rPr>
        <b/>
        <vertAlign val="subscript"/>
        <sz val="11"/>
        <color theme="1"/>
        <rFont val="Aptos Narrow"/>
        <family val="2"/>
        <scheme val="minor"/>
      </rPr>
      <t>M=0</t>
    </r>
    <r>
      <rPr>
        <b/>
        <sz val="11"/>
        <color theme="1"/>
        <rFont val="Aptos Narrow"/>
        <family val="2"/>
        <scheme val="minor"/>
      </rPr>
      <t>.</t>
    </r>
    <r>
      <rPr>
        <b/>
        <vertAlign val="subscript"/>
        <sz val="11"/>
        <color theme="1"/>
        <rFont val="Aptos Narrow"/>
        <family val="2"/>
        <scheme val="minor"/>
      </rPr>
      <t>17</t>
    </r>
  </si>
  <si>
    <t>DATCOM</t>
  </si>
  <si>
    <t>Alt (ft)</t>
  </si>
  <si>
    <t>V (ft/s)</t>
  </si>
  <si>
    <t>P (lb/ft^2)</t>
  </si>
  <si>
    <t>T (R</t>
  </si>
  <si>
    <t>Re</t>
  </si>
  <si>
    <t>CL,max</t>
  </si>
  <si>
    <t>R (lb/slugR)</t>
  </si>
  <si>
    <t>rho</t>
  </si>
  <si>
    <t>V_bar</t>
  </si>
  <si>
    <r>
      <t>(C</t>
    </r>
    <r>
      <rPr>
        <b/>
        <vertAlign val="subscript"/>
        <sz val="11"/>
        <color theme="1"/>
        <rFont val="Aptos Narrow"/>
        <family val="2"/>
        <scheme val="minor"/>
      </rPr>
      <t>Lα,w</t>
    </r>
    <r>
      <rPr>
        <b/>
        <sz val="11"/>
        <color theme="1"/>
        <rFont val="Aptos Narrow"/>
        <family val="2"/>
        <scheme val="minor"/>
      </rPr>
      <t>)</t>
    </r>
    <r>
      <rPr>
        <b/>
        <vertAlign val="subscript"/>
        <sz val="11"/>
        <color theme="1"/>
        <rFont val="Aptos Narrow"/>
        <family val="2"/>
        <scheme val="minor"/>
      </rPr>
      <t>M=0</t>
    </r>
  </si>
  <si>
    <t>H.T contrib</t>
  </si>
  <si>
    <r>
      <t>Total Cm</t>
    </r>
    <r>
      <rPr>
        <b/>
        <vertAlign val="subscript"/>
        <sz val="11"/>
        <color theme="1"/>
        <rFont val="Aptos Narrow"/>
        <family val="2"/>
        <scheme val="minor"/>
      </rPr>
      <t>α</t>
    </r>
  </si>
  <si>
    <t>CD</t>
  </si>
  <si>
    <t>CL</t>
  </si>
  <si>
    <t>CLA</t>
  </si>
  <si>
    <t>CMA</t>
  </si>
  <si>
    <t>de/dalpha</t>
  </si>
  <si>
    <t>/ deg</t>
  </si>
  <si>
    <t>% diff</t>
  </si>
  <si>
    <r>
      <t xml:space="preserve"> α = 7</t>
    </r>
    <r>
      <rPr>
        <b/>
        <sz val="11"/>
        <color theme="1"/>
        <rFont val="Aptos Narrow"/>
        <family val="2"/>
      </rPr>
      <t>º</t>
    </r>
  </si>
  <si>
    <t>L = qSCl</t>
  </si>
  <si>
    <t>All lengths in feet</t>
  </si>
  <si>
    <t>Fuselage Contribution</t>
  </si>
  <si>
    <t>Aircraft Data</t>
  </si>
  <si>
    <r>
      <t>X</t>
    </r>
    <r>
      <rPr>
        <vertAlign val="subscript"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>/l</t>
    </r>
    <r>
      <rPr>
        <vertAlign val="subscript"/>
        <sz val="11"/>
        <color theme="1"/>
        <rFont val="Aptos Narrow"/>
        <family val="2"/>
        <scheme val="minor"/>
      </rPr>
      <t>f</t>
    </r>
  </si>
  <si>
    <r>
      <t>lf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/Sbs</t>
    </r>
  </si>
  <si>
    <t>A1</t>
  </si>
  <si>
    <r>
      <t>(h1/h2)</t>
    </r>
    <r>
      <rPr>
        <vertAlign val="superscript"/>
        <sz val="11"/>
        <color theme="1"/>
        <rFont val="Aptos Narrow"/>
        <family val="2"/>
        <scheme val="minor"/>
      </rPr>
      <t>1/2</t>
    </r>
  </si>
  <si>
    <t>A2</t>
  </si>
  <si>
    <t>h/b,fmax</t>
  </si>
  <si>
    <t>A3</t>
  </si>
  <si>
    <t>ν (kinematic viscosity)</t>
  </si>
  <si>
    <t>A4</t>
  </si>
  <si>
    <t>A5</t>
  </si>
  <si>
    <r>
      <t>K</t>
    </r>
    <r>
      <rPr>
        <vertAlign val="subscript"/>
        <sz val="11"/>
        <color theme="1"/>
        <rFont val="Aptos Narrow"/>
        <family val="2"/>
        <scheme val="minor"/>
      </rPr>
      <t>N</t>
    </r>
  </si>
  <si>
    <t xml:space="preserve">SB,S </t>
  </si>
  <si>
    <t>Re,f</t>
  </si>
  <si>
    <t>lf</t>
  </si>
  <si>
    <t>K,rl</t>
  </si>
  <si>
    <t xml:space="preserve">b,w </t>
  </si>
  <si>
    <t>(Cn,beta)fuse</t>
  </si>
  <si>
    <t>Dihedral</t>
  </si>
  <si>
    <t>S,w</t>
  </si>
  <si>
    <t xml:space="preserve">Vertical Tail </t>
  </si>
  <si>
    <t>AR,w</t>
  </si>
  <si>
    <t>Sv</t>
  </si>
  <si>
    <t>AR,v</t>
  </si>
  <si>
    <t>Xm (Xcg)</t>
  </si>
  <si>
    <t>Cr</t>
  </si>
  <si>
    <t>h1</t>
  </si>
  <si>
    <t>Ct</t>
  </si>
  <si>
    <t>h2</t>
  </si>
  <si>
    <t>λ,v</t>
  </si>
  <si>
    <t>h</t>
  </si>
  <si>
    <t>sweep,v.t (deg)</t>
  </si>
  <si>
    <t>bf,max</t>
  </si>
  <si>
    <t>sweep, c/4</t>
  </si>
  <si>
    <t>sweep,c/2</t>
  </si>
  <si>
    <t xml:space="preserve"> </t>
  </si>
  <si>
    <t>Zw</t>
  </si>
  <si>
    <t>df,max</t>
  </si>
  <si>
    <t>b,v.t</t>
  </si>
  <si>
    <r>
      <t>(1+∂</t>
    </r>
    <r>
      <rPr>
        <sz val="8.15"/>
        <color theme="1"/>
        <rFont val="Grotesque"/>
        <family val="2"/>
        <charset val="1"/>
      </rPr>
      <t>/∂</t>
    </r>
    <r>
      <rPr>
        <sz val="8.15"/>
        <color theme="1"/>
        <rFont val="Grotesque"/>
        <family val="2"/>
      </rPr>
      <t>ß</t>
    </r>
    <r>
      <rPr>
        <vertAlign val="subscript"/>
        <sz val="8.15"/>
        <color theme="1"/>
        <rFont val="Grotesque"/>
        <family val="2"/>
      </rPr>
      <t>)V</t>
    </r>
  </si>
  <si>
    <t xml:space="preserve">Beta </t>
  </si>
  <si>
    <t>Aeff</t>
  </si>
  <si>
    <t xml:space="preserve">lv = Xv - Xcg </t>
  </si>
  <si>
    <r>
      <t>C</t>
    </r>
    <r>
      <rPr>
        <vertAlign val="subscript"/>
        <sz val="11"/>
        <color theme="1"/>
        <rFont val="Aptos Narrow"/>
        <family val="2"/>
        <scheme val="minor"/>
      </rPr>
      <t>L,alpha</t>
    </r>
    <r>
      <rPr>
        <sz val="11"/>
        <color theme="1"/>
        <rFont val="Aptos Narrow"/>
        <family val="2"/>
        <scheme val="minor"/>
      </rPr>
      <t xml:space="preserve"> (/rad)</t>
    </r>
  </si>
  <si>
    <t xml:space="preserve">Xv = 50 </t>
  </si>
  <si>
    <r>
      <t>C</t>
    </r>
    <r>
      <rPr>
        <vertAlign val="subscript"/>
        <sz val="11"/>
        <color theme="1"/>
        <rFont val="Aptos Narrow"/>
        <family val="2"/>
        <scheme val="minor"/>
      </rPr>
      <t>L,alpha</t>
    </r>
    <r>
      <rPr>
        <sz val="11"/>
        <color theme="1"/>
        <rFont val="Aptos Narrow"/>
        <family val="2"/>
        <scheme val="minor"/>
      </rPr>
      <t xml:space="preserve"> (/deg)</t>
    </r>
  </si>
  <si>
    <t xml:space="preserve">k </t>
  </si>
  <si>
    <t>lv</t>
  </si>
  <si>
    <t>(Cn,beta)v.t</t>
  </si>
  <si>
    <t>TOTAL</t>
  </si>
  <si>
    <t>(Cn,beta)total</t>
  </si>
  <si>
    <t>Zv</t>
  </si>
  <si>
    <t xml:space="preserve">alpha </t>
  </si>
  <si>
    <t>(Cl,beta)v.t (/deg)</t>
  </si>
  <si>
    <t>Calculations (/deg)</t>
  </si>
  <si>
    <t>DATCOM (/deg)</t>
  </si>
  <si>
    <t>% difference</t>
  </si>
  <si>
    <r>
      <t>(Cn</t>
    </r>
    <r>
      <rPr>
        <b/>
        <vertAlign val="subscript"/>
        <sz val="11"/>
        <color theme="1"/>
        <rFont val="Grotesque"/>
        <family val="2"/>
      </rPr>
      <t>ß</t>
    </r>
    <r>
      <rPr>
        <b/>
        <sz val="11"/>
        <color theme="1"/>
        <rFont val="Grotesque"/>
        <family val="2"/>
      </rPr>
      <t>)</t>
    </r>
    <r>
      <rPr>
        <b/>
        <vertAlign val="subscript"/>
        <sz val="11"/>
        <color theme="1"/>
        <rFont val="Grotesque"/>
        <family val="2"/>
      </rPr>
      <t>f</t>
    </r>
  </si>
  <si>
    <r>
      <t>(Cn</t>
    </r>
    <r>
      <rPr>
        <b/>
        <vertAlign val="subscript"/>
        <sz val="11"/>
        <color theme="1"/>
        <rFont val="Grotesque"/>
        <family val="2"/>
      </rPr>
      <t>ß</t>
    </r>
    <r>
      <rPr>
        <b/>
        <sz val="11"/>
        <color theme="1"/>
        <rFont val="Grotesque"/>
        <family val="2"/>
      </rPr>
      <t>)v.t</t>
    </r>
  </si>
  <si>
    <r>
      <t>(Cnß)</t>
    </r>
    <r>
      <rPr>
        <b/>
        <vertAlign val="subscript"/>
        <sz val="11"/>
        <color theme="1"/>
        <rFont val="Aptos Narrow"/>
        <family val="2"/>
        <scheme val="minor"/>
      </rPr>
      <t>Λ</t>
    </r>
  </si>
  <si>
    <r>
      <t>(Cnß)</t>
    </r>
    <r>
      <rPr>
        <b/>
        <vertAlign val="subscript"/>
        <sz val="11"/>
        <color theme="1"/>
        <rFont val="Aptos Narrow"/>
        <family val="2"/>
        <scheme val="minor"/>
      </rPr>
      <t>Γ</t>
    </r>
  </si>
  <si>
    <r>
      <t>(Cn</t>
    </r>
    <r>
      <rPr>
        <b/>
        <vertAlign val="subscript"/>
        <sz val="11"/>
        <color theme="1"/>
        <rFont val="Grotesque"/>
        <family val="2"/>
      </rPr>
      <t>ß</t>
    </r>
    <r>
      <rPr>
        <b/>
        <sz val="11"/>
        <color theme="1"/>
        <rFont val="Grotesque"/>
        <family val="2"/>
      </rPr>
      <t>)</t>
    </r>
    <r>
      <rPr>
        <b/>
        <vertAlign val="subscript"/>
        <sz val="11"/>
        <color theme="1"/>
        <rFont val="Grotesque"/>
        <family val="2"/>
      </rPr>
      <t>total</t>
    </r>
  </si>
  <si>
    <r>
      <t>(Cl</t>
    </r>
    <r>
      <rPr>
        <b/>
        <vertAlign val="subscript"/>
        <sz val="11"/>
        <color theme="1"/>
        <rFont val="Grotesque"/>
        <family val="2"/>
      </rPr>
      <t>ß</t>
    </r>
    <r>
      <rPr>
        <b/>
        <sz val="11"/>
        <color theme="1"/>
        <rFont val="Grotesque"/>
        <family val="2"/>
      </rPr>
      <t>)</t>
    </r>
    <r>
      <rPr>
        <b/>
        <vertAlign val="subscript"/>
        <sz val="11"/>
        <color theme="1"/>
        <rFont val="Grotesque"/>
        <family val="2"/>
      </rPr>
      <t>f</t>
    </r>
  </si>
  <si>
    <t>NEGLIGIBLE</t>
  </si>
  <si>
    <r>
      <t>(Cl</t>
    </r>
    <r>
      <rPr>
        <b/>
        <vertAlign val="subscript"/>
        <sz val="11"/>
        <color theme="1"/>
        <rFont val="Grotesque"/>
        <family val="2"/>
      </rPr>
      <t>ß</t>
    </r>
    <r>
      <rPr>
        <b/>
        <sz val="11"/>
        <color theme="1"/>
        <rFont val="Grotesque"/>
        <family val="2"/>
      </rPr>
      <t>)v.t</t>
    </r>
  </si>
  <si>
    <r>
      <t>(Cl</t>
    </r>
    <r>
      <rPr>
        <b/>
        <vertAlign val="subscript"/>
        <sz val="11"/>
        <color theme="1"/>
        <rFont val="Grotesque"/>
        <family val="2"/>
      </rPr>
      <t>ß</t>
    </r>
    <r>
      <rPr>
        <b/>
        <sz val="11"/>
        <color theme="1"/>
        <rFont val="Grotesque"/>
        <family val="2"/>
      </rPr>
      <t>)</t>
    </r>
    <r>
      <rPr>
        <b/>
        <vertAlign val="subscript"/>
        <sz val="11"/>
        <color theme="1"/>
        <rFont val="Grotesque"/>
        <family val="2"/>
      </rPr>
      <t>total</t>
    </r>
  </si>
  <si>
    <r>
      <t>Cm</t>
    </r>
    <r>
      <rPr>
        <b/>
        <vertAlign val="subscript"/>
        <sz val="11"/>
        <color theme="1"/>
        <rFont val="Aptos Narrow"/>
        <family val="2"/>
      </rPr>
      <t>α</t>
    </r>
  </si>
  <si>
    <r>
      <t>Cm</t>
    </r>
    <r>
      <rPr>
        <b/>
        <vertAlign val="subscript"/>
        <sz val="11"/>
        <color theme="1"/>
        <rFont val="Aptos Narrow"/>
        <family val="2"/>
      </rPr>
      <t>α</t>
    </r>
    <r>
      <rPr>
        <b/>
        <vertAlign val="subscript"/>
        <sz val="11"/>
        <color theme="1"/>
        <rFont val="Aptos Narrow"/>
        <family val="2"/>
        <scheme val="minor"/>
      </rPr>
      <t>,f</t>
    </r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</si>
  <si>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L</t>
    </r>
    <r>
      <rPr>
        <b/>
        <vertAlign val="subscript"/>
        <sz val="11"/>
        <color theme="1"/>
        <rFont val="Aptos Narrow"/>
        <family val="2"/>
      </rPr>
      <t>α</t>
    </r>
    <r>
      <rPr>
        <b/>
        <vertAlign val="subscript"/>
        <sz val="11"/>
        <color theme="1"/>
        <rFont val="Aptos Narrow"/>
        <family val="2"/>
        <scheme val="minor"/>
      </rPr>
      <t>,w</t>
    </r>
  </si>
  <si>
    <t>Xac</t>
  </si>
  <si>
    <t>Xa_bar</t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</si>
  <si>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L</t>
    </r>
    <r>
      <rPr>
        <b/>
        <vertAlign val="subscript"/>
        <sz val="11"/>
        <color theme="1"/>
        <rFont val="Aptos Narrow"/>
        <family val="2"/>
      </rPr>
      <t>α</t>
    </r>
    <r>
      <rPr>
        <b/>
        <vertAlign val="subscript"/>
        <sz val="11"/>
        <color theme="1"/>
        <rFont val="Aptos Narrow"/>
        <family val="2"/>
        <scheme val="minor"/>
      </rPr>
      <t>,h.t</t>
    </r>
  </si>
  <si>
    <t>(dε/dα)M=0.17</t>
  </si>
  <si>
    <t>/rad.</t>
  </si>
  <si>
    <t>Neutral  Point</t>
  </si>
  <si>
    <t xml:space="preserve">Static Margin </t>
  </si>
  <si>
    <t>56.5 % c_bar</t>
  </si>
  <si>
    <t xml:space="preserve">Part </t>
  </si>
  <si>
    <t>Aileron</t>
  </si>
  <si>
    <t xml:space="preserve">Rudder </t>
  </si>
  <si>
    <t xml:space="preserve">Aileron/Elevator </t>
  </si>
  <si>
    <t>width</t>
  </si>
  <si>
    <t xml:space="preserve">depth </t>
  </si>
  <si>
    <t>depth 1</t>
  </si>
  <si>
    <t>depth 2</t>
  </si>
  <si>
    <t>width 1</t>
  </si>
  <si>
    <t>width 2</t>
  </si>
  <si>
    <t>Surface Area</t>
  </si>
  <si>
    <t>S_a/S_w</t>
  </si>
  <si>
    <t>Tau</t>
  </si>
  <si>
    <t>Cl_delta_a</t>
  </si>
  <si>
    <t>Cn_r</t>
  </si>
  <si>
    <t>CL_de</t>
  </si>
  <si>
    <t>Cm_delta_e</t>
  </si>
  <si>
    <t>Control Surface Derivatives</t>
  </si>
  <si>
    <t xml:space="preserve">factor </t>
  </si>
  <si>
    <t>V_bar_v.t</t>
  </si>
  <si>
    <t>lht</t>
  </si>
  <si>
    <t>Cn_delta_r</t>
  </si>
  <si>
    <t>Boeing 747</t>
  </si>
  <si>
    <t>c_bar</t>
  </si>
  <si>
    <t>True Airspeed</t>
  </si>
  <si>
    <t>q</t>
  </si>
  <si>
    <t>loc CG (%MAC)</t>
  </si>
  <si>
    <t>Ix (slugft^2)</t>
  </si>
  <si>
    <t xml:space="preserve">Iy </t>
  </si>
  <si>
    <t>Iz</t>
  </si>
  <si>
    <t>Ixz</t>
  </si>
  <si>
    <t>CL-415</t>
  </si>
  <si>
    <t>Cessna 620</t>
  </si>
  <si>
    <t>kz</t>
  </si>
  <si>
    <t>Weight(lbs)</t>
  </si>
  <si>
    <t>kx (Ix/mb^2)</t>
  </si>
  <si>
    <t>Mass (slugs)</t>
  </si>
  <si>
    <t>mb^2</t>
  </si>
  <si>
    <t>ky</t>
  </si>
  <si>
    <t>Lfuse</t>
  </si>
  <si>
    <t>mL^2</t>
  </si>
  <si>
    <t>λ_2</t>
  </si>
  <si>
    <t>Total Weight (lbs)</t>
  </si>
  <si>
    <t xml:space="preserve">Trim (Cm = 0) </t>
  </si>
  <si>
    <t>AoA (deg)</t>
  </si>
  <si>
    <t>Steady-level flight</t>
  </si>
  <si>
    <t>Cm_0</t>
  </si>
  <si>
    <t>Alpha 5</t>
  </si>
  <si>
    <t>Cm_a</t>
  </si>
  <si>
    <t>Cm_q</t>
  </si>
  <si>
    <t>Cm_de</t>
  </si>
  <si>
    <t xml:space="preserve">Cm_ih </t>
  </si>
  <si>
    <t>Cn_0</t>
  </si>
  <si>
    <t>Cn_b</t>
  </si>
  <si>
    <t>Cn_p</t>
  </si>
  <si>
    <t>Cn_da</t>
  </si>
  <si>
    <t>Cn_dr</t>
  </si>
  <si>
    <t>CD_0</t>
  </si>
  <si>
    <t>CD_a</t>
  </si>
  <si>
    <t xml:space="preserve">CD_q </t>
  </si>
  <si>
    <t>CD_de</t>
  </si>
  <si>
    <t>CD_ih</t>
  </si>
  <si>
    <t>CL_0</t>
  </si>
  <si>
    <t>CL_alpha</t>
  </si>
  <si>
    <t>CL_q</t>
  </si>
  <si>
    <t>CL_ih</t>
  </si>
  <si>
    <t>Approx</t>
  </si>
  <si>
    <t>CY_0</t>
  </si>
  <si>
    <t>CY_b</t>
  </si>
  <si>
    <t>CY_p</t>
  </si>
  <si>
    <t>CY_r</t>
  </si>
  <si>
    <t>CY_da</t>
  </si>
  <si>
    <t>CY_dr</t>
  </si>
  <si>
    <t>Cl_0</t>
  </si>
  <si>
    <t>Cl_b</t>
  </si>
  <si>
    <t>Cl_p</t>
  </si>
  <si>
    <t>Cl_r</t>
  </si>
  <si>
    <t>Cl_da</t>
  </si>
  <si>
    <t>Cl_dr</t>
  </si>
  <si>
    <t>approx</t>
  </si>
  <si>
    <t>Ix</t>
  </si>
  <si>
    <t>Iy</t>
  </si>
  <si>
    <t>kgm^2</t>
  </si>
  <si>
    <t xml:space="preserve">V </t>
  </si>
  <si>
    <t>ft/s</t>
  </si>
  <si>
    <t>m/s</t>
  </si>
  <si>
    <t>AOA</t>
  </si>
  <si>
    <t>m</t>
  </si>
  <si>
    <r>
      <t>Cn</t>
    </r>
    <r>
      <rPr>
        <b/>
        <vertAlign val="subscript"/>
        <sz val="11"/>
        <color theme="1"/>
        <rFont val="Aptos Narrow"/>
        <family val="2"/>
        <scheme val="minor"/>
      </rPr>
      <t>β, fuselage</t>
    </r>
  </si>
  <si>
    <r>
      <t>Cn</t>
    </r>
    <r>
      <rPr>
        <b/>
        <vertAlign val="subscript"/>
        <sz val="11"/>
        <color theme="1"/>
        <rFont val="Aptos Narrow"/>
        <family val="2"/>
        <scheme val="minor"/>
      </rPr>
      <t>β, v.t</t>
    </r>
  </si>
  <si>
    <r>
      <t>Cn</t>
    </r>
    <r>
      <rPr>
        <b/>
        <vertAlign val="subscript"/>
        <sz val="11"/>
        <color theme="1"/>
        <rFont val="Aptos Narrow"/>
        <family val="2"/>
        <scheme val="minor"/>
      </rPr>
      <t>β, total</t>
    </r>
  </si>
  <si>
    <t>Hand Calculations (/deg)</t>
  </si>
  <si>
    <t>Lateral</t>
  </si>
  <si>
    <t>Directional</t>
  </si>
  <si>
    <t>Lomgitudinal</t>
  </si>
  <si>
    <t>Variable</t>
  </si>
  <si>
    <t>Cla</t>
  </si>
  <si>
    <t>Clb</t>
  </si>
  <si>
    <t>Cma</t>
  </si>
  <si>
    <t>Cnb</t>
  </si>
  <si>
    <t>Cnr</t>
  </si>
  <si>
    <t>Altitude</t>
  </si>
  <si>
    <r>
      <t>(1+∂</t>
    </r>
    <r>
      <rPr>
        <b/>
        <sz val="8.15"/>
        <color theme="1"/>
        <rFont val="Grotesque"/>
        <family val="2"/>
        <charset val="1"/>
      </rPr>
      <t>/∂</t>
    </r>
    <r>
      <rPr>
        <b/>
        <sz val="8.15"/>
        <color theme="1"/>
        <rFont val="Grotesque"/>
        <family val="2"/>
      </rPr>
      <t>ß</t>
    </r>
    <r>
      <rPr>
        <b/>
        <vertAlign val="subscript"/>
        <sz val="8.15"/>
        <color theme="1"/>
        <rFont val="Grotesque"/>
        <family val="2"/>
      </rPr>
      <t>)V</t>
    </r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</si>
  <si>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L,alpha</t>
    </r>
    <r>
      <rPr>
        <b/>
        <sz val="11"/>
        <color theme="1"/>
        <rFont val="Aptos Narrow"/>
        <family val="2"/>
        <scheme val="minor"/>
      </rPr>
      <t xml:space="preserve"> (/rad)</t>
    </r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</si>
  <si>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L,alpha</t>
    </r>
    <r>
      <rPr>
        <b/>
        <sz val="11"/>
        <color theme="1"/>
        <rFont val="Aptos Narrow"/>
        <family val="2"/>
        <scheme val="minor"/>
      </rPr>
      <t xml:space="preserve"> (/deg)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</si>
</sst>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"/>
    <numFmt numFmtId="166" formatCode="0.0"/>
    <numFmt numFmtId="167" formatCode="0.00000"/>
    <numFmt numFmtId="168" formatCode="0.0000E+00"/>
    <numFmt numFmtId="169" formatCode="0.000000"/>
    <numFmt numFmtId="170" formatCode="0.0000000"/>
  </numFmts>
  <fonts count="2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onsolas"/>
      <family val="3"/>
    </font>
    <font>
      <sz val="10"/>
      <color theme="1"/>
      <name val="Consolas"/>
      <family val="3"/>
    </font>
    <font>
      <b/>
      <vertAlign val="subscript"/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b/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b/>
      <sz val="9.35"/>
      <color theme="1"/>
      <name val="Aptos Narrow"/>
      <family val="2"/>
    </font>
    <font>
      <b/>
      <vertAlign val="subscript"/>
      <sz val="11"/>
      <color theme="1"/>
      <name val="Aptos Narrow"/>
      <family val="2"/>
    </font>
    <font>
      <b/>
      <vertAlign val="super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.65"/>
      <color theme="1"/>
      <name val="Aptos Narrow"/>
      <family val="2"/>
    </font>
    <font>
      <sz val="11"/>
      <color theme="1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Grotesque"/>
      <family val="2"/>
      <charset val="1"/>
    </font>
    <font>
      <sz val="8.15"/>
      <color theme="1"/>
      <name val="Grotesque"/>
      <family val="2"/>
      <charset val="1"/>
    </font>
    <font>
      <sz val="8.15"/>
      <color theme="1"/>
      <name val="Grotesque"/>
      <family val="2"/>
    </font>
    <font>
      <vertAlign val="subscript"/>
      <sz val="8.15"/>
      <color theme="1"/>
      <name val="Grotesque"/>
      <family val="2"/>
    </font>
    <font>
      <b/>
      <sz val="11"/>
      <color theme="1"/>
      <name val="Grotesque"/>
      <family val="2"/>
      <charset val="1"/>
    </font>
    <font>
      <b/>
      <vertAlign val="subscript"/>
      <sz val="11"/>
      <color theme="1"/>
      <name val="Grotesque"/>
      <family val="2"/>
    </font>
    <font>
      <b/>
      <sz val="11"/>
      <color theme="1"/>
      <name val="Grotesque"/>
      <family val="2"/>
    </font>
    <font>
      <sz val="11"/>
      <color rgb="FF000000"/>
      <name val="Aptos Narrow"/>
      <family val="2"/>
    </font>
    <font>
      <b/>
      <sz val="8.15"/>
      <color theme="1"/>
      <name val="Grotesque"/>
      <family val="2"/>
      <charset val="1"/>
    </font>
    <font>
      <b/>
      <sz val="8.15"/>
      <color theme="1"/>
      <name val="Grotesque"/>
      <family val="2"/>
    </font>
    <font>
      <b/>
      <vertAlign val="subscript"/>
      <sz val="8.15"/>
      <color theme="1"/>
      <name val="Grotesque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2"/>
    </xf>
    <xf numFmtId="0" fontId="2" fillId="0" borderId="1" xfId="0" applyFont="1" applyBorder="1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indent="2"/>
    </xf>
    <xf numFmtId="166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/>
    <xf numFmtId="0" fontId="0" fillId="0" borderId="3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0" fillId="6" borderId="1" xfId="0" applyNumberFormat="1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7" fontId="0" fillId="5" borderId="0" xfId="0" applyNumberFormat="1" applyFill="1"/>
    <xf numFmtId="0" fontId="0" fillId="5" borderId="0" xfId="0" applyFill="1"/>
    <xf numFmtId="167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68" fontId="0" fillId="6" borderId="1" xfId="0" applyNumberForma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6" borderId="0" xfId="0" applyNumberForma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165" fontId="0" fillId="0" borderId="1" xfId="0" applyNumberFormat="1" applyBorder="1"/>
    <xf numFmtId="0" fontId="0" fillId="5" borderId="1" xfId="0" applyFill="1" applyBorder="1"/>
    <xf numFmtId="165" fontId="0" fillId="5" borderId="1" xfId="0" applyNumberFormat="1" applyFill="1" applyBorder="1"/>
    <xf numFmtId="0" fontId="13" fillId="5" borderId="1" xfId="0" applyFont="1" applyFill="1" applyBorder="1"/>
    <xf numFmtId="167" fontId="0" fillId="0" borderId="0" xfId="0" applyNumberFormat="1"/>
    <xf numFmtId="164" fontId="0" fillId="0" borderId="0" xfId="0" applyNumberFormat="1"/>
    <xf numFmtId="2" fontId="0" fillId="0" borderId="1" xfId="0" applyNumberFormat="1" applyBorder="1"/>
    <xf numFmtId="11" fontId="0" fillId="0" borderId="1" xfId="0" applyNumberFormat="1" applyBorder="1"/>
    <xf numFmtId="0" fontId="0" fillId="0" borderId="5" xfId="0" applyBorder="1"/>
    <xf numFmtId="2" fontId="0" fillId="0" borderId="5" xfId="0" applyNumberFormat="1" applyBorder="1"/>
    <xf numFmtId="0" fontId="13" fillId="0" borderId="0" xfId="0" applyFont="1"/>
    <xf numFmtId="0" fontId="0" fillId="3" borderId="1" xfId="0" applyFill="1" applyBorder="1"/>
    <xf numFmtId="0" fontId="13" fillId="0" borderId="1" xfId="0" applyFont="1" applyBorder="1"/>
    <xf numFmtId="0" fontId="0" fillId="0" borderId="6" xfId="0" applyBorder="1"/>
    <xf numFmtId="164" fontId="0" fillId="0" borderId="1" xfId="0" applyNumberFormat="1" applyBorder="1"/>
    <xf numFmtId="0" fontId="15" fillId="0" borderId="6" xfId="0" applyFont="1" applyBorder="1"/>
    <xf numFmtId="164" fontId="0" fillId="0" borderId="6" xfId="0" applyNumberFormat="1" applyBorder="1"/>
    <xf numFmtId="166" fontId="0" fillId="4" borderId="1" xfId="0" applyNumberFormat="1" applyFill="1" applyBorder="1" applyAlignment="1">
      <alignment horizontal="center" vertical="center"/>
    </xf>
    <xf numFmtId="0" fontId="0" fillId="0" borderId="2" xfId="0" applyBorder="1"/>
    <xf numFmtId="167" fontId="0" fillId="0" borderId="1" xfId="0" applyNumberFormat="1" applyBorder="1"/>
    <xf numFmtId="170" fontId="0" fillId="0" borderId="1" xfId="0" applyNumberFormat="1" applyBorder="1"/>
    <xf numFmtId="0" fontId="19" fillId="0" borderId="1" xfId="0" applyFon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69" fontId="0" fillId="3" borderId="1" xfId="0" applyNumberForma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10" borderId="1" xfId="0" applyFill="1" applyBorder="1"/>
    <xf numFmtId="0" fontId="1" fillId="0" borderId="0" xfId="0" applyFont="1"/>
    <xf numFmtId="0" fontId="1" fillId="0" borderId="1" xfId="0" applyFont="1" applyBorder="1"/>
    <xf numFmtId="0" fontId="0" fillId="6" borderId="0" xfId="0" applyFill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2" fontId="0" fillId="0" borderId="0" xfId="0" applyNumberFormat="1"/>
    <xf numFmtId="170" fontId="0" fillId="0" borderId="0" xfId="0" applyNumberFormat="1"/>
    <xf numFmtId="170" fontId="1" fillId="0" borderId="1" xfId="0" applyNumberFormat="1" applyFont="1" applyBorder="1"/>
    <xf numFmtId="169" fontId="0" fillId="0" borderId="1" xfId="0" applyNumberFormat="1" applyBorder="1"/>
    <xf numFmtId="0" fontId="0" fillId="10" borderId="4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169" fontId="0" fillId="12" borderId="1" xfId="0" applyNumberForma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64" fontId="0" fillId="7" borderId="2" xfId="0" applyNumberForma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/>
    <xf numFmtId="0" fontId="19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6" borderId="7" xfId="0" applyNumberFormat="1" applyFill="1" applyBorder="1" applyAlignment="1">
      <alignment horizontal="center" vertical="center"/>
    </xf>
    <xf numFmtId="165" fontId="0" fillId="6" borderId="13" xfId="0" applyNumberFormat="1" applyFill="1" applyBorder="1" applyAlignment="1">
      <alignment horizontal="center" vertical="center"/>
    </xf>
    <xf numFmtId="165" fontId="0" fillId="6" borderId="8" xfId="0" applyNumberFormat="1" applyFill="1" applyBorder="1" applyAlignment="1">
      <alignment horizontal="center" vertical="center"/>
    </xf>
    <xf numFmtId="165" fontId="0" fillId="6" borderId="9" xfId="0" applyNumberFormat="1" applyFill="1" applyBorder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165" fontId="0" fillId="6" borderId="10" xfId="0" applyNumberFormat="1" applyFill="1" applyBorder="1" applyAlignment="1">
      <alignment horizontal="center" vertical="center"/>
    </xf>
    <xf numFmtId="165" fontId="0" fillId="6" borderId="11" xfId="0" applyNumberFormat="1" applyFill="1" applyBorder="1" applyAlignment="1">
      <alignment horizontal="center" vertical="center"/>
    </xf>
    <xf numFmtId="165" fontId="0" fillId="6" borderId="14" xfId="0" applyNumberFormat="1" applyFill="1" applyBorder="1" applyAlignment="1">
      <alignment horizontal="center" vertical="center"/>
    </xf>
    <xf numFmtId="165" fontId="0" fillId="6" borderId="12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7" fontId="0" fillId="6" borderId="2" xfId="0" applyNumberFormat="1" applyFill="1" applyBorder="1" applyAlignment="1">
      <alignment horizontal="center" vertical="center"/>
    </xf>
    <xf numFmtId="167" fontId="0" fillId="6" borderId="3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164" fontId="0" fillId="6" borderId="3" xfId="0" applyNumberForma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65" fontId="0" fillId="6" borderId="2" xfId="0" applyNumberFormat="1" applyFill="1" applyBorder="1" applyAlignment="1">
      <alignment horizontal="center" vertical="center"/>
    </xf>
    <xf numFmtId="165" fontId="0" fillId="6" borderId="3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Border="1"/>
    <xf numFmtId="164" fontId="0" fillId="0" borderId="0" xfId="0" applyNumberFormat="1" applyBorder="1"/>
    <xf numFmtId="167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29845</xdr:colOff>
      <xdr:row>27</xdr:row>
      <xdr:rowOff>39362</xdr:rowOff>
    </xdr:from>
    <xdr:to>
      <xdr:col>27</xdr:col>
      <xdr:colOff>492125</xdr:colOff>
      <xdr:row>63</xdr:row>
      <xdr:rowOff>136394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8CCCE5-93FE-6380-2D22-B718C2317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5220" y="4968550"/>
          <a:ext cx="10574655" cy="66692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11340</xdr:colOff>
      <xdr:row>44</xdr:row>
      <xdr:rowOff>170090</xdr:rowOff>
    </xdr:from>
    <xdr:to>
      <xdr:col>41</xdr:col>
      <xdr:colOff>13135</xdr:colOff>
      <xdr:row>72</xdr:row>
      <xdr:rowOff>81887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44934C3-3436-BDA8-9281-76BBBC9E4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74197" y="8152947"/>
          <a:ext cx="12860545" cy="4991797"/>
        </a:xfrm>
        <a:prstGeom prst="rect">
          <a:avLst/>
        </a:prstGeom>
      </xdr:spPr>
    </xdr:pic>
    <xdr:clientData/>
  </xdr:twoCellAnchor>
  <xdr:twoCellAnchor editAs="oneCell">
    <xdr:from>
      <xdr:col>19</xdr:col>
      <xdr:colOff>555626</xdr:colOff>
      <xdr:row>0</xdr:row>
      <xdr:rowOff>124732</xdr:rowOff>
    </xdr:from>
    <xdr:to>
      <xdr:col>41</xdr:col>
      <xdr:colOff>87995</xdr:colOff>
      <xdr:row>42</xdr:row>
      <xdr:rowOff>97217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8D45450-C903-C8EF-2C2C-3862CC383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06162" y="124732"/>
          <a:ext cx="13003440" cy="7592485"/>
        </a:xfrm>
        <a:prstGeom prst="rect">
          <a:avLst/>
        </a:prstGeom>
      </xdr:spPr>
    </xdr:pic>
    <xdr:clientData/>
  </xdr:twoCellAnchor>
  <xdr:twoCellAnchor>
    <xdr:from>
      <xdr:col>20</xdr:col>
      <xdr:colOff>147411</xdr:colOff>
      <xdr:row>10</xdr:row>
      <xdr:rowOff>68035</xdr:rowOff>
    </xdr:from>
    <xdr:to>
      <xdr:col>40</xdr:col>
      <xdr:colOff>158750</xdr:colOff>
      <xdr:row>12</xdr:row>
      <xdr:rowOff>22678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859040A-D628-5123-0B2E-9E5B7C854D8E}"/>
            </a:ext>
          </a:extLst>
        </xdr:cNvPr>
        <xdr:cNvSpPr/>
      </xdr:nvSpPr>
      <xdr:spPr>
        <a:xfrm>
          <a:off x="13210268" y="1882321"/>
          <a:ext cx="12257768" cy="317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50347</xdr:colOff>
      <xdr:row>15</xdr:row>
      <xdr:rowOff>61685</xdr:rowOff>
    </xdr:from>
    <xdr:to>
      <xdr:col>40</xdr:col>
      <xdr:colOff>61686</xdr:colOff>
      <xdr:row>17</xdr:row>
      <xdr:rowOff>16328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6B495AD-0C9F-4413-8666-60F5519C74F5}"/>
            </a:ext>
          </a:extLst>
        </xdr:cNvPr>
        <xdr:cNvSpPr/>
      </xdr:nvSpPr>
      <xdr:spPr>
        <a:xfrm>
          <a:off x="13113204" y="2783114"/>
          <a:ext cx="12257768" cy="317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478195</xdr:colOff>
      <xdr:row>43</xdr:row>
      <xdr:rowOff>153629</xdr:rowOff>
    </xdr:from>
    <xdr:to>
      <xdr:col>6</xdr:col>
      <xdr:colOff>592680</xdr:colOff>
      <xdr:row>52</xdr:row>
      <xdr:rowOff>87212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DCEA3C-856A-7029-1908-F8395B007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3518" y="8326694"/>
          <a:ext cx="3179998" cy="15927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338765</xdr:colOff>
      <xdr:row>1</xdr:row>
      <xdr:rowOff>39837</xdr:rowOff>
    </xdr:from>
    <xdr:to>
      <xdr:col>29</xdr:col>
      <xdr:colOff>480367</xdr:colOff>
      <xdr:row>8</xdr:row>
      <xdr:rowOff>150933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A09467-0194-7AAF-0BDB-08C07514C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70515" y="230337"/>
          <a:ext cx="4967600" cy="1552891"/>
        </a:xfrm>
        <a:prstGeom prst="rect">
          <a:avLst/>
        </a:prstGeom>
      </xdr:spPr>
    </xdr:pic>
    <xdr:clientData/>
  </xdr:twoCellAnchor>
  <xdr:twoCellAnchor editAs="oneCell">
    <xdr:from>
      <xdr:col>1</xdr:col>
      <xdr:colOff>363701</xdr:colOff>
      <xdr:row>39</xdr:row>
      <xdr:rowOff>171690</xdr:rowOff>
    </xdr:from>
    <xdr:to>
      <xdr:col>14</xdr:col>
      <xdr:colOff>367911</xdr:colOff>
      <xdr:row>58</xdr:row>
      <xdr:rowOff>123169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C9D727-42F0-2497-E037-53FC9CCAE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686" y="7567572"/>
          <a:ext cx="8049100" cy="3500010"/>
        </a:xfrm>
        <a:prstGeom prst="rect">
          <a:avLst/>
        </a:prstGeom>
      </xdr:spPr>
    </xdr:pic>
    <xdr:clientData/>
  </xdr:twoCellAnchor>
  <xdr:twoCellAnchor editAs="oneCell">
    <xdr:from>
      <xdr:col>21</xdr:col>
      <xdr:colOff>399007</xdr:colOff>
      <xdr:row>8</xdr:row>
      <xdr:rowOff>44307</xdr:rowOff>
    </xdr:from>
    <xdr:to>
      <xdr:col>30</xdr:col>
      <xdr:colOff>564031</xdr:colOff>
      <xdr:row>45</xdr:row>
      <xdr:rowOff>39099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3D6851-2376-7E05-1078-81E04AA42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30757" y="1631807"/>
          <a:ext cx="5594273" cy="7120348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28</xdr:col>
      <xdr:colOff>319972</xdr:colOff>
      <xdr:row>99</xdr:row>
      <xdr:rowOff>9102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89F0D4-D328-F12D-3FCC-51C6129F9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84552" y="8757313"/>
          <a:ext cx="7297168" cy="91929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121780</xdr:colOff>
      <xdr:row>0</xdr:row>
      <xdr:rowOff>0</xdr:rowOff>
    </xdr:from>
    <xdr:to>
      <xdr:col>18</xdr:col>
      <xdr:colOff>513023</xdr:colOff>
      <xdr:row>4</xdr:row>
      <xdr:rowOff>110883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AABB22-85E4-AE7C-8091-19E30C11E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8629" y="0"/>
          <a:ext cx="4954661" cy="84156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171451</xdr:colOff>
      <xdr:row>1</xdr:row>
      <xdr:rowOff>33970</xdr:rowOff>
    </xdr:from>
    <xdr:to>
      <xdr:col>9</xdr:col>
      <xdr:colOff>838200</xdr:colOff>
      <xdr:row>5</xdr:row>
      <xdr:rowOff>50753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5A9F3A-BE34-DF21-93F2-47BFF0B00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1" y="218120"/>
          <a:ext cx="6407149" cy="753383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14</xdr:row>
      <xdr:rowOff>28426</xdr:rowOff>
    </xdr:from>
    <xdr:to>
      <xdr:col>8</xdr:col>
      <xdr:colOff>25400</xdr:colOff>
      <xdr:row>18</xdr:row>
      <xdr:rowOff>73233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41EAA6-BC4D-E67E-7F49-198E14B8F6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7495"/>
        <a:stretch>
          <a:fillRect/>
        </a:stretch>
      </xdr:blipFill>
      <xdr:spPr>
        <a:xfrm>
          <a:off x="857250" y="2631926"/>
          <a:ext cx="4826000" cy="781407"/>
        </a:xfrm>
        <a:prstGeom prst="rect">
          <a:avLst/>
        </a:prstGeom>
      </xdr:spPr>
    </xdr:pic>
    <xdr:clientData/>
  </xdr:twoCellAnchor>
  <xdr:twoCellAnchor editAs="oneCell">
    <xdr:from>
      <xdr:col>8</xdr:col>
      <xdr:colOff>520700</xdr:colOff>
      <xdr:row>13</xdr:row>
      <xdr:rowOff>37968</xdr:rowOff>
    </xdr:from>
    <xdr:to>
      <xdr:col>15</xdr:col>
      <xdr:colOff>400050</xdr:colOff>
      <xdr:row>19</xdr:row>
      <xdr:rowOff>137924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44B9B0-B582-848D-074D-31D7B2DCE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22950" y="2457318"/>
          <a:ext cx="4902200" cy="120485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514349</xdr:colOff>
      <xdr:row>32</xdr:row>
      <xdr:rowOff>81397</xdr:rowOff>
    </xdr:from>
    <xdr:to>
      <xdr:col>7</xdr:col>
      <xdr:colOff>163368</xdr:colOff>
      <xdr:row>39</xdr:row>
      <xdr:rowOff>85657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F3CBA8-F54C-E016-44E2-E5909FB17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2349" y="5992670"/>
          <a:ext cx="3135746" cy="1297351"/>
        </a:xfrm>
        <a:prstGeom prst="rect">
          <a:avLst/>
        </a:prstGeom>
      </xdr:spPr>
    </xdr:pic>
    <xdr:clientData/>
  </xdr:twoCellAnchor>
  <xdr:twoCellAnchor editAs="oneCell">
    <xdr:from>
      <xdr:col>2</xdr:col>
      <xdr:colOff>416790</xdr:colOff>
      <xdr:row>40</xdr:row>
      <xdr:rowOff>1251</xdr:rowOff>
    </xdr:from>
    <xdr:to>
      <xdr:col>7</xdr:col>
      <xdr:colOff>369455</xdr:colOff>
      <xdr:row>44</xdr:row>
      <xdr:rowOff>139569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DC0DBC-71E1-7190-271E-2CE6AFDD9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4790" y="7390342"/>
          <a:ext cx="3439392" cy="877227"/>
        </a:xfrm>
        <a:prstGeom prst="rect">
          <a:avLst/>
        </a:prstGeom>
      </xdr:spPr>
    </xdr:pic>
    <xdr:clientData/>
  </xdr:twoCellAnchor>
  <xdr:twoCellAnchor editAs="oneCell">
    <xdr:from>
      <xdr:col>2</xdr:col>
      <xdr:colOff>270740</xdr:colOff>
      <xdr:row>29</xdr:row>
      <xdr:rowOff>7939</xdr:rowOff>
    </xdr:from>
    <xdr:to>
      <xdr:col>7</xdr:col>
      <xdr:colOff>570449</xdr:colOff>
      <xdr:row>32</xdr:row>
      <xdr:rowOff>82373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E7464A-6385-719E-A798-4D0419996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48740" y="5365030"/>
          <a:ext cx="3786436" cy="628616"/>
        </a:xfrm>
        <a:prstGeom prst="rect">
          <a:avLst/>
        </a:prstGeom>
      </xdr:spPr>
    </xdr:pic>
    <xdr:clientData/>
  </xdr:twoCellAnchor>
  <xdr:twoCellAnchor editAs="oneCell">
    <xdr:from>
      <xdr:col>2</xdr:col>
      <xdr:colOff>416791</xdr:colOff>
      <xdr:row>25</xdr:row>
      <xdr:rowOff>102477</xdr:rowOff>
    </xdr:from>
    <xdr:to>
      <xdr:col>5</xdr:col>
      <xdr:colOff>544368</xdr:colOff>
      <xdr:row>29</xdr:row>
      <xdr:rowOff>63344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E08B90-F08E-6A57-38CC-44660A079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4791" y="4720659"/>
          <a:ext cx="2390486" cy="69977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73075</xdr:colOff>
      <xdr:row>43</xdr:row>
      <xdr:rowOff>72169</xdr:rowOff>
    </xdr:from>
    <xdr:to>
      <xdr:col>22</xdr:col>
      <xdr:colOff>237853</xdr:colOff>
      <xdr:row>69</xdr:row>
      <xdr:rowOff>134955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FDBF01-D71C-4476-AB4E-2FC920B87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675" y="7990619"/>
          <a:ext cx="12966378" cy="48506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22</xdr:col>
      <xdr:colOff>312713</xdr:colOff>
      <xdr:row>41</xdr:row>
      <xdr:rowOff>14818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DA4EA3-EC29-4ED5-A642-066827162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84150"/>
          <a:ext cx="13114313" cy="7380818"/>
        </a:xfrm>
        <a:prstGeom prst="rect">
          <a:avLst/>
        </a:prstGeom>
      </xdr:spPr>
    </xdr:pic>
    <xdr:clientData/>
  </xdr:twoCellAnchor>
  <xdr:twoCellAnchor>
    <xdr:from>
      <xdr:col>1</xdr:col>
      <xdr:colOff>171979</xdr:colOff>
      <xdr:row>15</xdr:row>
      <xdr:rowOff>39688</xdr:rowOff>
    </xdr:from>
    <xdr:to>
      <xdr:col>21</xdr:col>
      <xdr:colOff>92604</xdr:colOff>
      <xdr:row>16</xdr:row>
      <xdr:rowOff>105834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C2FAE60-791C-3A95-A820-083496C683A5}"/>
            </a:ext>
          </a:extLst>
        </xdr:cNvPr>
        <xdr:cNvSpPr/>
      </xdr:nvSpPr>
      <xdr:spPr>
        <a:xfrm>
          <a:off x="780521" y="2817813"/>
          <a:ext cx="12091458" cy="25135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331136</xdr:colOff>
      <xdr:row>58</xdr:row>
      <xdr:rowOff>62891</xdr:rowOff>
    </xdr:from>
    <xdr:to>
      <xdr:col>21</xdr:col>
      <xdr:colOff>251761</xdr:colOff>
      <xdr:row>59</xdr:row>
      <xdr:rowOff>129036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3E69174-4993-41ED-B6D1-7F6C9884113C}"/>
            </a:ext>
          </a:extLst>
        </xdr:cNvPr>
        <xdr:cNvSpPr/>
      </xdr:nvSpPr>
      <xdr:spPr>
        <a:xfrm>
          <a:off x="936828" y="10828583"/>
          <a:ext cx="12034471" cy="25176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F79BA-0BB9-449D-B640-12FC544D5CBC}">
  <dimension ref="A1:AB43"/>
  <sheetViews>
    <sheetView zoomScale="35" zoomScaleNormal="100" workbookViewId="0">
      <selection activeCell="I81" sqref="I81"/>
    </sheetView>
  </sheetViews>
  <sheetFormatPr defaultColWidth="8.7265625" defaultRowHeight="14.5" x14ac:dyDescent="0.35"/>
  <cols>
    <col min="1" max="1" width="7.54296875" style="1" customWidth="1"/>
    <col min="2" max="2" width="8.54296875" style="1" customWidth="1"/>
    <col min="3" max="3" width="9.453125" style="1" customWidth="1"/>
    <col min="4" max="4" width="10.453125" style="1" customWidth="1"/>
    <col min="5" max="5" width="10.1796875" style="1" customWidth="1"/>
    <col min="6" max="6" width="8.7265625" style="1" hidden="1" customWidth="1"/>
    <col min="7" max="7" width="14.453125" style="1" customWidth="1"/>
    <col min="8" max="8" width="8.7265625" style="1"/>
    <col min="9" max="9" width="28.7265625" style="1" customWidth="1"/>
    <col min="10" max="10" width="18.54296875" style="1" customWidth="1"/>
    <col min="11" max="15" width="8.7265625" style="1"/>
    <col min="16" max="16" width="13.7265625" style="1" customWidth="1"/>
    <col min="17" max="17" width="12.81640625" style="1" customWidth="1"/>
    <col min="18" max="18" width="11.7265625" style="1" customWidth="1"/>
    <col min="19" max="19" width="10.54296875" style="1" customWidth="1"/>
    <col min="20" max="20" width="10.26953125" style="1" customWidth="1"/>
    <col min="21" max="21" width="10.54296875" style="1" customWidth="1"/>
    <col min="22" max="22" width="9.81640625" style="1" customWidth="1"/>
    <col min="23" max="23" width="10.54296875" style="1" customWidth="1"/>
    <col min="24" max="24" width="9.453125" style="1" customWidth="1"/>
    <col min="25" max="25" width="9.81640625" style="1" customWidth="1"/>
    <col min="26" max="16384" width="8.7265625" style="1"/>
  </cols>
  <sheetData>
    <row r="1" spans="1:28" x14ac:dyDescent="0.35">
      <c r="O1" s="1" t="s">
        <v>0</v>
      </c>
      <c r="Q1" s="1" t="s">
        <v>1</v>
      </c>
      <c r="R1" s="1" t="s">
        <v>2</v>
      </c>
    </row>
    <row r="2" spans="1:28" x14ac:dyDescent="0.35">
      <c r="G2" s="2" t="s">
        <v>3</v>
      </c>
      <c r="H2" s="2" t="s">
        <v>4</v>
      </c>
      <c r="I2" s="2" t="s">
        <v>5</v>
      </c>
      <c r="O2" s="1" t="s">
        <v>6</v>
      </c>
      <c r="P2" s="1">
        <f>65+0.2/12</f>
        <v>65.016666666666666</v>
      </c>
      <c r="Q2" s="1">
        <v>22.2</v>
      </c>
      <c r="R2" s="1">
        <f>P2/Q2</f>
        <v>2.9286786786786787</v>
      </c>
    </row>
    <row r="3" spans="1:28" x14ac:dyDescent="0.35">
      <c r="G3" s="5" t="s">
        <v>7</v>
      </c>
      <c r="H3" s="17">
        <v>27</v>
      </c>
      <c r="I3" s="6" t="s">
        <v>8</v>
      </c>
    </row>
    <row r="4" spans="1:28" x14ac:dyDescent="0.35">
      <c r="G4" s="5" t="s">
        <v>9</v>
      </c>
      <c r="H4" s="17">
        <v>5</v>
      </c>
      <c r="I4" s="6" t="s">
        <v>10</v>
      </c>
      <c r="O4" s="3" t="s">
        <v>11</v>
      </c>
      <c r="P4" s="3"/>
      <c r="Q4" s="4"/>
    </row>
    <row r="5" spans="1:28" x14ac:dyDescent="0.35">
      <c r="G5" s="5" t="s">
        <v>12</v>
      </c>
      <c r="H5" s="17">
        <v>2</v>
      </c>
      <c r="I5" s="6" t="s">
        <v>13</v>
      </c>
      <c r="O5" s="2" t="s">
        <v>14</v>
      </c>
      <c r="P5" s="117" t="s">
        <v>15</v>
      </c>
      <c r="Q5" s="117"/>
      <c r="R5" s="2" t="s">
        <v>16</v>
      </c>
      <c r="S5" s="2"/>
      <c r="T5" s="2" t="s">
        <v>17</v>
      </c>
      <c r="U5" s="2"/>
      <c r="V5" s="2" t="s">
        <v>18</v>
      </c>
      <c r="W5" s="2"/>
      <c r="X5" s="2" t="s">
        <v>19</v>
      </c>
      <c r="Y5" s="4"/>
      <c r="AA5" s="1" t="s">
        <v>20</v>
      </c>
      <c r="AB5" s="1" t="s">
        <v>19</v>
      </c>
    </row>
    <row r="6" spans="1:28" x14ac:dyDescent="0.35">
      <c r="G6" s="5" t="s">
        <v>21</v>
      </c>
      <c r="H6" s="17">
        <v>57</v>
      </c>
      <c r="I6" s="6" t="s">
        <v>22</v>
      </c>
      <c r="O6" s="2" t="s">
        <v>23</v>
      </c>
      <c r="P6" s="2" t="s">
        <v>24</v>
      </c>
      <c r="Q6" s="2" t="s">
        <v>25</v>
      </c>
      <c r="R6" s="2" t="s">
        <v>26</v>
      </c>
      <c r="S6" s="2" t="s">
        <v>27</v>
      </c>
      <c r="T6" s="2" t="s">
        <v>26</v>
      </c>
      <c r="U6" s="2" t="s">
        <v>27</v>
      </c>
      <c r="V6" s="2" t="s">
        <v>28</v>
      </c>
      <c r="W6" s="2" t="s">
        <v>27</v>
      </c>
      <c r="X6" s="2" t="s">
        <v>27</v>
      </c>
      <c r="Y6" s="1" t="s">
        <v>29</v>
      </c>
    </row>
    <row r="7" spans="1:28" x14ac:dyDescent="0.35">
      <c r="G7" s="5" t="s">
        <v>30</v>
      </c>
      <c r="H7" s="17">
        <v>11</v>
      </c>
      <c r="I7" s="6" t="s">
        <v>31</v>
      </c>
      <c r="O7" s="2">
        <v>1</v>
      </c>
      <c r="P7" s="6">
        <v>0</v>
      </c>
      <c r="Q7" s="6">
        <v>0</v>
      </c>
      <c r="R7" s="6">
        <v>0.15</v>
      </c>
      <c r="S7" s="6">
        <f>R7*$R$2</f>
        <v>0.43930180180180178</v>
      </c>
      <c r="T7" s="6">
        <v>-0.2</v>
      </c>
      <c r="U7" s="18">
        <f>T7*$R$2</f>
        <v>-0.58573573573573579</v>
      </c>
      <c r="V7" s="6">
        <v>0</v>
      </c>
      <c r="W7" s="7">
        <f>V7/2*$R$2</f>
        <v>0</v>
      </c>
      <c r="X7" s="7">
        <f t="shared" ref="X7:X10" si="0">PI()*W7^2</f>
        <v>0</v>
      </c>
      <c r="Y7" s="1">
        <f>X7*1.2</f>
        <v>0</v>
      </c>
      <c r="AA7" s="52">
        <v>0.05</v>
      </c>
      <c r="AB7" s="55">
        <f t="shared" ref="AB7:AB10" si="1">PI()*AA7^2</f>
        <v>7.8539816339744835E-3</v>
      </c>
    </row>
    <row r="8" spans="1:28" x14ac:dyDescent="0.35">
      <c r="G8" s="5" t="s">
        <v>32</v>
      </c>
      <c r="H8" s="17">
        <v>1</v>
      </c>
      <c r="I8" s="6" t="s">
        <v>33</v>
      </c>
      <c r="O8" s="2">
        <v>2</v>
      </c>
      <c r="P8" s="6">
        <v>0.2</v>
      </c>
      <c r="Q8" s="9">
        <f>P8*$R$2</f>
        <v>0.58573573573573579</v>
      </c>
      <c r="R8" s="6">
        <v>0.5</v>
      </c>
      <c r="S8" s="6">
        <f t="shared" ref="S8:S10" si="2">R8*$R$2</f>
        <v>1.4643393393393394</v>
      </c>
      <c r="T8" s="6">
        <v>-0.6</v>
      </c>
      <c r="U8" s="18">
        <f t="shared" ref="U8:U10" si="3">T8*$R$2</f>
        <v>-1.7572072072072071</v>
      </c>
      <c r="V8" s="6">
        <v>0.9</v>
      </c>
      <c r="W8" s="7">
        <f t="shared" ref="W8:W10" si="4">V8/2*$R$2</f>
        <v>1.3179054054054054</v>
      </c>
      <c r="X8" s="7">
        <f t="shared" si="0"/>
        <v>5.4565526645123494</v>
      </c>
      <c r="Y8" s="1">
        <f t="shared" ref="Y8:Y10" si="5">X8*1.2</f>
        <v>6.5478631974148191</v>
      </c>
      <c r="AA8" s="53">
        <v>1.2</v>
      </c>
      <c r="AB8" s="55">
        <f t="shared" si="1"/>
        <v>4.5238934211693023</v>
      </c>
    </row>
    <row r="9" spans="1:28" x14ac:dyDescent="0.35">
      <c r="G9" s="5" t="s">
        <v>34</v>
      </c>
      <c r="H9" s="17">
        <v>50</v>
      </c>
      <c r="I9" s="6" t="s">
        <v>35</v>
      </c>
      <c r="O9" s="2">
        <v>3</v>
      </c>
      <c r="P9" s="6">
        <v>0.9</v>
      </c>
      <c r="Q9" s="9">
        <f t="shared" ref="Q9:Q10" si="6">P9*$R$2</f>
        <v>2.6358108108108107</v>
      </c>
      <c r="R9" s="6">
        <v>1</v>
      </c>
      <c r="S9" s="6">
        <f t="shared" si="2"/>
        <v>2.9286786786786787</v>
      </c>
      <c r="T9" s="6">
        <v>-1.1000000000000001</v>
      </c>
      <c r="U9" s="18">
        <f t="shared" si="3"/>
        <v>-3.2215465465465467</v>
      </c>
      <c r="V9" s="6">
        <v>1.1000000000000001</v>
      </c>
      <c r="W9" s="7">
        <f t="shared" si="4"/>
        <v>1.6107732732732734</v>
      </c>
      <c r="X9" s="7">
        <f t="shared" si="0"/>
        <v>8.1511465729135129</v>
      </c>
      <c r="Y9" s="1">
        <f t="shared" si="5"/>
        <v>9.7813758874962158</v>
      </c>
      <c r="AA9" s="53">
        <f xml:space="preserve"> W9*1.5</f>
        <v>2.41615990990991</v>
      </c>
      <c r="AB9" s="55">
        <f t="shared" si="1"/>
        <v>18.340079789055402</v>
      </c>
    </row>
    <row r="10" spans="1:28" x14ac:dyDescent="0.35">
      <c r="G10" s="5" t="s">
        <v>36</v>
      </c>
      <c r="H10" s="17">
        <v>0</v>
      </c>
      <c r="I10" s="6" t="s">
        <v>37</v>
      </c>
      <c r="O10" s="6">
        <v>4</v>
      </c>
      <c r="P10" s="6">
        <v>1.5</v>
      </c>
      <c r="Q10" s="9">
        <f t="shared" si="6"/>
        <v>4.3930180180180178</v>
      </c>
      <c r="R10" s="6">
        <v>1.3</v>
      </c>
      <c r="S10" s="6">
        <f t="shared" si="2"/>
        <v>3.8072822822822823</v>
      </c>
      <c r="T10" s="6">
        <v>-1.3</v>
      </c>
      <c r="U10" s="18">
        <f t="shared" si="3"/>
        <v>-3.8072822822822823</v>
      </c>
      <c r="V10" s="6">
        <v>1.2</v>
      </c>
      <c r="W10" s="7">
        <f t="shared" si="4"/>
        <v>1.7572072072072071</v>
      </c>
      <c r="X10" s="7">
        <f t="shared" si="0"/>
        <v>9.7005380702441784</v>
      </c>
      <c r="Y10" s="1">
        <f t="shared" si="5"/>
        <v>11.640645684293014</v>
      </c>
      <c r="AA10" s="53">
        <f xml:space="preserve"> W10*1.5</f>
        <v>2.6358108108108107</v>
      </c>
      <c r="AB10" s="55">
        <f t="shared" si="1"/>
        <v>21.826210658049398</v>
      </c>
    </row>
    <row r="11" spans="1:28" x14ac:dyDescent="0.35">
      <c r="O11" s="6">
        <v>5</v>
      </c>
      <c r="P11" s="6">
        <v>2.25</v>
      </c>
      <c r="Q11" s="9">
        <f t="shared" ref="Q11:Q12" si="7">P11*$R$2</f>
        <v>6.5895270270270272</v>
      </c>
      <c r="R11" s="6">
        <v>2.0499999999999998</v>
      </c>
      <c r="S11" s="6">
        <f t="shared" ref="S11:S12" si="8">R11*$R$2</f>
        <v>6.0037912912912912</v>
      </c>
      <c r="T11" s="6">
        <v>-1.5</v>
      </c>
      <c r="U11" s="18">
        <f t="shared" ref="U11:U12" si="9">T11*$R$2</f>
        <v>-4.3930180180180178</v>
      </c>
      <c r="V11" s="6">
        <v>1.5</v>
      </c>
      <c r="W11" s="7">
        <f t="shared" ref="W11:W12" si="10">V11/2*$R$2</f>
        <v>2.1965090090090089</v>
      </c>
      <c r="X11" s="7">
        <f t="shared" ref="X11:X12" si="11">PI()*W11^2</f>
        <v>15.157090734756526</v>
      </c>
      <c r="Y11" s="1">
        <f t="shared" ref="Y11:Y12" si="12">X11*1.2</f>
        <v>18.188508881707829</v>
      </c>
      <c r="AA11" s="53">
        <f t="shared" ref="AA11:AA12" si="13" xml:space="preserve"> W11*1.5</f>
        <v>3.2947635135135132</v>
      </c>
      <c r="AB11" s="8">
        <f t="shared" ref="AB11:AB12" si="14">PI()*AA11^2</f>
        <v>34.103454153202179</v>
      </c>
    </row>
    <row r="12" spans="1:28" x14ac:dyDescent="0.35">
      <c r="G12" s="2" t="s">
        <v>38</v>
      </c>
      <c r="H12" s="2" t="s">
        <v>4</v>
      </c>
      <c r="I12" s="2" t="s">
        <v>5</v>
      </c>
      <c r="O12" s="6">
        <v>6</v>
      </c>
      <c r="P12" s="6">
        <v>9.4499999999999993</v>
      </c>
      <c r="Q12" s="9">
        <f t="shared" si="7"/>
        <v>27.67601351351351</v>
      </c>
      <c r="R12" s="6">
        <v>2.0499999999999998</v>
      </c>
      <c r="S12" s="6">
        <f t="shared" si="8"/>
        <v>6.0037912912912912</v>
      </c>
      <c r="T12" s="6">
        <v>-1.2</v>
      </c>
      <c r="U12" s="18">
        <f t="shared" si="9"/>
        <v>-3.5144144144144143</v>
      </c>
      <c r="V12" s="6">
        <v>1.6</v>
      </c>
      <c r="W12" s="7">
        <f t="shared" si="10"/>
        <v>2.3429429429429431</v>
      </c>
      <c r="X12" s="7">
        <f t="shared" si="11"/>
        <v>17.245401013767431</v>
      </c>
      <c r="Y12" s="1">
        <f t="shared" si="12"/>
        <v>20.694481216520916</v>
      </c>
      <c r="AA12" s="53">
        <f t="shared" si="13"/>
        <v>3.5144144144144147</v>
      </c>
      <c r="AB12" s="8">
        <f t="shared" si="14"/>
        <v>38.802152280976721</v>
      </c>
    </row>
    <row r="13" spans="1:28" x14ac:dyDescent="0.35">
      <c r="A13" s="118" t="s">
        <v>39</v>
      </c>
      <c r="B13" s="118"/>
      <c r="C13" s="118"/>
      <c r="D13" s="118"/>
      <c r="G13" s="5" t="s">
        <v>40</v>
      </c>
      <c r="H13" s="6">
        <v>11.61</v>
      </c>
      <c r="I13" s="6" t="s">
        <v>41</v>
      </c>
      <c r="K13" s="4"/>
      <c r="L13" s="4"/>
      <c r="O13" s="6">
        <v>7</v>
      </c>
      <c r="P13" s="6">
        <v>11.55</v>
      </c>
      <c r="Q13" s="9">
        <f t="shared" ref="Q13:Q21" si="15">P13*$R$2</f>
        <v>33.826238738738738</v>
      </c>
      <c r="R13" s="6">
        <v>2.0499999999999998</v>
      </c>
      <c r="S13" s="6">
        <f t="shared" ref="S13:S21" si="16">R13*$R$2</f>
        <v>6.0037912912912912</v>
      </c>
      <c r="T13" s="6">
        <v>-1</v>
      </c>
      <c r="U13" s="18">
        <f t="shared" ref="U13:U21" si="17">T13*$R$2</f>
        <v>-2.9286786786786787</v>
      </c>
      <c r="V13" s="6">
        <v>1.3</v>
      </c>
      <c r="W13" s="7">
        <f t="shared" ref="W13:W21" si="18">V13/2*$R$2</f>
        <v>1.9036411411411411</v>
      </c>
      <c r="X13" s="7">
        <f t="shared" ref="X13:X21" si="19">PI()*W13^2</f>
        <v>11.384659262994903</v>
      </c>
      <c r="Y13" s="1">
        <f t="shared" ref="Y13:Y21" si="20">X13*1.2</f>
        <v>13.661591115593884</v>
      </c>
      <c r="AA13" s="53">
        <f xml:space="preserve"> W13*1.5</f>
        <v>2.8554617117117118</v>
      </c>
      <c r="AB13" s="55">
        <f t="shared" ref="AB13:AB21" si="21">PI()*AA13^2</f>
        <v>25.615483341738532</v>
      </c>
    </row>
    <row r="14" spans="1:28" x14ac:dyDescent="0.35">
      <c r="A14" s="118"/>
      <c r="B14" s="118"/>
      <c r="C14" s="118"/>
      <c r="D14" s="118"/>
      <c r="G14" s="11" t="s">
        <v>42</v>
      </c>
      <c r="H14" s="6">
        <v>46.92</v>
      </c>
      <c r="I14" s="6" t="s">
        <v>43</v>
      </c>
      <c r="K14" s="16"/>
      <c r="O14" s="6">
        <v>8</v>
      </c>
      <c r="P14" s="6">
        <v>14</v>
      </c>
      <c r="Q14" s="9">
        <f t="shared" si="15"/>
        <v>41.001501501501501</v>
      </c>
      <c r="R14" s="6">
        <v>2.0499999999999998</v>
      </c>
      <c r="S14" s="6">
        <f t="shared" si="16"/>
        <v>6.0037912912912912</v>
      </c>
      <c r="T14" s="6">
        <v>-0.7</v>
      </c>
      <c r="U14" s="18">
        <f t="shared" si="17"/>
        <v>-2.0500750750750751</v>
      </c>
      <c r="V14" s="6">
        <v>1</v>
      </c>
      <c r="W14" s="7">
        <f t="shared" si="18"/>
        <v>1.4643393393393394</v>
      </c>
      <c r="X14" s="7">
        <f t="shared" si="19"/>
        <v>6.7364847710029014</v>
      </c>
      <c r="Y14" s="1">
        <f t="shared" si="20"/>
        <v>8.0837817252034814</v>
      </c>
      <c r="AA14" s="53">
        <f xml:space="preserve"> W14*1.5</f>
        <v>2.1965090090090089</v>
      </c>
      <c r="AB14" s="55">
        <f t="shared" si="21"/>
        <v>15.157090734756526</v>
      </c>
    </row>
    <row r="15" spans="1:28" x14ac:dyDescent="0.35">
      <c r="A15" s="118"/>
      <c r="B15" s="118"/>
      <c r="C15" s="118"/>
      <c r="D15" s="118"/>
      <c r="G15" s="11" t="s">
        <v>44</v>
      </c>
      <c r="H15" s="6">
        <v>46.92</v>
      </c>
      <c r="I15" s="6" t="s">
        <v>45</v>
      </c>
      <c r="K15" s="16"/>
      <c r="O15" s="6">
        <v>9</v>
      </c>
      <c r="P15" s="6">
        <v>16.25</v>
      </c>
      <c r="Q15" s="9">
        <f t="shared" si="15"/>
        <v>47.591028528528525</v>
      </c>
      <c r="R15" s="6">
        <v>2.0499999999999998</v>
      </c>
      <c r="S15" s="6">
        <f t="shared" si="16"/>
        <v>6.0037912912912912</v>
      </c>
      <c r="T15" s="6">
        <v>-0.5</v>
      </c>
      <c r="U15" s="18">
        <f t="shared" si="17"/>
        <v>-1.4643393393393394</v>
      </c>
      <c r="V15" s="6">
        <v>0.7</v>
      </c>
      <c r="W15" s="7">
        <f t="shared" si="18"/>
        <v>1.0250375375375376</v>
      </c>
      <c r="X15" s="7">
        <f t="shared" si="19"/>
        <v>3.3008775377914219</v>
      </c>
      <c r="Y15" s="1">
        <f t="shared" si="20"/>
        <v>3.9610530453497059</v>
      </c>
      <c r="AA15" s="53">
        <f xml:space="preserve"> W15*1.5</f>
        <v>1.5375563063063065</v>
      </c>
      <c r="AB15" s="55">
        <f t="shared" si="21"/>
        <v>7.4269744600307002</v>
      </c>
    </row>
    <row r="16" spans="1:28" x14ac:dyDescent="0.35">
      <c r="A16" s="118"/>
      <c r="B16" s="118"/>
      <c r="C16" s="118"/>
      <c r="D16" s="118"/>
      <c r="G16" s="11" t="s">
        <v>46</v>
      </c>
      <c r="H16" s="6">
        <v>11.61</v>
      </c>
      <c r="I16" s="6" t="s">
        <v>47</v>
      </c>
      <c r="K16" s="16"/>
      <c r="O16" s="6">
        <v>10</v>
      </c>
      <c r="P16" s="6">
        <v>17.55</v>
      </c>
      <c r="Q16" s="9">
        <f t="shared" si="15"/>
        <v>51.398310810810813</v>
      </c>
      <c r="R16" s="6">
        <v>1.95</v>
      </c>
      <c r="S16" s="6">
        <f t="shared" si="16"/>
        <v>5.7109234234234236</v>
      </c>
      <c r="T16" s="6">
        <v>-0.3</v>
      </c>
      <c r="U16" s="18">
        <f t="shared" si="17"/>
        <v>-0.87860360360360357</v>
      </c>
      <c r="V16" s="6">
        <v>0.6</v>
      </c>
      <c r="W16" s="7">
        <f t="shared" si="18"/>
        <v>0.87860360360360357</v>
      </c>
      <c r="X16" s="7">
        <f t="shared" si="19"/>
        <v>2.4251345175610446</v>
      </c>
      <c r="Y16" s="1">
        <f t="shared" si="20"/>
        <v>2.9101614210732536</v>
      </c>
      <c r="AA16" s="53">
        <f xml:space="preserve"> W16*1.5</f>
        <v>1.3179054054054054</v>
      </c>
      <c r="AB16" s="55">
        <f t="shared" si="21"/>
        <v>5.4565526645123494</v>
      </c>
    </row>
    <row r="17" spans="1:28" x14ac:dyDescent="0.35">
      <c r="A17" s="118"/>
      <c r="B17" s="118"/>
      <c r="C17" s="118"/>
      <c r="D17" s="118"/>
      <c r="G17" s="11" t="s">
        <v>48</v>
      </c>
      <c r="H17" s="17">
        <v>0</v>
      </c>
      <c r="I17" s="6" t="s">
        <v>49</v>
      </c>
      <c r="K17" s="16"/>
      <c r="O17" s="6">
        <v>11</v>
      </c>
      <c r="P17" s="6">
        <v>19</v>
      </c>
      <c r="Q17" s="9">
        <f t="shared" si="15"/>
        <v>55.644894894894897</v>
      </c>
      <c r="R17" s="6">
        <v>1.95</v>
      </c>
      <c r="S17" s="6">
        <f t="shared" si="16"/>
        <v>5.7109234234234236</v>
      </c>
      <c r="T17" s="6">
        <v>-0.2</v>
      </c>
      <c r="U17" s="18">
        <f t="shared" si="17"/>
        <v>-0.58573573573573579</v>
      </c>
      <c r="V17" s="6">
        <v>0.5</v>
      </c>
      <c r="W17" s="7">
        <f t="shared" si="18"/>
        <v>0.73216966966966968</v>
      </c>
      <c r="X17" s="7">
        <f t="shared" si="19"/>
        <v>1.6841211927507254</v>
      </c>
      <c r="Y17" s="1">
        <f t="shared" si="20"/>
        <v>2.0209454313008703</v>
      </c>
      <c r="AA17" s="53">
        <f xml:space="preserve"> W17*1.5</f>
        <v>1.0982545045045045</v>
      </c>
      <c r="AB17" s="55">
        <f t="shared" si="21"/>
        <v>3.7892726836891315</v>
      </c>
    </row>
    <row r="18" spans="1:28" x14ac:dyDescent="0.35">
      <c r="A18" s="118"/>
      <c r="B18" s="118"/>
      <c r="C18" s="118"/>
      <c r="D18" s="118"/>
      <c r="G18" s="11" t="s">
        <v>50</v>
      </c>
      <c r="H18" s="6">
        <v>0.25</v>
      </c>
      <c r="I18" s="6" t="s">
        <v>51</v>
      </c>
      <c r="K18" s="16"/>
      <c r="O18" s="6">
        <v>12</v>
      </c>
      <c r="P18" s="6">
        <v>20</v>
      </c>
      <c r="Q18" s="9">
        <f t="shared" si="15"/>
        <v>58.573573573573576</v>
      </c>
      <c r="R18" s="6">
        <v>1.95</v>
      </c>
      <c r="S18" s="6">
        <f t="shared" si="16"/>
        <v>5.7109234234234236</v>
      </c>
      <c r="T18" s="6">
        <v>-0.1</v>
      </c>
      <c r="U18" s="18">
        <f t="shared" si="17"/>
        <v>-0.29286786786786789</v>
      </c>
      <c r="V18" s="6">
        <v>0.3</v>
      </c>
      <c r="W18" s="7">
        <f t="shared" si="18"/>
        <v>0.43930180180180178</v>
      </c>
      <c r="X18" s="7">
        <f t="shared" si="19"/>
        <v>0.60628362939026115</v>
      </c>
      <c r="Y18" s="1">
        <f t="shared" si="20"/>
        <v>0.7275403552683134</v>
      </c>
      <c r="AA18" s="53">
        <v>0.85</v>
      </c>
      <c r="AB18" s="55">
        <f t="shared" si="21"/>
        <v>2.2698006922186251</v>
      </c>
    </row>
    <row r="19" spans="1:28" x14ac:dyDescent="0.35">
      <c r="A19" s="118"/>
      <c r="B19" s="118"/>
      <c r="C19" s="118"/>
      <c r="D19" s="118"/>
      <c r="G19" s="11" t="s">
        <v>52</v>
      </c>
      <c r="H19" s="17">
        <v>0</v>
      </c>
      <c r="I19" s="6" t="s">
        <v>53</v>
      </c>
      <c r="O19" s="6">
        <v>13</v>
      </c>
      <c r="P19" s="6">
        <v>21.4</v>
      </c>
      <c r="Q19" s="9">
        <f t="shared" si="15"/>
        <v>62.673723723723718</v>
      </c>
      <c r="R19" s="6">
        <v>1.95</v>
      </c>
      <c r="S19" s="6">
        <f t="shared" si="16"/>
        <v>5.7109234234234236</v>
      </c>
      <c r="T19" s="6">
        <v>-0.08</v>
      </c>
      <c r="U19" s="18">
        <f t="shared" si="17"/>
        <v>-0.2342942942942943</v>
      </c>
      <c r="V19" s="6">
        <v>0.2</v>
      </c>
      <c r="W19" s="7">
        <f t="shared" si="18"/>
        <v>0.29286786786786789</v>
      </c>
      <c r="X19" s="7">
        <f t="shared" si="19"/>
        <v>0.26945939084011611</v>
      </c>
      <c r="Y19" s="1">
        <f t="shared" si="20"/>
        <v>0.32335126900813932</v>
      </c>
      <c r="AA19" s="53">
        <v>0.5</v>
      </c>
      <c r="AB19" s="55">
        <f t="shared" si="21"/>
        <v>0.78539816339744828</v>
      </c>
    </row>
    <row r="20" spans="1:28" x14ac:dyDescent="0.35">
      <c r="G20" s="11" t="s">
        <v>54</v>
      </c>
      <c r="H20" s="17">
        <v>0</v>
      </c>
      <c r="I20" s="6" t="s">
        <v>55</v>
      </c>
      <c r="K20" s="4"/>
      <c r="L20" s="4"/>
      <c r="O20" s="6">
        <v>14</v>
      </c>
      <c r="P20" s="6">
        <v>21.65</v>
      </c>
      <c r="Q20" s="9">
        <f t="shared" si="15"/>
        <v>63.405893393393391</v>
      </c>
      <c r="R20" s="6">
        <v>1.95</v>
      </c>
      <c r="S20" s="6">
        <f t="shared" si="16"/>
        <v>5.7109234234234236</v>
      </c>
      <c r="T20" s="6">
        <v>-0.05</v>
      </c>
      <c r="U20" s="18">
        <f t="shared" si="17"/>
        <v>-0.14643393393393395</v>
      </c>
      <c r="V20" s="6">
        <v>0.1</v>
      </c>
      <c r="W20" s="7">
        <f t="shared" si="18"/>
        <v>0.14643393393393395</v>
      </c>
      <c r="X20" s="7">
        <f t="shared" si="19"/>
        <v>6.7364847710029027E-2</v>
      </c>
      <c r="Y20" s="1">
        <f t="shared" si="20"/>
        <v>8.083781725203483E-2</v>
      </c>
      <c r="AA20" s="53">
        <f xml:space="preserve"> W20*1.5</f>
        <v>0.21965090090090092</v>
      </c>
      <c r="AB20" s="55">
        <f t="shared" si="21"/>
        <v>0.15157090734756531</v>
      </c>
    </row>
    <row r="21" spans="1:28" x14ac:dyDescent="0.35">
      <c r="G21" s="11" t="s">
        <v>56</v>
      </c>
      <c r="H21" s="17">
        <v>0</v>
      </c>
      <c r="I21" s="6" t="s">
        <v>57</v>
      </c>
      <c r="K21" s="16"/>
      <c r="O21" s="6">
        <v>15</v>
      </c>
      <c r="P21" s="6">
        <v>22.2</v>
      </c>
      <c r="Q21" s="9">
        <f t="shared" si="15"/>
        <v>65.016666666666666</v>
      </c>
      <c r="R21" s="6">
        <v>1.95</v>
      </c>
      <c r="S21" s="6">
        <f t="shared" si="16"/>
        <v>5.7109234234234236</v>
      </c>
      <c r="T21" s="6">
        <v>0</v>
      </c>
      <c r="U21" s="18">
        <f t="shared" si="17"/>
        <v>0</v>
      </c>
      <c r="V21" s="6">
        <v>5.0000000000000001E-3</v>
      </c>
      <c r="W21" s="7">
        <f t="shared" si="18"/>
        <v>7.3216966966966968E-3</v>
      </c>
      <c r="X21" s="7">
        <f t="shared" si="19"/>
        <v>1.6841211927507254E-4</v>
      </c>
      <c r="Y21" s="1">
        <f t="shared" si="20"/>
        <v>2.0209454313008704E-4</v>
      </c>
      <c r="AA21" s="53">
        <v>0.1</v>
      </c>
      <c r="AB21" s="55">
        <f t="shared" si="21"/>
        <v>3.1415926535897934E-2</v>
      </c>
    </row>
    <row r="22" spans="1:28" x14ac:dyDescent="0.35">
      <c r="G22" s="11" t="s">
        <v>58</v>
      </c>
      <c r="H22" s="6">
        <v>0.18</v>
      </c>
      <c r="I22" s="6" t="s">
        <v>59</v>
      </c>
      <c r="K22" s="16"/>
    </row>
    <row r="23" spans="1:28" x14ac:dyDescent="0.35">
      <c r="K23" s="16"/>
    </row>
    <row r="24" spans="1:28" x14ac:dyDescent="0.35">
      <c r="G24" s="12"/>
      <c r="K24" s="16"/>
    </row>
    <row r="25" spans="1:28" x14ac:dyDescent="0.35">
      <c r="K25" s="16"/>
    </row>
    <row r="26" spans="1:28" x14ac:dyDescent="0.35">
      <c r="G26" s="2" t="s">
        <v>60</v>
      </c>
      <c r="H26" s="6"/>
      <c r="I26" s="2" t="s">
        <v>61</v>
      </c>
      <c r="K26" s="16"/>
    </row>
    <row r="27" spans="1:28" x14ac:dyDescent="0.35">
      <c r="G27" s="13" t="s">
        <v>62</v>
      </c>
      <c r="H27" s="6">
        <v>8.67</v>
      </c>
      <c r="I27" s="6" t="s">
        <v>41</v>
      </c>
    </row>
    <row r="28" spans="1:28" x14ac:dyDescent="0.35">
      <c r="G28" s="10" t="s">
        <v>63</v>
      </c>
      <c r="H28" s="6">
        <v>18</v>
      </c>
      <c r="I28" s="6" t="s">
        <v>64</v>
      </c>
      <c r="K28" s="4"/>
      <c r="L28" s="4"/>
    </row>
    <row r="29" spans="1:28" x14ac:dyDescent="0.35">
      <c r="G29" s="10" t="s">
        <v>65</v>
      </c>
      <c r="H29" s="6">
        <v>18</v>
      </c>
      <c r="I29" s="6" t="s">
        <v>45</v>
      </c>
      <c r="K29" s="16"/>
    </row>
    <row r="30" spans="1:28" x14ac:dyDescent="0.35">
      <c r="G30" s="10" t="s">
        <v>66</v>
      </c>
      <c r="H30" s="6">
        <v>8.67</v>
      </c>
      <c r="I30" s="6" t="s">
        <v>67</v>
      </c>
      <c r="K30" s="16"/>
    </row>
    <row r="31" spans="1:28" x14ac:dyDescent="0.35">
      <c r="G31" s="10" t="s">
        <v>68</v>
      </c>
      <c r="H31" s="6">
        <v>0</v>
      </c>
      <c r="I31" s="6" t="s">
        <v>69</v>
      </c>
      <c r="K31" s="16"/>
    </row>
    <row r="32" spans="1:28" x14ac:dyDescent="0.35">
      <c r="G32" s="10" t="s">
        <v>70</v>
      </c>
      <c r="H32" s="6">
        <v>0.25</v>
      </c>
      <c r="I32" s="6" t="s">
        <v>71</v>
      </c>
      <c r="K32" s="16"/>
    </row>
    <row r="33" spans="7:21" x14ac:dyDescent="0.35">
      <c r="G33" s="10" t="s">
        <v>72</v>
      </c>
      <c r="H33" s="6">
        <v>0</v>
      </c>
      <c r="I33" s="6" t="s">
        <v>73</v>
      </c>
      <c r="K33" s="16"/>
    </row>
    <row r="34" spans="7:21" x14ac:dyDescent="0.35">
      <c r="G34" s="10" t="s">
        <v>74</v>
      </c>
      <c r="H34" s="6">
        <v>0</v>
      </c>
      <c r="I34" s="6" t="s">
        <v>55</v>
      </c>
    </row>
    <row r="35" spans="7:21" x14ac:dyDescent="0.35">
      <c r="G35" s="10" t="s">
        <v>75</v>
      </c>
      <c r="H35" s="6">
        <v>0</v>
      </c>
      <c r="I35" s="6" t="s">
        <v>76</v>
      </c>
    </row>
    <row r="36" spans="7:21" x14ac:dyDescent="0.35">
      <c r="H36" s="16"/>
    </row>
    <row r="37" spans="7:21" x14ac:dyDescent="0.35">
      <c r="G37" s="2" t="s">
        <v>77</v>
      </c>
      <c r="H37" s="2"/>
      <c r="I37" s="2" t="s">
        <v>5</v>
      </c>
    </row>
    <row r="38" spans="7:21" x14ac:dyDescent="0.35">
      <c r="G38" s="11" t="s">
        <v>78</v>
      </c>
      <c r="H38" s="6">
        <v>5.9958</v>
      </c>
      <c r="I38" s="6" t="s">
        <v>79</v>
      </c>
      <c r="U38"/>
    </row>
    <row r="39" spans="7:21" x14ac:dyDescent="0.35">
      <c r="G39" s="11" t="s">
        <v>80</v>
      </c>
      <c r="H39" s="6">
        <v>20.3</v>
      </c>
      <c r="I39" s="6" t="s">
        <v>81</v>
      </c>
    </row>
    <row r="40" spans="7:21" x14ac:dyDescent="0.35">
      <c r="G40" s="11" t="s">
        <v>82</v>
      </c>
      <c r="H40" s="6">
        <v>20.3</v>
      </c>
      <c r="I40" s="6" t="s">
        <v>83</v>
      </c>
    </row>
    <row r="41" spans="7:21" x14ac:dyDescent="0.35">
      <c r="G41" s="11" t="s">
        <v>84</v>
      </c>
      <c r="H41" s="6">
        <v>15.83333</v>
      </c>
      <c r="I41" s="6" t="s">
        <v>85</v>
      </c>
    </row>
    <row r="42" spans="7:21" x14ac:dyDescent="0.35">
      <c r="G42" s="11" t="s">
        <v>86</v>
      </c>
      <c r="H42" s="6">
        <v>55</v>
      </c>
      <c r="I42" s="6" t="s">
        <v>49</v>
      </c>
    </row>
    <row r="43" spans="7:21" x14ac:dyDescent="0.35">
      <c r="G43" s="11" t="s">
        <v>87</v>
      </c>
      <c r="H43" s="6">
        <v>0.25</v>
      </c>
      <c r="I43" s="6" t="s">
        <v>88</v>
      </c>
    </row>
  </sheetData>
  <mergeCells count="2">
    <mergeCell ref="P5:Q5"/>
    <mergeCell ref="A13:D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0D25-B10B-49F7-A9F7-B49BBD49DCAE}">
  <dimension ref="A1:J24"/>
  <sheetViews>
    <sheetView zoomScale="54" workbookViewId="0">
      <selection activeCell="A23" sqref="A23:J25"/>
    </sheetView>
  </sheetViews>
  <sheetFormatPr defaultColWidth="8.7265625" defaultRowHeight="14.5" x14ac:dyDescent="0.35"/>
  <cols>
    <col min="1" max="1" width="20.26953125" style="1" customWidth="1"/>
    <col min="2" max="2" width="12.54296875" style="1" customWidth="1"/>
    <col min="3" max="5" width="8.7265625" style="1"/>
    <col min="6" max="6" width="11.81640625" style="1" customWidth="1"/>
    <col min="7" max="7" width="12" style="1" customWidth="1"/>
    <col min="8" max="8" width="14.6328125" style="1" customWidth="1"/>
    <col min="9" max="16384" width="8.7265625" style="1"/>
  </cols>
  <sheetData>
    <row r="1" spans="1:10" x14ac:dyDescent="0.35">
      <c r="A1" s="2" t="s">
        <v>89</v>
      </c>
      <c r="B1" s="2" t="s">
        <v>90</v>
      </c>
      <c r="C1" s="2" t="s">
        <v>91</v>
      </c>
      <c r="D1" s="2" t="s">
        <v>92</v>
      </c>
      <c r="E1" s="2" t="s">
        <v>93</v>
      </c>
    </row>
    <row r="2" spans="1:10" x14ac:dyDescent="0.35">
      <c r="A2" s="6">
        <v>1621</v>
      </c>
      <c r="B2" s="6">
        <v>180</v>
      </c>
      <c r="C2" s="6">
        <v>8.34</v>
      </c>
      <c r="D2" s="6">
        <v>8.5</v>
      </c>
      <c r="E2" s="6">
        <v>37000</v>
      </c>
    </row>
    <row r="4" spans="1:10" ht="16.5" x14ac:dyDescent="0.35">
      <c r="B4" s="2" t="s">
        <v>94</v>
      </c>
      <c r="C4" s="2" t="s">
        <v>95</v>
      </c>
      <c r="D4" s="2" t="s">
        <v>96</v>
      </c>
      <c r="E4" s="2" t="s">
        <v>97</v>
      </c>
      <c r="F4" s="2" t="s">
        <v>98</v>
      </c>
      <c r="G4" s="2" t="s">
        <v>99</v>
      </c>
      <c r="H4" s="2" t="s">
        <v>345</v>
      </c>
      <c r="I4" s="2" t="s">
        <v>100</v>
      </c>
      <c r="J4" s="2" t="s">
        <v>101</v>
      </c>
    </row>
    <row r="5" spans="1:10" x14ac:dyDescent="0.35">
      <c r="A5" s="117" t="s">
        <v>102</v>
      </c>
      <c r="B5" s="6">
        <v>150</v>
      </c>
      <c r="C5" s="6">
        <v>0.15</v>
      </c>
      <c r="D5" s="6">
        <v>5</v>
      </c>
      <c r="E5" s="120" t="s">
        <v>103</v>
      </c>
      <c r="F5" s="119">
        <f>A2*C2+B2*D2</f>
        <v>15049.14</v>
      </c>
      <c r="G5" s="119">
        <v>28660</v>
      </c>
      <c r="H5" s="119">
        <f>F5+G5</f>
        <v>43709.14</v>
      </c>
      <c r="I5" s="123">
        <v>25.64</v>
      </c>
      <c r="J5" s="123">
        <v>1.2</v>
      </c>
    </row>
    <row r="6" spans="1:10" x14ac:dyDescent="0.35">
      <c r="A6" s="117"/>
      <c r="B6" s="6">
        <v>250</v>
      </c>
      <c r="C6" s="6">
        <v>0.17</v>
      </c>
      <c r="D6" s="6">
        <v>7</v>
      </c>
      <c r="E6" s="120"/>
      <c r="F6" s="119"/>
      <c r="G6" s="119"/>
      <c r="H6" s="119"/>
      <c r="I6" s="124"/>
      <c r="J6" s="124"/>
    </row>
    <row r="7" spans="1:10" x14ac:dyDescent="0.35">
      <c r="A7" s="119"/>
      <c r="B7" s="119"/>
      <c r="C7" s="119"/>
      <c r="D7" s="119"/>
      <c r="E7" s="119"/>
      <c r="F7" s="119"/>
      <c r="G7" s="119"/>
      <c r="H7" s="119"/>
      <c r="I7" s="6"/>
      <c r="J7" s="6"/>
    </row>
    <row r="8" spans="1:10" x14ac:dyDescent="0.35">
      <c r="A8" s="117" t="s">
        <v>104</v>
      </c>
      <c r="B8" s="6">
        <v>100</v>
      </c>
      <c r="C8" s="6">
        <v>0.14000000000000001</v>
      </c>
      <c r="D8" s="6">
        <v>7</v>
      </c>
      <c r="E8" s="121" t="s">
        <v>105</v>
      </c>
      <c r="F8" s="119">
        <f>F5/2</f>
        <v>7524.57</v>
      </c>
      <c r="G8" s="119">
        <v>28660</v>
      </c>
      <c r="H8" s="119">
        <f>F8+G8</f>
        <v>36184.57</v>
      </c>
      <c r="I8" s="123">
        <v>25.98</v>
      </c>
      <c r="J8" s="123">
        <v>1.2</v>
      </c>
    </row>
    <row r="9" spans="1:10" x14ac:dyDescent="0.35">
      <c r="A9" s="117"/>
      <c r="B9" s="6">
        <v>150</v>
      </c>
      <c r="C9" s="6">
        <v>0.16</v>
      </c>
      <c r="D9" s="6">
        <v>9</v>
      </c>
      <c r="E9" s="121"/>
      <c r="F9" s="119"/>
      <c r="G9" s="119"/>
      <c r="H9" s="119"/>
      <c r="I9" s="124"/>
      <c r="J9" s="124"/>
    </row>
    <row r="10" spans="1:10" x14ac:dyDescent="0.35">
      <c r="A10" s="119"/>
      <c r="B10" s="119"/>
      <c r="C10" s="119"/>
      <c r="D10" s="119"/>
      <c r="E10" s="119"/>
      <c r="F10" s="119"/>
      <c r="G10" s="119"/>
      <c r="H10" s="119"/>
      <c r="I10" s="6"/>
      <c r="J10" s="6"/>
    </row>
    <row r="11" spans="1:10" x14ac:dyDescent="0.35">
      <c r="A11" s="117" t="s">
        <v>106</v>
      </c>
      <c r="B11" s="6">
        <v>300</v>
      </c>
      <c r="C11" s="6">
        <v>0.17</v>
      </c>
      <c r="D11" s="6">
        <v>3</v>
      </c>
      <c r="E11" s="122" t="s">
        <v>107</v>
      </c>
      <c r="F11" s="119">
        <v>0</v>
      </c>
      <c r="G11" s="119">
        <v>28660</v>
      </c>
      <c r="H11" s="119">
        <f>F11+G11</f>
        <v>28660</v>
      </c>
      <c r="I11" s="123">
        <v>26.5</v>
      </c>
      <c r="J11" s="123">
        <v>1.2</v>
      </c>
    </row>
    <row r="12" spans="1:10" x14ac:dyDescent="0.35">
      <c r="A12" s="117"/>
      <c r="B12" s="6">
        <v>500</v>
      </c>
      <c r="C12" s="6">
        <v>0.25</v>
      </c>
      <c r="D12" s="6">
        <v>5</v>
      </c>
      <c r="E12" s="122"/>
      <c r="F12" s="119"/>
      <c r="G12" s="119"/>
      <c r="H12" s="119"/>
      <c r="I12" s="124"/>
      <c r="J12" s="124"/>
    </row>
    <row r="17" spans="1:10" x14ac:dyDescent="0.35">
      <c r="B17" s="1" t="s">
        <v>347</v>
      </c>
    </row>
    <row r="18" spans="1:10" x14ac:dyDescent="0.35">
      <c r="A18" s="1" t="s">
        <v>346</v>
      </c>
      <c r="B18" s="1">
        <v>-2.63</v>
      </c>
    </row>
    <row r="19" spans="1:10" x14ac:dyDescent="0.35">
      <c r="A19" s="1" t="s">
        <v>348</v>
      </c>
      <c r="B19" s="1">
        <v>5.2</v>
      </c>
    </row>
    <row r="23" spans="1:10" ht="16.5" x14ac:dyDescent="0.35">
      <c r="B23" s="2" t="s">
        <v>94</v>
      </c>
      <c r="C23" s="2" t="s">
        <v>95</v>
      </c>
      <c r="D23" s="2" t="s">
        <v>96</v>
      </c>
      <c r="E23" s="2" t="s">
        <v>97</v>
      </c>
      <c r="F23" s="2" t="s">
        <v>98</v>
      </c>
      <c r="G23" s="2" t="s">
        <v>99</v>
      </c>
      <c r="H23" s="2" t="s">
        <v>345</v>
      </c>
      <c r="I23" s="2" t="s">
        <v>100</v>
      </c>
      <c r="J23" s="2" t="s">
        <v>101</v>
      </c>
    </row>
    <row r="24" spans="1:10" x14ac:dyDescent="0.35">
      <c r="A24" s="2" t="s">
        <v>102</v>
      </c>
      <c r="B24" s="6">
        <v>250</v>
      </c>
      <c r="C24" s="6">
        <v>0.17</v>
      </c>
      <c r="D24" s="6">
        <v>7</v>
      </c>
      <c r="E24" s="22" t="s">
        <v>103</v>
      </c>
      <c r="F24" s="6">
        <f>F5</f>
        <v>15049.14</v>
      </c>
      <c r="G24" s="6">
        <v>28660</v>
      </c>
      <c r="H24" s="6">
        <f>F24+G24</f>
        <v>43709.14</v>
      </c>
      <c r="I24" s="6">
        <v>25.64</v>
      </c>
      <c r="J24" s="6">
        <v>1.2</v>
      </c>
    </row>
  </sheetData>
  <mergeCells count="23">
    <mergeCell ref="H5:H6"/>
    <mergeCell ref="I5:I6"/>
    <mergeCell ref="I8:I9"/>
    <mergeCell ref="I11:I12"/>
    <mergeCell ref="J5:J6"/>
    <mergeCell ref="J8:J9"/>
    <mergeCell ref="J11:J12"/>
    <mergeCell ref="G11:G12"/>
    <mergeCell ref="H8:H9"/>
    <mergeCell ref="H11:H12"/>
    <mergeCell ref="A7:H7"/>
    <mergeCell ref="A5:A6"/>
    <mergeCell ref="E5:E6"/>
    <mergeCell ref="A8:A9"/>
    <mergeCell ref="A11:A12"/>
    <mergeCell ref="E8:E9"/>
    <mergeCell ref="E11:E12"/>
    <mergeCell ref="A10:H10"/>
    <mergeCell ref="F5:F6"/>
    <mergeCell ref="F8:F9"/>
    <mergeCell ref="F11:F12"/>
    <mergeCell ref="G5:G6"/>
    <mergeCell ref="G8:G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290E-9CF3-4CE5-8D97-A89579861962}">
  <dimension ref="B3:AA49"/>
  <sheetViews>
    <sheetView topLeftCell="C1" zoomScale="36" workbookViewId="0">
      <selection activeCell="V85" sqref="V85"/>
    </sheetView>
  </sheetViews>
  <sheetFormatPr defaultRowHeight="14.5" x14ac:dyDescent="0.35"/>
  <cols>
    <col min="6" max="6" width="20.453125" customWidth="1"/>
  </cols>
  <sheetData>
    <row r="3" spans="2:27" x14ac:dyDescent="0.35">
      <c r="B3" s="1"/>
      <c r="C3" s="1"/>
      <c r="D3" s="1"/>
      <c r="E3" s="1"/>
      <c r="F3" s="1"/>
      <c r="G3" s="1"/>
      <c r="H3" s="1"/>
      <c r="I3" s="1"/>
      <c r="J3" s="1"/>
      <c r="K3" s="1"/>
      <c r="L3" s="1" t="s">
        <v>0</v>
      </c>
      <c r="M3" s="1"/>
      <c r="N3" s="1" t="s">
        <v>1</v>
      </c>
      <c r="O3" s="1" t="s">
        <v>2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x14ac:dyDescent="0.35">
      <c r="B4" s="1"/>
      <c r="C4" s="1"/>
      <c r="D4" s="2" t="s">
        <v>3</v>
      </c>
      <c r="E4" s="2" t="s">
        <v>4</v>
      </c>
      <c r="F4" s="2" t="s">
        <v>5</v>
      </c>
      <c r="G4" s="1"/>
      <c r="H4" s="1"/>
      <c r="I4" s="1"/>
      <c r="J4" s="1"/>
      <c r="K4" s="1"/>
      <c r="L4" s="1" t="s">
        <v>6</v>
      </c>
      <c r="M4" s="1">
        <f>65+0.2/12</f>
        <v>65.016666666666666</v>
      </c>
      <c r="N4" s="1">
        <v>22.2</v>
      </c>
      <c r="O4" s="1">
        <f>M4/N4</f>
        <v>2.9286786786786787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 x14ac:dyDescent="0.35">
      <c r="B5" s="1"/>
      <c r="C5" s="1"/>
      <c r="D5" s="5" t="s">
        <v>7</v>
      </c>
      <c r="E5" s="17">
        <v>27</v>
      </c>
      <c r="F5" s="6" t="s">
        <v>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 x14ac:dyDescent="0.35">
      <c r="B6" s="1"/>
      <c r="C6" s="1"/>
      <c r="D6" s="5" t="s">
        <v>9</v>
      </c>
      <c r="E6" s="17">
        <v>5</v>
      </c>
      <c r="F6" s="6" t="s">
        <v>10</v>
      </c>
      <c r="G6" s="1"/>
      <c r="H6" s="1"/>
      <c r="I6" s="1"/>
      <c r="J6" s="1"/>
      <c r="K6" s="1"/>
      <c r="L6" s="3" t="s">
        <v>11</v>
      </c>
      <c r="M6" s="3"/>
      <c r="N6" s="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 x14ac:dyDescent="0.35">
      <c r="B7" s="1"/>
      <c r="C7" s="1"/>
      <c r="D7" s="5" t="s">
        <v>12</v>
      </c>
      <c r="E7" s="17">
        <v>2</v>
      </c>
      <c r="F7" s="6" t="s">
        <v>13</v>
      </c>
      <c r="G7" s="1"/>
      <c r="H7" s="1"/>
      <c r="I7" s="1"/>
      <c r="J7" s="1"/>
      <c r="K7" s="1"/>
      <c r="R7" s="4"/>
      <c r="S7" s="4"/>
      <c r="T7" s="4"/>
      <c r="U7" s="4"/>
      <c r="V7" s="4"/>
      <c r="W7" s="1"/>
      <c r="X7" s="1"/>
      <c r="Y7" s="1"/>
      <c r="Z7" s="1"/>
      <c r="AA7" s="1"/>
    </row>
    <row r="8" spans="2:27" x14ac:dyDescent="0.35">
      <c r="B8" s="1"/>
      <c r="C8" s="1"/>
      <c r="D8" s="5" t="s">
        <v>21</v>
      </c>
      <c r="E8" s="17">
        <v>56.3</v>
      </c>
      <c r="F8" s="6" t="s">
        <v>22</v>
      </c>
      <c r="G8" s="1"/>
      <c r="H8" s="1"/>
      <c r="I8" s="1"/>
      <c r="J8" s="1"/>
      <c r="K8" s="1"/>
      <c r="L8" s="2" t="s">
        <v>14</v>
      </c>
      <c r="M8" s="58" t="s">
        <v>15</v>
      </c>
      <c r="N8" s="58" t="s">
        <v>16</v>
      </c>
      <c r="O8" s="2" t="s">
        <v>17</v>
      </c>
      <c r="P8" s="2" t="s">
        <v>18</v>
      </c>
      <c r="Q8" s="2" t="s">
        <v>19</v>
      </c>
      <c r="R8" s="4"/>
      <c r="S8" s="4"/>
      <c r="T8" s="4"/>
      <c r="U8" s="4"/>
      <c r="V8" s="1"/>
      <c r="W8" s="1"/>
      <c r="X8" s="1"/>
      <c r="Y8" s="1"/>
      <c r="Z8" s="1"/>
      <c r="AA8" s="1"/>
    </row>
    <row r="9" spans="2:27" x14ac:dyDescent="0.35">
      <c r="B9" s="1"/>
      <c r="C9" s="1"/>
      <c r="D9" s="5" t="s">
        <v>30</v>
      </c>
      <c r="E9" s="17">
        <v>11</v>
      </c>
      <c r="F9" s="6" t="s">
        <v>31</v>
      </c>
      <c r="G9" s="1"/>
      <c r="H9" s="1"/>
      <c r="I9" s="1"/>
      <c r="J9" s="1"/>
      <c r="K9" s="1"/>
      <c r="L9" s="2">
        <v>1</v>
      </c>
      <c r="M9" s="6">
        <v>0</v>
      </c>
      <c r="N9" s="6">
        <v>0.439</v>
      </c>
      <c r="O9" s="6">
        <v>-0.5857</v>
      </c>
      <c r="P9" s="6">
        <v>0.05</v>
      </c>
      <c r="Q9" s="6">
        <v>8.0000000000000002E-3</v>
      </c>
      <c r="R9" s="1"/>
      <c r="S9" s="1"/>
      <c r="T9" s="8"/>
      <c r="U9" s="8"/>
      <c r="V9" s="1"/>
      <c r="W9" s="1"/>
      <c r="X9" s="1"/>
      <c r="Y9" s="56"/>
      <c r="Z9" s="1"/>
      <c r="AA9" s="1"/>
    </row>
    <row r="10" spans="2:27" x14ac:dyDescent="0.35">
      <c r="B10" s="1"/>
      <c r="C10" s="1"/>
      <c r="D10" s="5" t="s">
        <v>32</v>
      </c>
      <c r="E10" s="17">
        <v>1</v>
      </c>
      <c r="F10" s="6" t="s">
        <v>33</v>
      </c>
      <c r="G10" s="1"/>
      <c r="H10" s="1"/>
      <c r="I10" s="1"/>
      <c r="J10" s="1"/>
      <c r="K10" s="1"/>
      <c r="L10" s="2">
        <v>2</v>
      </c>
      <c r="M10" s="6">
        <v>0.7</v>
      </c>
      <c r="N10" s="9">
        <v>1.464</v>
      </c>
      <c r="O10" s="6">
        <v>-1.7572000000000001</v>
      </c>
      <c r="P10" s="6">
        <v>1.2</v>
      </c>
      <c r="Q10" s="6">
        <v>4.5199999999999996</v>
      </c>
      <c r="R10" s="1"/>
      <c r="S10" s="1"/>
      <c r="T10" s="8"/>
      <c r="U10" s="8"/>
      <c r="V10" s="1"/>
      <c r="W10" s="1"/>
      <c r="X10" s="57"/>
      <c r="Y10" s="56"/>
      <c r="Z10" s="1"/>
      <c r="AA10" s="1"/>
    </row>
    <row r="11" spans="2:27" x14ac:dyDescent="0.35">
      <c r="B11" s="1"/>
      <c r="C11" s="1"/>
      <c r="D11" s="5" t="s">
        <v>34</v>
      </c>
      <c r="E11" s="17">
        <v>50</v>
      </c>
      <c r="F11" s="6" t="s">
        <v>35</v>
      </c>
      <c r="G11" s="1"/>
      <c r="H11" s="1"/>
      <c r="I11" s="1"/>
      <c r="J11" s="1"/>
      <c r="K11" s="1"/>
      <c r="L11" s="2">
        <v>3</v>
      </c>
      <c r="M11" s="6">
        <v>2.6379999999999999</v>
      </c>
      <c r="N11" s="9">
        <v>2.9289999999999998</v>
      </c>
      <c r="O11" s="6">
        <v>-3.2214999999999998</v>
      </c>
      <c r="P11" s="6">
        <v>2.42</v>
      </c>
      <c r="Q11" s="6">
        <v>18.3</v>
      </c>
      <c r="R11" s="1"/>
      <c r="S11" s="1"/>
      <c r="T11" s="8"/>
      <c r="U11" s="8"/>
      <c r="V11" s="1"/>
      <c r="W11" s="1"/>
      <c r="X11" s="57"/>
      <c r="Y11" s="56"/>
      <c r="Z11" s="1"/>
      <c r="AA11" s="1"/>
    </row>
    <row r="12" spans="2:27" x14ac:dyDescent="0.35">
      <c r="B12" s="1"/>
      <c r="C12" s="1"/>
      <c r="D12" s="5" t="s">
        <v>36</v>
      </c>
      <c r="E12" s="77">
        <v>0</v>
      </c>
      <c r="F12" s="6" t="s">
        <v>37</v>
      </c>
      <c r="G12" s="1"/>
      <c r="H12" s="1"/>
      <c r="I12" s="1"/>
      <c r="J12" s="1"/>
      <c r="K12" s="1"/>
      <c r="L12" s="6">
        <v>4</v>
      </c>
      <c r="M12" s="6">
        <v>4.3929999999999998</v>
      </c>
      <c r="N12" s="9">
        <v>3.8069999999999999</v>
      </c>
      <c r="O12" s="6">
        <v>-3.8073000000000001</v>
      </c>
      <c r="P12" s="6">
        <v>2.64</v>
      </c>
      <c r="Q12" s="6">
        <v>21.8</v>
      </c>
      <c r="R12" s="1"/>
      <c r="S12" s="1"/>
      <c r="T12" s="8"/>
      <c r="U12" s="8"/>
      <c r="V12" s="1"/>
      <c r="W12" s="1"/>
      <c r="X12" s="57"/>
      <c r="Y12" s="56"/>
      <c r="Z12" s="1"/>
      <c r="AA12" s="1"/>
    </row>
    <row r="13" spans="2:27" x14ac:dyDescent="0.35">
      <c r="B13" s="1"/>
      <c r="C13" s="1"/>
      <c r="D13" s="1"/>
      <c r="E13" s="1">
        <v>5.0999999999999996</v>
      </c>
      <c r="F13" s="1"/>
      <c r="G13" s="1"/>
      <c r="H13" s="1"/>
      <c r="I13" s="1"/>
      <c r="J13" s="1"/>
      <c r="K13" s="1"/>
      <c r="L13" s="6">
        <v>5</v>
      </c>
      <c r="M13" s="6">
        <v>6.5895000000000001</v>
      </c>
      <c r="N13" s="9">
        <v>6.0039999999999996</v>
      </c>
      <c r="O13" s="6">
        <v>-4.3930199999999999</v>
      </c>
      <c r="P13" s="6">
        <v>3.29</v>
      </c>
      <c r="Q13" s="6">
        <v>34.1</v>
      </c>
      <c r="R13" s="1"/>
      <c r="S13" s="1"/>
      <c r="T13" s="8"/>
      <c r="U13" s="8"/>
      <c r="V13" s="1"/>
      <c r="W13" s="1"/>
      <c r="X13" s="57"/>
      <c r="Y13" s="8"/>
      <c r="Z13" s="1"/>
      <c r="AA13" s="1"/>
    </row>
    <row r="14" spans="2:27" x14ac:dyDescent="0.35">
      <c r="B14" s="1"/>
      <c r="C14" s="1"/>
      <c r="D14" s="2" t="s">
        <v>38</v>
      </c>
      <c r="E14" s="2" t="s">
        <v>4</v>
      </c>
      <c r="F14" s="2" t="s">
        <v>5</v>
      </c>
      <c r="G14" s="1"/>
      <c r="H14" s="1"/>
      <c r="I14" s="1"/>
      <c r="J14" s="1"/>
      <c r="K14" s="1"/>
      <c r="L14" s="6">
        <v>6</v>
      </c>
      <c r="M14" s="6">
        <v>27.675999999999998</v>
      </c>
      <c r="N14" s="9">
        <v>6.0039999999999996</v>
      </c>
      <c r="O14" s="6">
        <v>-3.5144000000000002</v>
      </c>
      <c r="P14" s="6">
        <v>3.51</v>
      </c>
      <c r="Q14" s="6">
        <v>38.799999999999997</v>
      </c>
      <c r="R14" s="1"/>
      <c r="S14" s="1"/>
      <c r="T14" s="8"/>
      <c r="U14" s="8"/>
      <c r="V14" s="1"/>
      <c r="W14" s="1"/>
      <c r="X14" s="57"/>
      <c r="Y14" s="8"/>
      <c r="Z14" s="1"/>
      <c r="AA14" s="1"/>
    </row>
    <row r="15" spans="2:27" x14ac:dyDescent="0.35">
      <c r="B15" s="1"/>
      <c r="C15" s="1"/>
      <c r="D15" s="5" t="s">
        <v>40</v>
      </c>
      <c r="E15" s="6">
        <v>11.61</v>
      </c>
      <c r="F15" s="6" t="s">
        <v>41</v>
      </c>
      <c r="G15" s="1"/>
      <c r="H15" s="2" t="s">
        <v>108</v>
      </c>
      <c r="I15" s="2"/>
      <c r="J15" s="1"/>
      <c r="K15" s="1"/>
      <c r="L15" s="6">
        <v>7</v>
      </c>
      <c r="M15" s="6">
        <v>33.8262</v>
      </c>
      <c r="N15" s="9">
        <v>6.0039999999999996</v>
      </c>
      <c r="O15" s="6">
        <v>-2.9287000000000001</v>
      </c>
      <c r="P15" s="6">
        <v>2.86</v>
      </c>
      <c r="Q15" s="6">
        <v>25.6</v>
      </c>
      <c r="R15" s="1"/>
      <c r="S15" s="1"/>
      <c r="T15" s="8"/>
      <c r="U15" s="8"/>
      <c r="V15" s="1"/>
      <c r="W15" s="1"/>
      <c r="X15" s="57"/>
      <c r="Y15" s="56"/>
      <c r="Z15" s="1"/>
      <c r="AA15" s="1"/>
    </row>
    <row r="16" spans="2:27" x14ac:dyDescent="0.35">
      <c r="B16" s="1"/>
      <c r="C16" s="1"/>
      <c r="D16" s="11" t="s">
        <v>42</v>
      </c>
      <c r="E16" s="6">
        <v>46.92</v>
      </c>
      <c r="F16" s="6" t="s">
        <v>43</v>
      </c>
      <c r="G16" s="1"/>
      <c r="H16" s="10" t="s">
        <v>109</v>
      </c>
      <c r="I16" s="6"/>
      <c r="J16" s="1"/>
      <c r="K16" s="1"/>
      <c r="L16" s="6">
        <v>8</v>
      </c>
      <c r="M16" s="6">
        <v>41.0015</v>
      </c>
      <c r="N16" s="9">
        <v>6.0039999999999996</v>
      </c>
      <c r="O16" s="6">
        <v>-2.0499999999999998</v>
      </c>
      <c r="P16" s="6">
        <v>2.2000000000000002</v>
      </c>
      <c r="Q16" s="6">
        <v>15.2</v>
      </c>
      <c r="R16" s="1"/>
      <c r="S16" s="1"/>
      <c r="T16" s="8"/>
      <c r="U16" s="8"/>
      <c r="V16" s="1"/>
      <c r="W16" s="1"/>
      <c r="X16" s="57"/>
      <c r="Y16" s="56"/>
      <c r="Z16" s="1"/>
      <c r="AA16" s="1"/>
    </row>
    <row r="17" spans="2:27" x14ac:dyDescent="0.35">
      <c r="B17" s="1"/>
      <c r="C17" s="1"/>
      <c r="D17" s="11" t="s">
        <v>44</v>
      </c>
      <c r="E17" s="6">
        <v>46.92</v>
      </c>
      <c r="F17" s="6" t="s">
        <v>45</v>
      </c>
      <c r="G17" s="1"/>
      <c r="H17" s="10" t="s">
        <v>110</v>
      </c>
      <c r="I17" s="6"/>
      <c r="J17" s="1"/>
      <c r="K17" s="1"/>
      <c r="L17" s="6">
        <v>9</v>
      </c>
      <c r="M17" s="6">
        <v>47.591000000000001</v>
      </c>
      <c r="N17" s="9">
        <v>6.0039999999999996</v>
      </c>
      <c r="O17" s="6">
        <v>-1.464</v>
      </c>
      <c r="P17" s="6">
        <v>1.53</v>
      </c>
      <c r="Q17" s="6">
        <v>7.4</v>
      </c>
      <c r="R17" s="1"/>
      <c r="S17" s="1"/>
      <c r="T17" s="8"/>
      <c r="U17" s="8"/>
      <c r="V17" s="1"/>
      <c r="W17" s="1"/>
      <c r="X17" s="57"/>
      <c r="Y17" s="56"/>
      <c r="Z17" s="1"/>
      <c r="AA17" s="1"/>
    </row>
    <row r="18" spans="2:27" x14ac:dyDescent="0.35">
      <c r="B18" s="1"/>
      <c r="C18" s="1"/>
      <c r="D18" s="11" t="s">
        <v>46</v>
      </c>
      <c r="E18" s="6">
        <v>11.61</v>
      </c>
      <c r="F18" s="6" t="s">
        <v>47</v>
      </c>
      <c r="G18" s="1"/>
      <c r="H18" s="10" t="s">
        <v>111</v>
      </c>
      <c r="I18" s="6"/>
      <c r="J18" s="1"/>
      <c r="K18" s="1"/>
      <c r="L18" s="6">
        <v>10</v>
      </c>
      <c r="M18" s="6">
        <v>51.398299999999999</v>
      </c>
      <c r="N18" s="9">
        <v>5.7108999999999996</v>
      </c>
      <c r="O18" s="6">
        <v>-0.87860000000000005</v>
      </c>
      <c r="P18" s="6">
        <v>1.32</v>
      </c>
      <c r="Q18" s="6">
        <v>5.5</v>
      </c>
      <c r="R18" s="1"/>
      <c r="S18" s="1"/>
      <c r="T18" s="8"/>
      <c r="U18" s="8"/>
      <c r="V18" s="1"/>
      <c r="W18" s="1"/>
      <c r="X18" s="57"/>
      <c r="Y18" s="56"/>
      <c r="Z18" s="1"/>
      <c r="AA18" s="1"/>
    </row>
    <row r="19" spans="2:27" x14ac:dyDescent="0.35">
      <c r="B19" s="1"/>
      <c r="C19" s="1"/>
      <c r="D19" s="11" t="s">
        <v>48</v>
      </c>
      <c r="E19" s="17">
        <v>0</v>
      </c>
      <c r="F19" s="6" t="s">
        <v>49</v>
      </c>
      <c r="G19" s="1"/>
      <c r="H19" s="10" t="s">
        <v>112</v>
      </c>
      <c r="I19" s="6"/>
      <c r="J19" s="1"/>
      <c r="K19" s="1"/>
      <c r="L19" s="6">
        <v>11</v>
      </c>
      <c r="M19" s="6">
        <v>55.6449</v>
      </c>
      <c r="N19" s="9">
        <v>5.7108999999999996</v>
      </c>
      <c r="O19" s="6">
        <v>-0.5857</v>
      </c>
      <c r="P19" s="6">
        <v>1.1000000000000001</v>
      </c>
      <c r="Q19" s="6">
        <v>3.8</v>
      </c>
      <c r="R19" s="1"/>
      <c r="S19" s="1"/>
      <c r="T19" s="8"/>
      <c r="U19" s="8"/>
      <c r="V19" s="1"/>
      <c r="W19" s="1"/>
      <c r="X19" s="57"/>
      <c r="Y19" s="56"/>
      <c r="Z19" s="1"/>
      <c r="AA19" s="1"/>
    </row>
    <row r="20" spans="2:27" x14ac:dyDescent="0.35">
      <c r="B20" s="1"/>
      <c r="C20" s="1"/>
      <c r="D20" s="11" t="s">
        <v>50</v>
      </c>
      <c r="E20" s="6">
        <v>0.25</v>
      </c>
      <c r="F20" s="6" t="s">
        <v>51</v>
      </c>
      <c r="G20" s="1"/>
      <c r="H20" s="10" t="s">
        <v>113</v>
      </c>
      <c r="I20" s="6"/>
      <c r="J20" s="1"/>
      <c r="K20" s="1"/>
      <c r="L20" s="6">
        <v>12</v>
      </c>
      <c r="M20" s="6">
        <v>58.573599999999999</v>
      </c>
      <c r="N20" s="9">
        <v>5.7108999999999996</v>
      </c>
      <c r="O20" s="6">
        <v>-0.29287000000000002</v>
      </c>
      <c r="P20" s="6">
        <v>0.85</v>
      </c>
      <c r="Q20" s="6">
        <v>2.2999999999999998</v>
      </c>
      <c r="R20" s="1"/>
      <c r="S20" s="1"/>
      <c r="T20" s="8"/>
      <c r="U20" s="8"/>
      <c r="V20" s="1"/>
      <c r="W20" s="1"/>
      <c r="X20" s="57"/>
      <c r="Y20" s="56"/>
      <c r="Z20" s="1"/>
      <c r="AA20" s="1"/>
    </row>
    <row r="21" spans="2:27" x14ac:dyDescent="0.35">
      <c r="B21" s="1"/>
      <c r="C21" s="1"/>
      <c r="D21" s="11" t="s">
        <v>52</v>
      </c>
      <c r="E21" s="17">
        <v>0</v>
      </c>
      <c r="F21" s="6" t="s">
        <v>53</v>
      </c>
      <c r="G21" s="1"/>
      <c r="H21" s="1"/>
      <c r="I21" s="1"/>
      <c r="J21" s="1"/>
      <c r="K21" s="1"/>
      <c r="L21" s="6">
        <v>13</v>
      </c>
      <c r="M21" s="6">
        <v>62.673699999999997</v>
      </c>
      <c r="N21" s="9">
        <v>5.7108999999999996</v>
      </c>
      <c r="O21" s="6">
        <v>-0.23430000000000001</v>
      </c>
      <c r="P21" s="6">
        <v>0.5</v>
      </c>
      <c r="Q21" s="6">
        <v>0.79</v>
      </c>
      <c r="R21" s="1"/>
      <c r="S21" s="1"/>
      <c r="T21" s="8"/>
      <c r="U21" s="8"/>
      <c r="V21" s="1"/>
      <c r="W21" s="1"/>
      <c r="X21" s="57"/>
      <c r="Y21" s="56"/>
      <c r="Z21" s="1"/>
      <c r="AA21" s="1"/>
    </row>
    <row r="22" spans="2:27" x14ac:dyDescent="0.35">
      <c r="B22" s="1"/>
      <c r="C22" s="1"/>
      <c r="D22" s="11" t="s">
        <v>54</v>
      </c>
      <c r="E22" s="17">
        <v>0</v>
      </c>
      <c r="F22" s="6" t="s">
        <v>55</v>
      </c>
      <c r="G22" s="1"/>
      <c r="H22" s="2" t="s">
        <v>114</v>
      </c>
      <c r="I22" s="2"/>
      <c r="J22" s="1"/>
      <c r="K22" s="1"/>
      <c r="L22" s="6">
        <v>14</v>
      </c>
      <c r="M22" s="6">
        <v>63.405900000000003</v>
      </c>
      <c r="N22" s="9">
        <v>5.7108999999999996</v>
      </c>
      <c r="O22" s="6">
        <v>-0.1464</v>
      </c>
      <c r="P22" s="6">
        <v>0.22</v>
      </c>
      <c r="Q22" s="6">
        <v>0.15</v>
      </c>
      <c r="R22" s="1"/>
      <c r="S22" s="1"/>
      <c r="T22" s="8"/>
      <c r="U22" s="8"/>
      <c r="V22" s="1"/>
      <c r="W22" s="1"/>
      <c r="X22" s="57"/>
      <c r="Y22" s="56"/>
      <c r="Z22" s="1"/>
      <c r="AA22" s="1"/>
    </row>
    <row r="23" spans="2:27" x14ac:dyDescent="0.35">
      <c r="B23" s="1"/>
      <c r="C23" s="1"/>
      <c r="D23" s="11" t="s">
        <v>56</v>
      </c>
      <c r="E23" s="17">
        <v>0</v>
      </c>
      <c r="F23" s="6" t="s">
        <v>57</v>
      </c>
      <c r="G23" s="1"/>
      <c r="H23" s="10" t="s">
        <v>115</v>
      </c>
      <c r="I23" s="6"/>
      <c r="J23" s="1"/>
      <c r="K23" s="1"/>
      <c r="L23" s="6">
        <v>15</v>
      </c>
      <c r="M23" s="6">
        <v>65.0167</v>
      </c>
      <c r="N23" s="9">
        <v>5.7108999999999996</v>
      </c>
      <c r="O23" s="6">
        <v>0</v>
      </c>
      <c r="P23" s="6">
        <v>0.1</v>
      </c>
      <c r="Q23" s="6">
        <v>3.1399999999999997E-2</v>
      </c>
      <c r="R23" s="1"/>
      <c r="S23" s="1"/>
      <c r="T23" s="8"/>
      <c r="U23" s="8"/>
      <c r="V23" s="1"/>
      <c r="W23" s="1"/>
      <c r="X23" s="57"/>
      <c r="Y23" s="56"/>
      <c r="Z23" s="1"/>
      <c r="AA23" s="1"/>
    </row>
    <row r="24" spans="2:27" x14ac:dyDescent="0.35">
      <c r="B24" s="1"/>
      <c r="C24" s="1"/>
      <c r="D24" s="11" t="s">
        <v>58</v>
      </c>
      <c r="E24" s="6">
        <v>0.18</v>
      </c>
      <c r="F24" s="6" t="s">
        <v>59</v>
      </c>
      <c r="G24" s="1"/>
      <c r="H24" s="10" t="s">
        <v>116</v>
      </c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x14ac:dyDescent="0.35">
      <c r="B25" s="1"/>
      <c r="C25" s="1"/>
      <c r="D25" s="1"/>
      <c r="E25" s="1"/>
      <c r="F25" s="1"/>
      <c r="G25" s="1"/>
      <c r="H25" s="10" t="s">
        <v>117</v>
      </c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x14ac:dyDescent="0.35">
      <c r="B26" s="1"/>
      <c r="C26" s="1"/>
      <c r="D26" s="12"/>
      <c r="E26" s="1"/>
      <c r="F26" s="1"/>
      <c r="G26" s="1"/>
      <c r="H26" s="10" t="s">
        <v>118</v>
      </c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x14ac:dyDescent="0.35">
      <c r="B27" s="1"/>
      <c r="C27" s="1"/>
      <c r="D27" s="1"/>
      <c r="E27" s="1"/>
      <c r="F27" s="1"/>
      <c r="G27" s="1"/>
      <c r="H27" s="10" t="s">
        <v>119</v>
      </c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x14ac:dyDescent="0.35">
      <c r="B28" s="1"/>
      <c r="C28" s="1"/>
      <c r="D28" s="2" t="s">
        <v>60</v>
      </c>
      <c r="E28" s="6"/>
      <c r="F28" s="2" t="s">
        <v>61</v>
      </c>
      <c r="G28" s="1"/>
      <c r="H28" s="10" t="s">
        <v>120</v>
      </c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x14ac:dyDescent="0.35">
      <c r="B29" s="1"/>
      <c r="C29" s="1"/>
      <c r="D29" s="13" t="s">
        <v>62</v>
      </c>
      <c r="E29" s="6">
        <v>8.67</v>
      </c>
      <c r="F29" s="6" t="s">
        <v>41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x14ac:dyDescent="0.35">
      <c r="B30" s="1"/>
      <c r="C30" s="1"/>
      <c r="D30" s="10" t="s">
        <v>63</v>
      </c>
      <c r="E30" s="6">
        <v>18</v>
      </c>
      <c r="F30" s="6" t="s">
        <v>64</v>
      </c>
      <c r="G30" s="1"/>
      <c r="H30" s="14" t="s">
        <v>121</v>
      </c>
      <c r="I30" s="1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x14ac:dyDescent="0.35">
      <c r="B31" s="1"/>
      <c r="C31" s="1"/>
      <c r="D31" s="10" t="s">
        <v>65</v>
      </c>
      <c r="E31" s="6">
        <v>18</v>
      </c>
      <c r="F31" s="6" t="s">
        <v>45</v>
      </c>
      <c r="G31" s="1"/>
      <c r="H31" s="10" t="s">
        <v>122</v>
      </c>
      <c r="I31" s="6"/>
      <c r="J31" s="1"/>
      <c r="K31" s="1"/>
      <c r="L31" s="1"/>
      <c r="M31" s="1"/>
      <c r="N31" s="16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x14ac:dyDescent="0.35">
      <c r="B32" s="1"/>
      <c r="C32" s="1"/>
      <c r="D32" s="10" t="s">
        <v>66</v>
      </c>
      <c r="E32" s="6">
        <v>8.67</v>
      </c>
      <c r="F32" s="6" t="s">
        <v>67</v>
      </c>
      <c r="G32" s="1"/>
      <c r="H32" s="10" t="s">
        <v>123</v>
      </c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x14ac:dyDescent="0.35">
      <c r="B33" s="1"/>
      <c r="C33" s="1"/>
      <c r="D33" s="10" t="s">
        <v>68</v>
      </c>
      <c r="E33" s="6">
        <v>0</v>
      </c>
      <c r="F33" s="6" t="s">
        <v>69</v>
      </c>
      <c r="G33" s="1"/>
      <c r="H33" s="10" t="s">
        <v>124</v>
      </c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x14ac:dyDescent="0.35">
      <c r="B34" s="1"/>
      <c r="C34" s="1"/>
      <c r="D34" s="10" t="s">
        <v>70</v>
      </c>
      <c r="E34" s="6">
        <v>0.25</v>
      </c>
      <c r="F34" s="6" t="s">
        <v>71</v>
      </c>
      <c r="G34" s="1"/>
      <c r="H34" s="10" t="s">
        <v>125</v>
      </c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x14ac:dyDescent="0.35">
      <c r="B35" s="1"/>
      <c r="C35" s="1"/>
      <c r="D35" s="10" t="s">
        <v>72</v>
      </c>
      <c r="E35" s="6">
        <v>0</v>
      </c>
      <c r="F35" s="6" t="s">
        <v>73</v>
      </c>
      <c r="G35" s="1"/>
      <c r="H35" s="10" t="s">
        <v>126</v>
      </c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x14ac:dyDescent="0.35">
      <c r="B36" s="1"/>
      <c r="C36" s="1"/>
      <c r="D36" s="10" t="s">
        <v>74</v>
      </c>
      <c r="E36" s="6">
        <v>0</v>
      </c>
      <c r="F36" s="6" t="s">
        <v>55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x14ac:dyDescent="0.35">
      <c r="B37" s="1"/>
      <c r="C37" s="1"/>
      <c r="D37" s="10" t="s">
        <v>75</v>
      </c>
      <c r="E37" s="6">
        <v>0</v>
      </c>
      <c r="F37" s="6" t="s">
        <v>76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x14ac:dyDescent="0.35">
      <c r="B38" s="1"/>
      <c r="C38" s="1"/>
      <c r="D38" s="1"/>
      <c r="E38" s="16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x14ac:dyDescent="0.35">
      <c r="B39" s="1"/>
      <c r="C39" s="1"/>
      <c r="D39" s="2" t="s">
        <v>77</v>
      </c>
      <c r="E39" s="2"/>
      <c r="F39" s="2" t="s">
        <v>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x14ac:dyDescent="0.35">
      <c r="B40" s="1"/>
      <c r="C40" s="1"/>
      <c r="D40" s="11" t="s">
        <v>78</v>
      </c>
      <c r="E40" s="6">
        <v>5.9958</v>
      </c>
      <c r="F40" s="6" t="s">
        <v>79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S40" s="1"/>
      <c r="T40" s="1"/>
      <c r="U40" s="1"/>
      <c r="V40" s="1"/>
      <c r="W40" s="1"/>
      <c r="X40" s="1"/>
      <c r="Y40" s="1"/>
      <c r="Z40" s="1"/>
      <c r="AA40" s="1"/>
    </row>
    <row r="41" spans="2:27" x14ac:dyDescent="0.35">
      <c r="B41" s="1"/>
      <c r="C41" s="1"/>
      <c r="D41" s="11" t="s">
        <v>80</v>
      </c>
      <c r="E41" s="6">
        <v>20.3</v>
      </c>
      <c r="F41" s="6" t="s">
        <v>81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x14ac:dyDescent="0.35">
      <c r="B42" s="1"/>
      <c r="C42" s="1"/>
      <c r="D42" s="11" t="s">
        <v>82</v>
      </c>
      <c r="E42" s="6">
        <v>20.3</v>
      </c>
      <c r="F42" s="6" t="s">
        <v>83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x14ac:dyDescent="0.35">
      <c r="B43" s="1"/>
      <c r="C43" s="1"/>
      <c r="D43" s="11" t="s">
        <v>84</v>
      </c>
      <c r="E43" s="6">
        <v>15.83333</v>
      </c>
      <c r="F43" s="6" t="s">
        <v>85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x14ac:dyDescent="0.35">
      <c r="B44" s="1"/>
      <c r="C44" s="1"/>
      <c r="D44" s="11" t="s">
        <v>86</v>
      </c>
      <c r="E44" s="6">
        <v>55</v>
      </c>
      <c r="F44" s="6" t="s">
        <v>49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x14ac:dyDescent="0.35">
      <c r="B45" s="1"/>
      <c r="C45" s="1"/>
      <c r="D45" s="11" t="s">
        <v>87</v>
      </c>
      <c r="E45" s="6">
        <v>0.25</v>
      </c>
      <c r="F45" s="6" t="s">
        <v>88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1860D-127C-4C0F-AB07-C9558DB8810D}">
  <sheetPr>
    <pageSetUpPr fitToPage="1"/>
  </sheetPr>
  <dimension ref="B1:O21"/>
  <sheetViews>
    <sheetView zoomScale="62" workbookViewId="0">
      <selection activeCell="H33" sqref="H33"/>
    </sheetView>
  </sheetViews>
  <sheetFormatPr defaultRowHeight="14.5" x14ac:dyDescent="0.35"/>
  <cols>
    <col min="3" max="3" width="10.26953125" customWidth="1"/>
    <col min="5" max="5" width="10.54296875" customWidth="1"/>
    <col min="7" max="9" width="12.7265625" customWidth="1"/>
    <col min="11" max="11" width="12.7265625" customWidth="1"/>
  </cols>
  <sheetData>
    <row r="1" spans="2:15" ht="16.5" x14ac:dyDescent="0.35">
      <c r="B1" s="1" t="s">
        <v>0</v>
      </c>
      <c r="C1" s="1"/>
      <c r="D1" s="1" t="s">
        <v>1</v>
      </c>
      <c r="E1" s="1" t="s">
        <v>2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</row>
    <row r="2" spans="2:15" x14ac:dyDescent="0.35">
      <c r="B2" s="1" t="s">
        <v>6</v>
      </c>
      <c r="C2" s="1">
        <f>65+0.2/12</f>
        <v>65.016666666666666</v>
      </c>
      <c r="D2" s="1">
        <v>22.2</v>
      </c>
      <c r="E2" s="1">
        <f>C2/D2</f>
        <v>2.9286786786786787</v>
      </c>
      <c r="F2">
        <v>11.61</v>
      </c>
      <c r="G2">
        <f>2.1*E2</f>
        <v>6.1502252252252259</v>
      </c>
      <c r="H2">
        <v>21.29</v>
      </c>
      <c r="I2">
        <v>0.28299999999999997</v>
      </c>
      <c r="J2">
        <v>1023.95</v>
      </c>
      <c r="K2">
        <v>11.61</v>
      </c>
    </row>
    <row r="4" spans="2:15" ht="16.5" x14ac:dyDescent="0.35">
      <c r="B4" s="30" t="s">
        <v>133</v>
      </c>
      <c r="C4" s="2" t="s">
        <v>134</v>
      </c>
      <c r="D4" s="30" t="s">
        <v>135</v>
      </c>
      <c r="E4" s="2" t="s">
        <v>136</v>
      </c>
      <c r="F4" s="33" t="s">
        <v>137</v>
      </c>
      <c r="G4" s="26" t="s">
        <v>138</v>
      </c>
      <c r="H4" s="36" t="s">
        <v>139</v>
      </c>
      <c r="I4" s="26" t="s">
        <v>140</v>
      </c>
      <c r="J4" s="30" t="s">
        <v>141</v>
      </c>
      <c r="K4" s="2" t="s">
        <v>142</v>
      </c>
      <c r="L4" s="30" t="s">
        <v>143</v>
      </c>
      <c r="M4" s="30" t="s">
        <v>144</v>
      </c>
      <c r="N4" s="111" t="s">
        <v>145</v>
      </c>
      <c r="O4" s="30" t="s">
        <v>146</v>
      </c>
    </row>
    <row r="5" spans="2:15" x14ac:dyDescent="0.35">
      <c r="B5" s="30">
        <v>1</v>
      </c>
      <c r="C5" s="6">
        <v>0.8</v>
      </c>
      <c r="D5" s="35">
        <f>(C5*$E$2)^2</f>
        <v>5.489381633886139</v>
      </c>
      <c r="E5" s="6">
        <v>0.55000000000000004</v>
      </c>
      <c r="F5" s="31">
        <f>E5*$E$2</f>
        <v>1.6107732732732734</v>
      </c>
      <c r="G5" s="9">
        <v>3.8</v>
      </c>
      <c r="H5" s="37">
        <f>G5*$E$2</f>
        <v>11.128978978978978</v>
      </c>
      <c r="I5" s="29">
        <f>H5/$F$2</f>
        <v>0.9585683875089559</v>
      </c>
      <c r="J5" s="32">
        <v>0.2</v>
      </c>
      <c r="K5" s="134"/>
      <c r="L5" s="135"/>
      <c r="M5" s="136"/>
      <c r="N5" s="112">
        <f>1+J5</f>
        <v>1.2</v>
      </c>
      <c r="O5" s="59">
        <f>D5*F5*N5</f>
        <v>10.610579067193159</v>
      </c>
    </row>
    <row r="6" spans="2:15" x14ac:dyDescent="0.35">
      <c r="B6" s="30">
        <v>2</v>
      </c>
      <c r="C6" s="6">
        <v>1.2</v>
      </c>
      <c r="D6" s="35">
        <f t="shared" ref="D6:D14" si="0">(C6*$E$2)^2</f>
        <v>12.351108676243811</v>
      </c>
      <c r="E6" s="6">
        <v>0.65</v>
      </c>
      <c r="F6" s="31">
        <f t="shared" ref="F6:F14" si="1">E6*$E$2</f>
        <v>1.9036411411411411</v>
      </c>
      <c r="G6" s="9">
        <v>3.2</v>
      </c>
      <c r="H6" s="37">
        <f t="shared" ref="H6:H7" si="2">G6*$E$2</f>
        <v>9.3717717717717726</v>
      </c>
      <c r="I6" s="29">
        <f t="shared" ref="I6:I8" si="3">H6/$F$2</f>
        <v>0.80721548421806832</v>
      </c>
      <c r="J6" s="32">
        <v>0.25</v>
      </c>
      <c r="K6" s="137"/>
      <c r="L6" s="118"/>
      <c r="M6" s="138"/>
      <c r="N6" s="112">
        <f t="shared" ref="N6:N8" si="4">1+J6</f>
        <v>1.25</v>
      </c>
      <c r="O6" s="59">
        <f t="shared" ref="O6:O14" si="5">D6*F6*N6</f>
        <v>29.39009826850377</v>
      </c>
    </row>
    <row r="7" spans="2:15" x14ac:dyDescent="0.35">
      <c r="B7" s="30">
        <f>B6+1</f>
        <v>3</v>
      </c>
      <c r="C7" s="6">
        <v>1.5</v>
      </c>
      <c r="D7" s="35">
        <f t="shared" si="0"/>
        <v>19.298607306630952</v>
      </c>
      <c r="E7" s="6">
        <v>0.7</v>
      </c>
      <c r="F7" s="31">
        <f t="shared" si="1"/>
        <v>2.0500750750750751</v>
      </c>
      <c r="G7" s="9">
        <v>2.5</v>
      </c>
      <c r="H7" s="37">
        <f t="shared" si="2"/>
        <v>7.321696696696697</v>
      </c>
      <c r="I7" s="29">
        <f t="shared" si="3"/>
        <v>0.63063709704536586</v>
      </c>
      <c r="J7" s="32">
        <v>0.3</v>
      </c>
      <c r="K7" s="137"/>
      <c r="L7" s="118"/>
      <c r="M7" s="138"/>
      <c r="N7" s="112">
        <f t="shared" si="4"/>
        <v>1.3</v>
      </c>
      <c r="O7" s="59">
        <f t="shared" si="5"/>
        <v>51.432671969881596</v>
      </c>
    </row>
    <row r="8" spans="2:15" x14ac:dyDescent="0.35">
      <c r="B8" s="30">
        <f t="shared" ref="B8:B13" si="6">B7+1</f>
        <v>4</v>
      </c>
      <c r="C8" s="6">
        <v>1.6</v>
      </c>
      <c r="D8" s="35">
        <f t="shared" si="0"/>
        <v>21.957526535544556</v>
      </c>
      <c r="E8" s="6">
        <v>2.0499999999999998</v>
      </c>
      <c r="F8" s="31">
        <f t="shared" si="1"/>
        <v>6.0037912912912912</v>
      </c>
      <c r="G8" s="9">
        <v>1</v>
      </c>
      <c r="H8" s="37">
        <f>G2</f>
        <v>6.1502252252252259</v>
      </c>
      <c r="I8" s="29">
        <f t="shared" si="3"/>
        <v>0.52973516151810729</v>
      </c>
      <c r="J8" s="32">
        <v>1.25</v>
      </c>
      <c r="K8" s="139"/>
      <c r="L8" s="140"/>
      <c r="M8" s="141"/>
      <c r="N8" s="112">
        <f t="shared" si="4"/>
        <v>2.25</v>
      </c>
      <c r="O8" s="59">
        <f t="shared" si="5"/>
        <v>296.61391483289964</v>
      </c>
    </row>
    <row r="9" spans="2:15" x14ac:dyDescent="0.35">
      <c r="B9" s="30">
        <f t="shared" si="6"/>
        <v>5</v>
      </c>
      <c r="C9" s="6">
        <v>1.2</v>
      </c>
      <c r="D9" s="35">
        <f t="shared" si="0"/>
        <v>12.351108676243811</v>
      </c>
      <c r="E9" s="6">
        <v>1</v>
      </c>
      <c r="F9" s="31">
        <f t="shared" si="1"/>
        <v>2.9286786786786787</v>
      </c>
      <c r="G9" s="125"/>
      <c r="H9" s="126"/>
      <c r="I9" s="126"/>
      <c r="J9" s="127"/>
      <c r="K9" s="28">
        <v>0.5</v>
      </c>
      <c r="L9" s="34">
        <f>K9*$E$2</f>
        <v>1.4643393393393394</v>
      </c>
      <c r="M9" s="31">
        <f>L9/$H$2</f>
        <v>6.8780617160138072E-2</v>
      </c>
      <c r="N9" s="113">
        <f>M9*$I$2</f>
        <v>1.9464914656319072E-2</v>
      </c>
      <c r="O9" s="59">
        <f t="shared" si="5"/>
        <v>0.70409323635354681</v>
      </c>
    </row>
    <row r="10" spans="2:15" x14ac:dyDescent="0.35">
      <c r="B10" s="30">
        <f t="shared" si="6"/>
        <v>6</v>
      </c>
      <c r="C10" s="6">
        <v>0.95</v>
      </c>
      <c r="D10" s="35">
        <f t="shared" si="0"/>
        <v>7.7408858196597485</v>
      </c>
      <c r="E10" s="6">
        <v>1</v>
      </c>
      <c r="F10" s="31">
        <f t="shared" si="1"/>
        <v>2.9286786786786787</v>
      </c>
      <c r="G10" s="128"/>
      <c r="H10" s="129"/>
      <c r="I10" s="129"/>
      <c r="J10" s="130"/>
      <c r="K10" s="28">
        <v>1.5</v>
      </c>
      <c r="L10" s="34">
        <f t="shared" ref="L10:L14" si="7">K10*$E$2</f>
        <v>4.3930180180180178</v>
      </c>
      <c r="M10" s="31">
        <f t="shared" ref="M10:M14" si="8">L10/$H$2</f>
        <v>0.20634185148041417</v>
      </c>
      <c r="N10" s="113">
        <f t="shared" ref="N10:N14" si="9">M10*$I$2</f>
        <v>5.8394743968957205E-2</v>
      </c>
      <c r="O10" s="59">
        <f t="shared" si="5"/>
        <v>1.3238419704355746</v>
      </c>
    </row>
    <row r="11" spans="2:15" x14ac:dyDescent="0.35">
      <c r="B11" s="30">
        <f t="shared" si="6"/>
        <v>7</v>
      </c>
      <c r="C11" s="6">
        <v>0.7</v>
      </c>
      <c r="D11" s="35">
        <f t="shared" si="0"/>
        <v>4.2028078134440747</v>
      </c>
      <c r="E11" s="6">
        <v>1.1000000000000001</v>
      </c>
      <c r="F11" s="31">
        <f t="shared" si="1"/>
        <v>3.2215465465465467</v>
      </c>
      <c r="G11" s="128"/>
      <c r="H11" s="129"/>
      <c r="I11" s="129"/>
      <c r="J11" s="130"/>
      <c r="K11" s="28">
        <v>2.5499999999999998</v>
      </c>
      <c r="L11" s="34">
        <f t="shared" si="7"/>
        <v>7.4681306306306299</v>
      </c>
      <c r="M11" s="31">
        <f t="shared" si="8"/>
        <v>0.35078114751670408</v>
      </c>
      <c r="N11" s="113">
        <f t="shared" si="9"/>
        <v>9.9271064747227244E-2</v>
      </c>
      <c r="O11" s="59">
        <f t="shared" si="5"/>
        <v>1.3440846509807394</v>
      </c>
    </row>
    <row r="12" spans="2:15" x14ac:dyDescent="0.35">
      <c r="B12" s="30">
        <f t="shared" si="6"/>
        <v>8</v>
      </c>
      <c r="C12" s="6">
        <v>0.5</v>
      </c>
      <c r="D12" s="35">
        <f t="shared" si="0"/>
        <v>2.1442897007367727</v>
      </c>
      <c r="E12" s="6">
        <v>1</v>
      </c>
      <c r="F12" s="31">
        <f t="shared" si="1"/>
        <v>2.9286786786786787</v>
      </c>
      <c r="G12" s="128"/>
      <c r="H12" s="129"/>
      <c r="I12" s="129"/>
      <c r="J12" s="130"/>
      <c r="K12" s="28">
        <v>3.65</v>
      </c>
      <c r="L12" s="34">
        <f t="shared" si="7"/>
        <v>10.689677177177177</v>
      </c>
      <c r="M12" s="31">
        <f t="shared" si="8"/>
        <v>0.5020985052690079</v>
      </c>
      <c r="N12" s="113">
        <f t="shared" si="9"/>
        <v>0.14209387699112921</v>
      </c>
      <c r="O12" s="59">
        <f t="shared" si="5"/>
        <v>0.89234038635084933</v>
      </c>
    </row>
    <row r="13" spans="2:15" x14ac:dyDescent="0.35">
      <c r="B13" s="30">
        <f t="shared" si="6"/>
        <v>9</v>
      </c>
      <c r="C13" s="6">
        <v>0.3</v>
      </c>
      <c r="D13" s="35">
        <f t="shared" si="0"/>
        <v>0.7719442922652382</v>
      </c>
      <c r="E13" s="6">
        <v>0.75</v>
      </c>
      <c r="F13" s="31">
        <f t="shared" si="1"/>
        <v>2.1965090090090089</v>
      </c>
      <c r="G13" s="128"/>
      <c r="H13" s="129"/>
      <c r="I13" s="129"/>
      <c r="J13" s="130"/>
      <c r="K13" s="28">
        <v>4.5999999999999996</v>
      </c>
      <c r="L13" s="34">
        <f t="shared" si="7"/>
        <v>13.47192192192192</v>
      </c>
      <c r="M13" s="31">
        <f t="shared" si="8"/>
        <v>0.63278167787327011</v>
      </c>
      <c r="N13" s="113">
        <f t="shared" si="9"/>
        <v>0.17907721483813543</v>
      </c>
      <c r="O13" s="59">
        <f t="shared" si="5"/>
        <v>0.30364020817746706</v>
      </c>
    </row>
    <row r="14" spans="2:15" x14ac:dyDescent="0.35">
      <c r="B14" s="32">
        <v>10</v>
      </c>
      <c r="C14" s="6">
        <v>0.1</v>
      </c>
      <c r="D14" s="35">
        <f t="shared" si="0"/>
        <v>8.5771588029470922E-2</v>
      </c>
      <c r="E14" s="6">
        <v>0.9</v>
      </c>
      <c r="F14" s="31">
        <f t="shared" si="1"/>
        <v>2.6358108108108107</v>
      </c>
      <c r="G14" s="131"/>
      <c r="H14" s="132"/>
      <c r="I14" s="132"/>
      <c r="J14" s="133"/>
      <c r="K14" s="28">
        <v>5.4</v>
      </c>
      <c r="L14" s="34">
        <f t="shared" si="7"/>
        <v>15.814864864864866</v>
      </c>
      <c r="M14" s="31">
        <f t="shared" si="8"/>
        <v>0.74283066532949116</v>
      </c>
      <c r="N14" s="113">
        <f t="shared" si="9"/>
        <v>0.21022107828824599</v>
      </c>
      <c r="O14" s="59">
        <f t="shared" si="5"/>
        <v>4.7526293453864422E-2</v>
      </c>
    </row>
    <row r="15" spans="2:15" x14ac:dyDescent="0.35">
      <c r="O15" s="59">
        <f>SUM(O5:O14)</f>
        <v>392.66279088423022</v>
      </c>
    </row>
    <row r="19" spans="14:15" x14ac:dyDescent="0.35">
      <c r="N19" s="38" t="s">
        <v>147</v>
      </c>
    </row>
    <row r="20" spans="14:15" x14ac:dyDescent="0.35">
      <c r="N20" t="s">
        <v>148</v>
      </c>
      <c r="O20" t="s">
        <v>149</v>
      </c>
    </row>
    <row r="21" spans="14:15" x14ac:dyDescent="0.35">
      <c r="N21">
        <f>(PI()/(2*J2*K2))*O15</f>
        <v>5.188342719768365E-2</v>
      </c>
      <c r="O21">
        <f>N21*PI()/180</f>
        <v>9.0553663181835455E-4</v>
      </c>
    </row>
  </sheetData>
  <mergeCells count="2">
    <mergeCell ref="G9:J14"/>
    <mergeCell ref="K5:M8"/>
  </mergeCells>
  <phoneticPr fontId="11" type="noConversion"/>
  <pageMargins left="0.7" right="0.7" top="0.75" bottom="0.75" header="0.3" footer="0.3"/>
  <pageSetup paperSize="9" scale="8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42E9-369E-43AF-8994-930EB6711CB9}">
  <dimension ref="A1:X46"/>
  <sheetViews>
    <sheetView zoomScale="49" workbookViewId="0">
      <selection activeCell="AH42" sqref="AB29:AH42"/>
    </sheetView>
  </sheetViews>
  <sheetFormatPr defaultColWidth="8.7265625" defaultRowHeight="14.5" x14ac:dyDescent="0.35"/>
  <cols>
    <col min="1" max="1" width="8.7265625" style="1" customWidth="1"/>
    <col min="2" max="2" width="12.7265625" style="1" customWidth="1"/>
    <col min="3" max="3" width="10.453125" style="1" customWidth="1"/>
    <col min="4" max="4" width="11.81640625" style="1" customWidth="1"/>
    <col min="5" max="6" width="10.7265625" style="1" bestFit="1" customWidth="1"/>
    <col min="7" max="7" width="11.1796875" style="1" customWidth="1"/>
    <col min="8" max="12" width="8.7265625" style="1"/>
    <col min="13" max="13" width="8.7265625" style="1" customWidth="1"/>
    <col min="14" max="22" width="8.7265625" style="1"/>
    <col min="23" max="23" width="11.26953125" style="1" customWidth="1"/>
    <col min="24" max="24" width="10.1796875" style="1" customWidth="1"/>
    <col min="25" max="16384" width="8.7265625" style="1"/>
  </cols>
  <sheetData>
    <row r="1" spans="1:24" x14ac:dyDescent="0.35">
      <c r="A1" s="148" t="s">
        <v>150</v>
      </c>
      <c r="B1" s="148"/>
    </row>
    <row r="2" spans="1:24" x14ac:dyDescent="0.35">
      <c r="C2" s="117" t="s">
        <v>151</v>
      </c>
      <c r="D2" s="117"/>
      <c r="E2" s="117" t="s">
        <v>152</v>
      </c>
      <c r="F2" s="117"/>
    </row>
    <row r="3" spans="1:24" x14ac:dyDescent="0.3">
      <c r="C3" s="19" t="s">
        <v>148</v>
      </c>
      <c r="D3" s="19" t="s">
        <v>149</v>
      </c>
      <c r="E3" s="19" t="s">
        <v>153</v>
      </c>
      <c r="F3" s="19" t="s">
        <v>154</v>
      </c>
      <c r="I3" s="119" t="s">
        <v>155</v>
      </c>
      <c r="J3" s="15" t="s">
        <v>156</v>
      </c>
      <c r="K3" s="2" t="s">
        <v>157</v>
      </c>
      <c r="L3" s="23" t="s">
        <v>158</v>
      </c>
      <c r="M3" s="23" t="s">
        <v>159</v>
      </c>
      <c r="N3" s="2" t="s">
        <v>160</v>
      </c>
      <c r="O3" s="2" t="s">
        <v>161</v>
      </c>
      <c r="P3" s="2" t="s">
        <v>162</v>
      </c>
      <c r="Q3" s="2" t="s">
        <v>163</v>
      </c>
      <c r="R3" s="2" t="s">
        <v>164</v>
      </c>
      <c r="S3" s="2" t="s">
        <v>165</v>
      </c>
      <c r="T3" s="26" t="s">
        <v>166</v>
      </c>
      <c r="U3" s="26" t="s">
        <v>167</v>
      </c>
      <c r="W3" s="1" t="s">
        <v>168</v>
      </c>
      <c r="X3" s="1" t="s">
        <v>169</v>
      </c>
    </row>
    <row r="4" spans="1:24" ht="16.5" x14ac:dyDescent="0.35">
      <c r="B4" s="27" t="s">
        <v>170</v>
      </c>
      <c r="C4" s="20">
        <f>(2*PI()*N4)/(2+SQRT(((N4^2*M4^2)/O4^2)*(1+(TAN(Q4)^2)/M4^2)+4))</f>
        <v>5.0464454042892166</v>
      </c>
      <c r="D4" s="20">
        <f>C4*PI()/180</f>
        <v>8.8077087826983202E-2</v>
      </c>
      <c r="E4" s="20">
        <v>0.10639999999999999</v>
      </c>
      <c r="F4" s="20">
        <v>9.6210000000000004E-2</v>
      </c>
      <c r="I4" s="119"/>
      <c r="J4" s="24">
        <v>0.17</v>
      </c>
      <c r="K4" s="6">
        <v>250</v>
      </c>
      <c r="L4" s="6">
        <v>2.3600000000000001E-3</v>
      </c>
      <c r="M4" s="6">
        <f>SQRT(1-J4^2)</f>
        <v>0.98544406233941051</v>
      </c>
      <c r="N4" s="6">
        <v>8.6</v>
      </c>
      <c r="O4" s="6">
        <v>1</v>
      </c>
      <c r="P4" s="6">
        <v>0.8</v>
      </c>
      <c r="Q4" s="6">
        <v>0</v>
      </c>
      <c r="R4" s="6">
        <v>43709.14</v>
      </c>
      <c r="S4" s="6">
        <v>93.84</v>
      </c>
      <c r="T4" s="6">
        <v>1</v>
      </c>
      <c r="U4" s="6">
        <v>1</v>
      </c>
    </row>
    <row r="5" spans="1:24" ht="16.5" x14ac:dyDescent="0.35">
      <c r="B5" s="27" t="s">
        <v>171</v>
      </c>
      <c r="C5" s="20">
        <f>(2*C6*C4)/(PI()*P4*N4)</f>
        <v>0.4699192668070083</v>
      </c>
      <c r="D5" s="20">
        <f>C5*PI()/180</f>
        <v>8.2016384243399944E-3</v>
      </c>
      <c r="E5" s="20"/>
      <c r="F5" s="20"/>
      <c r="I5" s="119"/>
    </row>
    <row r="6" spans="1:24" ht="16.5" x14ac:dyDescent="0.35">
      <c r="B6" s="27" t="s">
        <v>172</v>
      </c>
      <c r="C6" s="142">
        <f>(2*R4)/(L4*J7^2*K7)</f>
        <v>1.0063429018839483</v>
      </c>
      <c r="D6" s="143"/>
      <c r="E6" s="21">
        <v>0.97899999999999998</v>
      </c>
      <c r="F6" s="21">
        <v>1.1930000000000001</v>
      </c>
      <c r="I6" s="119"/>
      <c r="J6" s="15" t="s">
        <v>173</v>
      </c>
      <c r="K6" s="2" t="s">
        <v>174</v>
      </c>
      <c r="L6" s="2" t="s">
        <v>175</v>
      </c>
      <c r="M6" s="2" t="s">
        <v>176</v>
      </c>
      <c r="N6" s="2" t="s">
        <v>177</v>
      </c>
      <c r="O6" s="2" t="s">
        <v>178</v>
      </c>
      <c r="P6" s="2" t="s">
        <v>179</v>
      </c>
      <c r="Q6" s="2" t="s">
        <v>180</v>
      </c>
      <c r="R6" s="2" t="s">
        <v>181</v>
      </c>
      <c r="S6" s="25" t="s">
        <v>182</v>
      </c>
      <c r="T6" s="2" t="s">
        <v>183</v>
      </c>
      <c r="U6" s="2" t="s">
        <v>184</v>
      </c>
      <c r="V6" s="2" t="s">
        <v>185</v>
      </c>
    </row>
    <row r="7" spans="1:24" ht="16.5" x14ac:dyDescent="0.35">
      <c r="B7" s="27" t="s">
        <v>186</v>
      </c>
      <c r="C7" s="142">
        <f>L7+(C6^2/(PI()*P4*N4))</f>
        <v>5.685475426007796E-2</v>
      </c>
      <c r="D7" s="143"/>
      <c r="E7" s="21">
        <v>5.2999999999999999E-2</v>
      </c>
      <c r="F7" s="21">
        <v>7.1999999999999995E-2</v>
      </c>
      <c r="I7" s="119"/>
      <c r="J7" s="24">
        <f>J4*SQRT(1.4*287*287.6)*3.28083985</f>
        <v>189.59782886694202</v>
      </c>
      <c r="K7" s="6">
        <f>S4^2/N4</f>
        <v>1023.9471627906978</v>
      </c>
      <c r="L7" s="6">
        <v>0.01</v>
      </c>
      <c r="M7" s="6">
        <v>1.8</v>
      </c>
      <c r="N7" s="6">
        <v>25.64</v>
      </c>
      <c r="O7" s="6">
        <v>27</v>
      </c>
      <c r="P7" s="6">
        <v>11.61</v>
      </c>
      <c r="Q7" s="6">
        <f>(O7-N7)/P7</f>
        <v>0.1171403962101636</v>
      </c>
      <c r="R7" s="6">
        <v>6</v>
      </c>
      <c r="S7" s="6">
        <v>30</v>
      </c>
      <c r="T7" s="6">
        <f>(1/N4)-(1/(1+N4^1.7))</f>
        <v>9.1143041660278395E-2</v>
      </c>
      <c r="U7" s="6">
        <f>(1-(R7/S4))/(2*S7/S4)^(1/3)</f>
        <v>1.0865504872889169</v>
      </c>
      <c r="V7" s="6">
        <f>(10-3*T4)/7</f>
        <v>1</v>
      </c>
    </row>
    <row r="8" spans="1:24" ht="16.5" x14ac:dyDescent="0.35">
      <c r="B8" s="27" t="s">
        <v>187</v>
      </c>
      <c r="C8" s="146">
        <f>SQRT((2*R4)/(L4*K7*M7))</f>
        <v>141.76535217825759</v>
      </c>
      <c r="D8" s="147"/>
      <c r="E8" s="144">
        <f>SQRT((2*K13)/(S16*K7*Q16))</f>
        <v>146.72976714882788</v>
      </c>
      <c r="F8" s="145"/>
    </row>
    <row r="9" spans="1:24" ht="16.5" x14ac:dyDescent="0.35">
      <c r="B9" s="27" t="s">
        <v>188</v>
      </c>
      <c r="C9" s="144">
        <f>0.5*L4*J7^2*K7*C6</f>
        <v>43709.139999999992</v>
      </c>
      <c r="D9" s="145"/>
      <c r="E9" s="144">
        <v>43709.14</v>
      </c>
      <c r="F9" s="145"/>
      <c r="I9" s="119" t="s">
        <v>189</v>
      </c>
      <c r="J9" s="2" t="s">
        <v>165</v>
      </c>
      <c r="K9" s="2" t="s">
        <v>160</v>
      </c>
      <c r="L9" s="2" t="s">
        <v>19</v>
      </c>
      <c r="M9" s="2" t="s">
        <v>190</v>
      </c>
      <c r="N9" s="2" t="s">
        <v>191</v>
      </c>
      <c r="O9" s="2" t="s">
        <v>192</v>
      </c>
      <c r="P9" s="1" t="s">
        <v>193</v>
      </c>
      <c r="Q9" s="1" t="s">
        <v>194</v>
      </c>
    </row>
    <row r="10" spans="1:24" x14ac:dyDescent="0.35">
      <c r="B10" s="27" t="s">
        <v>195</v>
      </c>
      <c r="C10" s="146">
        <f>0.5*L4*J7^2*K7*C7</f>
        <v>2469.4091933943237</v>
      </c>
      <c r="D10" s="147"/>
      <c r="E10" s="47">
        <f>0.5*S16*M16^2*K7*E7</f>
        <v>2302.6337678218429</v>
      </c>
      <c r="F10" s="47">
        <f>0.5*S16*M16^2*K7*F7</f>
        <v>3128.1062506258995</v>
      </c>
      <c r="I10" s="119"/>
      <c r="J10" s="6">
        <v>36</v>
      </c>
      <c r="K10" s="6">
        <v>4.2300000000000004</v>
      </c>
      <c r="L10" s="6">
        <f>J10^2/K10</f>
        <v>306.38297872340422</v>
      </c>
      <c r="M10" s="6">
        <v>0</v>
      </c>
      <c r="N10" s="6">
        <v>57</v>
      </c>
      <c r="O10" s="6">
        <f>N10-N7</f>
        <v>31.36</v>
      </c>
      <c r="P10" s="1">
        <f>(L10*O10)/(K7*P7)</f>
        <v>0.80822247193616259</v>
      </c>
    </row>
    <row r="11" spans="1:24" ht="16.5" x14ac:dyDescent="0.35">
      <c r="B11" s="2" t="s">
        <v>196</v>
      </c>
      <c r="C11" s="39">
        <f>(2*PI()*K10)/(2+SQRT(((K10^2*M4^2)/O4^2)*(1+(TAN(M10)^2)/M4^2)+4))</f>
        <v>4.0127257747691099</v>
      </c>
      <c r="D11" s="20">
        <f>C11*PI()/180</f>
        <v>7.0035276749361372E-2</v>
      </c>
      <c r="E11" s="20"/>
      <c r="F11" s="20"/>
    </row>
    <row r="12" spans="1:24" ht="16.5" x14ac:dyDescent="0.35">
      <c r="B12" s="27" t="s">
        <v>197</v>
      </c>
      <c r="C12" s="149">
        <f>4.44*(T7*U7*V7*SQRT(COS(Q4)))^1.19</f>
        <v>0.2833696608753371</v>
      </c>
      <c r="D12" s="150"/>
      <c r="E12" s="20"/>
      <c r="F12" s="20"/>
      <c r="K12" s="4" t="s">
        <v>198</v>
      </c>
    </row>
    <row r="13" spans="1:24" ht="16.5" x14ac:dyDescent="0.35">
      <c r="B13" s="27" t="s">
        <v>199</v>
      </c>
      <c r="C13" s="40">
        <v>5.1882999999999999E-2</v>
      </c>
      <c r="D13" s="41">
        <v>9.0600000000000001E-4</v>
      </c>
      <c r="E13" s="20"/>
      <c r="F13" s="20"/>
      <c r="H13" s="1">
        <v>4.0126999999999997</v>
      </c>
      <c r="K13" s="1">
        <v>43709.14</v>
      </c>
    </row>
    <row r="14" spans="1:24" x14ac:dyDescent="0.35">
      <c r="B14" s="27" t="s">
        <v>200</v>
      </c>
      <c r="C14" s="42">
        <f>C4*Q7</f>
        <v>0.59114261411139812</v>
      </c>
      <c r="D14" s="18">
        <f>D4*Q7</f>
        <v>1.0317384965090191E-2</v>
      </c>
      <c r="E14" s="20"/>
      <c r="F14" s="20"/>
      <c r="H14" s="1">
        <v>7.0035280000000005E-2</v>
      </c>
    </row>
    <row r="15" spans="1:24" ht="16.5" x14ac:dyDescent="0.35">
      <c r="B15" s="2" t="s">
        <v>201</v>
      </c>
      <c r="C15" s="142">
        <f>C12*C4/C17</f>
        <v>0.28659516282015968</v>
      </c>
      <c r="D15" s="143"/>
      <c r="E15" s="20">
        <v>0.48799999999999999</v>
      </c>
      <c r="F15" s="20">
        <v>0.49099999999999999</v>
      </c>
      <c r="J15" s="6" t="s">
        <v>202</v>
      </c>
      <c r="K15" s="6" t="s">
        <v>156</v>
      </c>
      <c r="L15" s="6" t="s">
        <v>203</v>
      </c>
      <c r="M15" s="6" t="s">
        <v>204</v>
      </c>
      <c r="N15" s="6" t="s">
        <v>205</v>
      </c>
      <c r="O15" s="6" t="s">
        <v>206</v>
      </c>
      <c r="P15" s="6" t="s">
        <v>207</v>
      </c>
      <c r="Q15" s="6" t="s">
        <v>208</v>
      </c>
      <c r="R15" s="6" t="s">
        <v>209</v>
      </c>
      <c r="S15" s="6" t="s">
        <v>210</v>
      </c>
    </row>
    <row r="16" spans="1:24" x14ac:dyDescent="0.35">
      <c r="B16" s="2" t="s">
        <v>211</v>
      </c>
      <c r="C16" s="142">
        <f>(L10*O10)/(K7*P7)</f>
        <v>0.80822247193616259</v>
      </c>
      <c r="D16" s="143"/>
      <c r="E16" s="20"/>
      <c r="F16" s="20"/>
      <c r="J16" s="6"/>
      <c r="K16" s="6">
        <v>0.17</v>
      </c>
      <c r="L16" s="6">
        <v>250</v>
      </c>
      <c r="M16" s="6">
        <v>189.61</v>
      </c>
      <c r="N16" s="46">
        <v>2097.1999999999998</v>
      </c>
      <c r="O16" s="6">
        <v>517.77800000000002</v>
      </c>
      <c r="P16" s="46">
        <v>1193400</v>
      </c>
      <c r="Q16" s="6">
        <v>1.68</v>
      </c>
      <c r="R16" s="6">
        <v>1716</v>
      </c>
      <c r="S16" s="46">
        <f>N16/(R16*O16)</f>
        <v>2.3603639438997447E-3</v>
      </c>
    </row>
    <row r="17" spans="2:15" ht="16.5" x14ac:dyDescent="0.35">
      <c r="B17" s="2" t="s">
        <v>212</v>
      </c>
      <c r="C17" s="20">
        <f>(2*PI()*N4)/(2+SQRT(((N4^2)/O4^2)*(1+(TAN(Q4)^2)/M4^2)+4))</f>
        <v>4.9896498906950466</v>
      </c>
      <c r="D17" s="20">
        <f>C17*PI()/1808</f>
        <v>8.6700483631596634E-3</v>
      </c>
      <c r="E17" s="20"/>
      <c r="F17" s="20"/>
      <c r="O17" s="1">
        <v>287.654</v>
      </c>
    </row>
    <row r="18" spans="2:15" x14ac:dyDescent="0.35">
      <c r="B18" s="27" t="s">
        <v>213</v>
      </c>
      <c r="C18" s="43">
        <f>C11*(1-C15)*U4*C16</f>
        <v>2.3136968361829902</v>
      </c>
      <c r="D18" s="18">
        <f>C18*PI()/180</f>
        <v>4.0381627684369051E-2</v>
      </c>
      <c r="E18" s="20"/>
      <c r="F18" s="20"/>
    </row>
    <row r="19" spans="2:15" ht="16.5" x14ac:dyDescent="0.35">
      <c r="B19" s="27" t="s">
        <v>214</v>
      </c>
      <c r="C19" s="44">
        <f>C13+C14-C18</f>
        <v>-1.670671222071592</v>
      </c>
      <c r="D19" s="45">
        <f>D13+D14-D18</f>
        <v>-2.915824271927886E-2</v>
      </c>
      <c r="E19" s="20">
        <v>-7.1330000000000005E-2</v>
      </c>
      <c r="F19" s="20">
        <v>-7.0319999999999994E-2</v>
      </c>
    </row>
    <row r="22" spans="2:15" x14ac:dyDescent="0.35">
      <c r="B22" s="6"/>
      <c r="C22" s="6">
        <v>-4</v>
      </c>
      <c r="D22" s="6">
        <v>-2</v>
      </c>
      <c r="E22" s="6">
        <v>0</v>
      </c>
      <c r="F22" s="6">
        <v>2</v>
      </c>
      <c r="G22" s="6">
        <v>5</v>
      </c>
      <c r="H22" s="6">
        <v>7</v>
      </c>
      <c r="I22" s="6">
        <v>8</v>
      </c>
      <c r="J22" s="6">
        <v>10</v>
      </c>
      <c r="K22" s="6">
        <v>12</v>
      </c>
      <c r="L22" s="6">
        <v>14</v>
      </c>
      <c r="M22" s="6">
        <v>16</v>
      </c>
      <c r="N22" s="6">
        <v>18</v>
      </c>
    </row>
    <row r="23" spans="2:15" x14ac:dyDescent="0.35">
      <c r="B23" s="6" t="s">
        <v>215</v>
      </c>
      <c r="C23" s="6">
        <v>1.6E-2</v>
      </c>
      <c r="D23" s="6">
        <v>1.7999999999999999E-2</v>
      </c>
      <c r="E23" s="6">
        <v>2.3E-2</v>
      </c>
      <c r="F23" s="6">
        <v>3.2000000000000001E-2</v>
      </c>
      <c r="G23" s="6">
        <v>5.2999999999999999E-2</v>
      </c>
      <c r="H23" s="6">
        <v>7.1999999999999995E-2</v>
      </c>
      <c r="I23" s="6">
        <v>8.1000000000000003E-2</v>
      </c>
      <c r="J23" s="6">
        <v>0.1</v>
      </c>
      <c r="K23" s="6">
        <v>0.11799999999999999</v>
      </c>
      <c r="L23" s="6">
        <v>0.13400000000000001</v>
      </c>
      <c r="M23" s="6">
        <v>0.14199999999999999</v>
      </c>
      <c r="N23" s="6">
        <v>0.125</v>
      </c>
      <c r="O23" s="1">
        <f>SUM(C23:N23)/12</f>
        <v>7.6166666666666674E-2</v>
      </c>
    </row>
    <row r="24" spans="2:15" x14ac:dyDescent="0.35">
      <c r="B24" s="6" t="s">
        <v>216</v>
      </c>
      <c r="C24" s="6">
        <v>5.1999999999999998E-2</v>
      </c>
      <c r="D24" s="6">
        <v>0.25</v>
      </c>
      <c r="E24" s="6">
        <v>0.45400000000000001</v>
      </c>
      <c r="F24" s="6">
        <v>0.66200000000000003</v>
      </c>
      <c r="G24" s="6">
        <v>0.97899999999999998</v>
      </c>
      <c r="H24" s="6">
        <v>1.1930000000000001</v>
      </c>
      <c r="I24" s="6">
        <v>1.284</v>
      </c>
      <c r="J24" s="6">
        <v>1.4419999999999999</v>
      </c>
      <c r="K24" s="6">
        <v>1.569</v>
      </c>
      <c r="L24" s="6">
        <v>1.663</v>
      </c>
      <c r="M24" s="6">
        <v>1.681</v>
      </c>
      <c r="N24" s="6">
        <v>1.427</v>
      </c>
      <c r="O24" s="1">
        <f t="shared" ref="O24:O27" si="0">SUM(C24:N24)/12</f>
        <v>1.0546666666666666</v>
      </c>
    </row>
    <row r="25" spans="2:15" x14ac:dyDescent="0.35">
      <c r="B25" s="6" t="s">
        <v>217</v>
      </c>
      <c r="C25" s="6">
        <v>9.7549999999999998E-2</v>
      </c>
      <c r="D25" s="6">
        <v>0.10050000000000001</v>
      </c>
      <c r="E25" s="6">
        <v>0.1031</v>
      </c>
      <c r="F25" s="6">
        <v>0.1047</v>
      </c>
      <c r="G25" s="6">
        <v>0.10639999999999999</v>
      </c>
      <c r="H25" s="6">
        <v>9.6210000000000004E-2</v>
      </c>
      <c r="I25" s="6">
        <v>8.695E-2</v>
      </c>
      <c r="J25" s="6">
        <v>7.1290000000000006E-2</v>
      </c>
      <c r="K25" s="6">
        <v>5.534E-2</v>
      </c>
      <c r="L25" s="6">
        <v>2.81E-2</v>
      </c>
      <c r="M25" s="6">
        <v>-5.9139999999999998E-2</v>
      </c>
      <c r="N25" s="6">
        <v>-0.19539999999999999</v>
      </c>
      <c r="O25" s="1">
        <f t="shared" si="0"/>
        <v>4.9633333333333342E-2</v>
      </c>
    </row>
    <row r="26" spans="2:15" x14ac:dyDescent="0.35">
      <c r="B26" s="6" t="s">
        <v>218</v>
      </c>
      <c r="C26" s="6">
        <v>-6.114E-2</v>
      </c>
      <c r="D26" s="6">
        <v>-6.4049999999999996E-2</v>
      </c>
      <c r="E26" s="6">
        <v>-6.5780000000000005E-2</v>
      </c>
      <c r="F26" s="6">
        <v>-6.726E-2</v>
      </c>
      <c r="G26" s="6">
        <v>-7.1330000000000005E-2</v>
      </c>
      <c r="H26" s="6">
        <v>-7.0319999999999994E-2</v>
      </c>
      <c r="I26" s="6">
        <v>-6.9440000000000002E-2</v>
      </c>
      <c r="J26" s="6">
        <v>-6.8870000000000001E-2</v>
      </c>
      <c r="K26" s="6">
        <v>-6.83E-2</v>
      </c>
      <c r="L26" s="6">
        <v>-7.3999999999999996E-2</v>
      </c>
      <c r="M26" s="6">
        <v>0</v>
      </c>
      <c r="N26" s="6">
        <v>0</v>
      </c>
      <c r="O26" s="1">
        <f>SUM(C26:N26)/10</f>
        <v>-6.8048999999999998E-2</v>
      </c>
    </row>
    <row r="27" spans="2:15" x14ac:dyDescent="0.35">
      <c r="B27" s="6" t="s">
        <v>219</v>
      </c>
      <c r="C27" s="6">
        <v>0.42899999999999999</v>
      </c>
      <c r="D27" s="6">
        <v>0.438</v>
      </c>
      <c r="E27" s="6">
        <v>0.45600000000000002</v>
      </c>
      <c r="F27" s="6">
        <v>0.47299999999999998</v>
      </c>
      <c r="G27" s="6">
        <v>0.48799999999999999</v>
      </c>
      <c r="H27" s="6">
        <v>0.49099999999999999</v>
      </c>
      <c r="I27" s="6">
        <v>0.46899999999999997</v>
      </c>
      <c r="J27" s="6">
        <v>0.41699999999999998</v>
      </c>
      <c r="K27" s="6">
        <v>0.35199999999999998</v>
      </c>
      <c r="L27" s="6">
        <v>0.19</v>
      </c>
      <c r="M27" s="6">
        <v>-5.7000000000000002E-2</v>
      </c>
      <c r="N27" s="6">
        <v>-0.2</v>
      </c>
      <c r="O27" s="1">
        <f t="shared" si="0"/>
        <v>0.32883333333333331</v>
      </c>
    </row>
    <row r="33" spans="2:7" x14ac:dyDescent="0.35">
      <c r="C33" s="6" t="s">
        <v>151</v>
      </c>
      <c r="D33" s="119" t="s">
        <v>202</v>
      </c>
      <c r="E33" s="119"/>
      <c r="F33" s="119"/>
      <c r="G33" s="119"/>
    </row>
    <row r="34" spans="2:7" x14ac:dyDescent="0.35">
      <c r="C34" s="2" t="s">
        <v>220</v>
      </c>
      <c r="D34" s="48" t="s">
        <v>153</v>
      </c>
      <c r="E34" s="48" t="s">
        <v>221</v>
      </c>
      <c r="F34" s="50" t="s">
        <v>222</v>
      </c>
      <c r="G34" s="50" t="s">
        <v>221</v>
      </c>
    </row>
    <row r="35" spans="2:7" ht="16.5" x14ac:dyDescent="0.35">
      <c r="B35" s="27" t="s">
        <v>170</v>
      </c>
      <c r="C35" s="6">
        <v>8.8080000000000006E-2</v>
      </c>
      <c r="D35" s="18">
        <v>0.10639999999999999</v>
      </c>
      <c r="E35" s="49">
        <f>(D35-C35)/C35*100</f>
        <v>20.799273387829231</v>
      </c>
      <c r="F35" s="22">
        <v>9.6210000000000004E-2</v>
      </c>
      <c r="G35" s="51">
        <f>(F35-C35)/C35*100</f>
        <v>9.2302452316076273</v>
      </c>
    </row>
    <row r="36" spans="2:7" ht="16.5" x14ac:dyDescent="0.35">
      <c r="B36" s="27" t="s">
        <v>172</v>
      </c>
      <c r="C36" s="6">
        <v>1.00634</v>
      </c>
      <c r="D36" s="18">
        <v>0.97899999999999998</v>
      </c>
      <c r="E36" s="49">
        <f t="shared" ref="E36:E42" si="1">(D36-C36)/C36*100</f>
        <v>-2.7167756424270157</v>
      </c>
      <c r="F36" s="22">
        <v>1.1930000000000001</v>
      </c>
      <c r="G36" s="51">
        <f t="shared" ref="G36:G42" si="2">(F36-C36)/C36*100</f>
        <v>18.548403124192621</v>
      </c>
    </row>
    <row r="37" spans="2:7" ht="16.5" x14ac:dyDescent="0.35">
      <c r="B37" s="27" t="s">
        <v>186</v>
      </c>
      <c r="C37" s="6">
        <v>5.6849999999999998E-2</v>
      </c>
      <c r="D37" s="18">
        <v>5.2999999999999999E-2</v>
      </c>
      <c r="E37" s="49">
        <f t="shared" si="1"/>
        <v>-6.7722075637642902</v>
      </c>
      <c r="F37" s="22">
        <v>7.1999999999999995E-2</v>
      </c>
      <c r="G37" s="51">
        <f t="shared" si="2"/>
        <v>26.649076517150387</v>
      </c>
    </row>
    <row r="38" spans="2:7" ht="16.5" x14ac:dyDescent="0.35">
      <c r="B38" s="27" t="s">
        <v>187</v>
      </c>
      <c r="C38" s="6">
        <v>141.76499999999999</v>
      </c>
      <c r="D38" s="18">
        <v>146.72999999999999</v>
      </c>
      <c r="E38" s="49">
        <f t="shared" si="1"/>
        <v>3.5022748915458708</v>
      </c>
      <c r="F38" s="22">
        <v>146.72999999999999</v>
      </c>
      <c r="G38" s="51">
        <f t="shared" si="2"/>
        <v>3.5022748915458708</v>
      </c>
    </row>
    <row r="39" spans="2:7" x14ac:dyDescent="0.35">
      <c r="B39" s="27" t="s">
        <v>188</v>
      </c>
      <c r="C39" s="6">
        <v>43709.14</v>
      </c>
      <c r="D39" s="18">
        <v>43709.14</v>
      </c>
      <c r="E39" s="49">
        <f t="shared" si="1"/>
        <v>0</v>
      </c>
      <c r="F39" s="22">
        <v>43709.14</v>
      </c>
      <c r="G39" s="51">
        <f t="shared" si="2"/>
        <v>0</v>
      </c>
    </row>
    <row r="40" spans="2:7" x14ac:dyDescent="0.35">
      <c r="B40" s="27" t="s">
        <v>195</v>
      </c>
      <c r="C40" s="6">
        <v>2469.4</v>
      </c>
      <c r="D40" s="18">
        <v>2303.6</v>
      </c>
      <c r="E40" s="49">
        <f t="shared" si="1"/>
        <v>-6.7141815825706717</v>
      </c>
      <c r="F40" s="22">
        <v>3128.1</v>
      </c>
      <c r="G40" s="51">
        <f t="shared" si="2"/>
        <v>26.674495828946291</v>
      </c>
    </row>
    <row r="41" spans="2:7" ht="16.5" x14ac:dyDescent="0.35">
      <c r="B41" s="27" t="s">
        <v>201</v>
      </c>
      <c r="C41" s="6">
        <v>0.28660000000000002</v>
      </c>
      <c r="D41" s="18">
        <v>0.48799999999999999</v>
      </c>
      <c r="E41" s="49">
        <f t="shared" si="1"/>
        <v>70.27215631542218</v>
      </c>
      <c r="F41" s="22">
        <v>0.49099999999999999</v>
      </c>
      <c r="G41" s="51">
        <f t="shared" si="2"/>
        <v>71.318911374738292</v>
      </c>
    </row>
    <row r="42" spans="2:7" ht="16.5" x14ac:dyDescent="0.35">
      <c r="B42" s="27" t="s">
        <v>214</v>
      </c>
      <c r="C42" s="6">
        <v>-2.92E-2</v>
      </c>
      <c r="D42" s="18">
        <v>-7.1330000000000005E-2</v>
      </c>
      <c r="E42" s="49">
        <f t="shared" si="1"/>
        <v>144.28082191780823</v>
      </c>
      <c r="F42" s="22">
        <v>-7.0319999999999994E-2</v>
      </c>
      <c r="G42" s="51">
        <f t="shared" si="2"/>
        <v>140.82191780821913</v>
      </c>
    </row>
    <row r="46" spans="2:7" x14ac:dyDescent="0.35">
      <c r="B46" s="1" t="s">
        <v>223</v>
      </c>
    </row>
  </sheetData>
  <mergeCells count="16">
    <mergeCell ref="A1:B1"/>
    <mergeCell ref="D33:G33"/>
    <mergeCell ref="C2:D2"/>
    <mergeCell ref="E2:F2"/>
    <mergeCell ref="C6:D6"/>
    <mergeCell ref="C7:D7"/>
    <mergeCell ref="C12:D12"/>
    <mergeCell ref="I3:I7"/>
    <mergeCell ref="I9:I10"/>
    <mergeCell ref="C16:D16"/>
    <mergeCell ref="C9:D9"/>
    <mergeCell ref="C8:D8"/>
    <mergeCell ref="C10:D10"/>
    <mergeCell ref="C15:D15"/>
    <mergeCell ref="E8:F8"/>
    <mergeCell ref="E9:F9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68EB-09AE-493F-98F5-F598B29D81E0}">
  <dimension ref="B1:T38"/>
  <sheetViews>
    <sheetView zoomScale="28" zoomScaleNormal="149" workbookViewId="0">
      <selection activeCell="R4" sqref="R4:T7"/>
    </sheetView>
  </sheetViews>
  <sheetFormatPr defaultRowHeight="14.5" x14ac:dyDescent="0.35"/>
  <cols>
    <col min="14" max="14" width="10.81640625" customWidth="1"/>
    <col min="15" max="15" width="17.1796875" customWidth="1"/>
    <col min="16" max="16" width="13.453125" customWidth="1"/>
    <col min="19" max="19" width="21.90625" customWidth="1"/>
  </cols>
  <sheetData>
    <row r="1" spans="2:20" x14ac:dyDescent="0.35">
      <c r="B1" t="s">
        <v>224</v>
      </c>
    </row>
    <row r="2" spans="2:20" x14ac:dyDescent="0.35">
      <c r="B2" s="1"/>
      <c r="C2" s="1"/>
      <c r="D2" s="1"/>
      <c r="E2" s="1"/>
      <c r="F2" s="1"/>
      <c r="G2" s="1"/>
      <c r="H2" s="1"/>
    </row>
    <row r="3" spans="2:20" x14ac:dyDescent="0.35">
      <c r="B3" s="3" t="s">
        <v>11</v>
      </c>
      <c r="C3" s="3"/>
      <c r="D3" s="4"/>
      <c r="E3" s="1"/>
      <c r="F3" s="1"/>
      <c r="G3" s="1"/>
      <c r="H3" s="1"/>
      <c r="O3" s="151" t="s">
        <v>225</v>
      </c>
      <c r="P3" s="152"/>
    </row>
    <row r="4" spans="2:20" ht="16.5" x14ac:dyDescent="0.45">
      <c r="H4" s="4"/>
      <c r="J4" t="s">
        <v>226</v>
      </c>
      <c r="O4" s="59" t="s">
        <v>227</v>
      </c>
      <c r="P4" s="66">
        <f>K19/K12</f>
        <v>0.39436021822085709</v>
      </c>
      <c r="R4" s="59"/>
      <c r="S4" s="91" t="s">
        <v>394</v>
      </c>
      <c r="T4" s="91" t="s">
        <v>202</v>
      </c>
    </row>
    <row r="5" spans="2:20" ht="17.5" x14ac:dyDescent="0.45">
      <c r="B5" s="2" t="s">
        <v>14</v>
      </c>
      <c r="C5" s="58" t="s">
        <v>15</v>
      </c>
      <c r="D5" s="58" t="s">
        <v>16</v>
      </c>
      <c r="E5" s="2" t="s">
        <v>17</v>
      </c>
      <c r="F5" s="2" t="s">
        <v>18</v>
      </c>
      <c r="G5" s="2" t="s">
        <v>19</v>
      </c>
      <c r="H5" s="4"/>
      <c r="O5" s="59" t="s">
        <v>228</v>
      </c>
      <c r="P5" s="66">
        <f>K12^2/K11</f>
        <v>7.6635795150113939</v>
      </c>
      <c r="R5" s="91" t="s">
        <v>391</v>
      </c>
      <c r="S5" s="59">
        <f>P13</f>
        <v>-1.1299999999999999E-3</v>
      </c>
      <c r="T5" s="59"/>
    </row>
    <row r="6" spans="2:20" ht="17.5" x14ac:dyDescent="0.45">
      <c r="B6" s="2">
        <v>1</v>
      </c>
      <c r="C6" s="6">
        <v>0</v>
      </c>
      <c r="D6" s="6">
        <v>0.439</v>
      </c>
      <c r="E6" s="6">
        <v>-0.5857</v>
      </c>
      <c r="F6" s="6">
        <v>0.05</v>
      </c>
      <c r="G6" s="6">
        <v>8.0000000000000002E-3</v>
      </c>
      <c r="H6" s="1"/>
      <c r="J6" s="59" t="s">
        <v>229</v>
      </c>
      <c r="K6" s="59">
        <f>(C20-C10)*(D10)</f>
        <v>350.79690879999998</v>
      </c>
      <c r="O6" s="68" t="s">
        <v>230</v>
      </c>
      <c r="P6" s="69">
        <f>SQRT(K20/K21)</f>
        <v>1.17991924591815</v>
      </c>
      <c r="R6" s="91" t="s">
        <v>392</v>
      </c>
      <c r="S6" s="97">
        <f>P35</f>
        <v>2.9098492014808454E-3</v>
      </c>
      <c r="T6" s="59"/>
    </row>
    <row r="7" spans="2:20" ht="16.5" x14ac:dyDescent="0.45">
      <c r="B7" s="2">
        <v>2</v>
      </c>
      <c r="C7" s="6">
        <v>0.7</v>
      </c>
      <c r="D7" s="9">
        <v>1.464</v>
      </c>
      <c r="E7" s="6">
        <v>-1.7572000000000001</v>
      </c>
      <c r="F7" s="6">
        <v>1.2</v>
      </c>
      <c r="G7" s="6">
        <v>4.5199999999999996</v>
      </c>
      <c r="H7" s="1"/>
      <c r="J7" s="59" t="s">
        <v>231</v>
      </c>
      <c r="K7" s="59">
        <f>0.5*-E11*(C20-C11)</f>
        <v>65.61507804</v>
      </c>
      <c r="O7" s="59" t="s">
        <v>232</v>
      </c>
      <c r="P7" s="66">
        <f>K22/K23</f>
        <v>1.2134710550887018</v>
      </c>
      <c r="R7" s="91" t="s">
        <v>393</v>
      </c>
      <c r="S7" s="97">
        <f>P37</f>
        <v>1.7798492014808455E-3</v>
      </c>
      <c r="T7" s="59"/>
    </row>
    <row r="8" spans="2:20" x14ac:dyDescent="0.35">
      <c r="B8" s="2">
        <v>3</v>
      </c>
      <c r="C8" s="6">
        <v>2.6379999999999999</v>
      </c>
      <c r="D8" s="9">
        <v>2.9289999999999998</v>
      </c>
      <c r="E8" s="6">
        <v>-3.2214999999999998</v>
      </c>
      <c r="F8" s="6">
        <v>2.42</v>
      </c>
      <c r="G8" s="6">
        <v>18.3</v>
      </c>
      <c r="H8" s="1"/>
      <c r="J8" s="59" t="s">
        <v>233</v>
      </c>
      <c r="K8" s="59">
        <f>(C11-C10)*-E10</f>
        <v>92.63341622999998</v>
      </c>
      <c r="O8" s="59" t="s">
        <v>234</v>
      </c>
      <c r="P8" s="67">
        <v>1.5699999999999999E-4</v>
      </c>
    </row>
    <row r="9" spans="2:20" x14ac:dyDescent="0.35">
      <c r="B9" s="6">
        <v>4</v>
      </c>
      <c r="C9" s="6">
        <v>4.3929999999999998</v>
      </c>
      <c r="D9" s="9">
        <v>3.8069999999999999</v>
      </c>
      <c r="E9" s="6">
        <v>-3.8073000000000001</v>
      </c>
      <c r="F9" s="6">
        <v>2.64</v>
      </c>
      <c r="G9" s="6">
        <v>21.8</v>
      </c>
      <c r="H9" s="1"/>
      <c r="J9" s="59" t="s">
        <v>235</v>
      </c>
      <c r="K9" s="60">
        <f>(D9+ABS(E9)+D10+ABS(E10))*(C10-C9)*0.5</f>
        <v>19.780932190000001</v>
      </c>
      <c r="O9" s="59" t="s">
        <v>173</v>
      </c>
      <c r="P9" s="59">
        <v>189.6</v>
      </c>
    </row>
    <row r="10" spans="2:20" ht="16.5" x14ac:dyDescent="0.45">
      <c r="B10" s="6">
        <v>5</v>
      </c>
      <c r="C10" s="6">
        <v>6.5895000000000001</v>
      </c>
      <c r="D10" s="9">
        <v>6.0039999999999996</v>
      </c>
      <c r="E10" s="6">
        <v>-4.3930199999999999</v>
      </c>
      <c r="F10" s="6">
        <v>3.29</v>
      </c>
      <c r="G10" s="6">
        <v>34.1</v>
      </c>
      <c r="H10" s="1"/>
      <c r="J10" s="59" t="s">
        <v>236</v>
      </c>
      <c r="K10" s="59">
        <f>PI()*D9^2/2</f>
        <v>22.765942292523807</v>
      </c>
      <c r="O10" s="78" t="s">
        <v>237</v>
      </c>
      <c r="P10" s="61">
        <v>1.6000000000000001E-3</v>
      </c>
    </row>
    <row r="11" spans="2:20" x14ac:dyDescent="0.35">
      <c r="B11" s="6">
        <v>6</v>
      </c>
      <c r="C11" s="6">
        <v>27.675999999999998</v>
      </c>
      <c r="D11" s="9">
        <v>6.0039999999999996</v>
      </c>
      <c r="E11" s="6">
        <v>-3.5144000000000002</v>
      </c>
      <c r="F11" s="6">
        <v>3.51</v>
      </c>
      <c r="G11" s="6">
        <v>38.799999999999997</v>
      </c>
      <c r="H11" s="1"/>
      <c r="J11" s="61" t="s">
        <v>238</v>
      </c>
      <c r="K11" s="62">
        <f>K6+K7+K8+K9+K10</f>
        <v>551.5922775525238</v>
      </c>
      <c r="O11" s="59" t="s">
        <v>239</v>
      </c>
      <c r="P11" s="67">
        <f>(P9*K12)/P8</f>
        <v>78516982.929936305</v>
      </c>
    </row>
    <row r="12" spans="2:20" x14ac:dyDescent="0.35">
      <c r="B12" s="6">
        <v>7</v>
      </c>
      <c r="C12" s="6">
        <v>33.8262</v>
      </c>
      <c r="D12" s="9">
        <v>6.0039999999999996</v>
      </c>
      <c r="E12" s="6">
        <v>-2.9287000000000001</v>
      </c>
      <c r="F12" s="6">
        <v>2.86</v>
      </c>
      <c r="G12" s="6">
        <v>25.6</v>
      </c>
      <c r="H12" s="1"/>
      <c r="J12" s="61" t="s">
        <v>240</v>
      </c>
      <c r="K12" s="61">
        <f>C20</f>
        <v>65.0167</v>
      </c>
      <c r="O12" s="59" t="s">
        <v>241</v>
      </c>
      <c r="P12" s="61">
        <v>1.89</v>
      </c>
    </row>
    <row r="13" spans="2:20" x14ac:dyDescent="0.35">
      <c r="B13" s="6">
        <v>8</v>
      </c>
      <c r="C13" s="6">
        <v>41.0015</v>
      </c>
      <c r="D13" s="9">
        <v>6.0039999999999996</v>
      </c>
      <c r="E13" s="6">
        <v>-2.0499999999999998</v>
      </c>
      <c r="F13" s="6">
        <v>2.2000000000000002</v>
      </c>
      <c r="G13" s="6">
        <v>15.2</v>
      </c>
      <c r="H13" s="1"/>
      <c r="J13" s="61" t="s">
        <v>242</v>
      </c>
      <c r="K13" s="61">
        <v>93.84</v>
      </c>
      <c r="O13" s="59" t="s">
        <v>243</v>
      </c>
      <c r="P13" s="71">
        <v>-1.1299999999999999E-3</v>
      </c>
    </row>
    <row r="14" spans="2:20" x14ac:dyDescent="0.35">
      <c r="B14" s="6">
        <v>9</v>
      </c>
      <c r="C14" s="6">
        <v>47.591000000000001</v>
      </c>
      <c r="D14" s="9">
        <v>6.0039999999999996</v>
      </c>
      <c r="E14" s="6">
        <v>-1.464</v>
      </c>
      <c r="F14" s="6">
        <v>1.53</v>
      </c>
      <c r="G14" s="6">
        <v>7.4</v>
      </c>
      <c r="H14" s="1"/>
      <c r="J14" s="61" t="s">
        <v>163</v>
      </c>
      <c r="K14" s="61">
        <v>0</v>
      </c>
    </row>
    <row r="15" spans="2:20" x14ac:dyDescent="0.35">
      <c r="B15" s="6">
        <v>10</v>
      </c>
      <c r="C15" s="6">
        <v>51.398299999999999</v>
      </c>
      <c r="D15" s="9">
        <v>5.7108999999999996</v>
      </c>
      <c r="E15" s="6">
        <v>-0.87860000000000005</v>
      </c>
      <c r="F15" s="6">
        <v>1.32</v>
      </c>
      <c r="G15" s="6">
        <v>5.5</v>
      </c>
      <c r="H15" s="1"/>
      <c r="J15" s="61" t="s">
        <v>244</v>
      </c>
      <c r="K15" s="61">
        <v>0</v>
      </c>
    </row>
    <row r="16" spans="2:20" x14ac:dyDescent="0.35">
      <c r="B16" s="6">
        <v>11</v>
      </c>
      <c r="C16" s="6">
        <v>55.6449</v>
      </c>
      <c r="D16" s="9">
        <v>5.7108999999999996</v>
      </c>
      <c r="E16" s="6">
        <v>-0.5857</v>
      </c>
      <c r="F16" s="6">
        <v>1.1000000000000001</v>
      </c>
      <c r="G16" s="6">
        <v>3.8</v>
      </c>
      <c r="H16" s="1"/>
      <c r="J16" s="61" t="s">
        <v>245</v>
      </c>
      <c r="K16" s="61">
        <v>1023.95</v>
      </c>
      <c r="O16" s="153" t="s">
        <v>246</v>
      </c>
      <c r="P16" s="153"/>
    </row>
    <row r="17" spans="2:17" x14ac:dyDescent="0.35">
      <c r="B17" s="6">
        <v>12</v>
      </c>
      <c r="C17" s="6">
        <v>58.573599999999999</v>
      </c>
      <c r="D17" s="9">
        <v>5.7108999999999996</v>
      </c>
      <c r="E17" s="6">
        <v>-0.29287000000000002</v>
      </c>
      <c r="F17" s="6">
        <v>0.85</v>
      </c>
      <c r="G17" s="6">
        <v>2.2999999999999998</v>
      </c>
      <c r="H17" s="1"/>
      <c r="J17" s="61" t="s">
        <v>247</v>
      </c>
      <c r="K17" s="61">
        <v>8.6</v>
      </c>
      <c r="O17" s="59" t="s">
        <v>248</v>
      </c>
      <c r="P17" s="80">
        <f>(P27/2)*P19*(1+P21)</f>
        <v>221.56739500000003</v>
      </c>
    </row>
    <row r="18" spans="2:17" x14ac:dyDescent="0.35">
      <c r="B18" s="6">
        <v>13</v>
      </c>
      <c r="C18" s="6">
        <v>62.673699999999997</v>
      </c>
      <c r="D18" s="9">
        <v>5.7108999999999996</v>
      </c>
      <c r="E18" s="6">
        <v>-0.23430000000000001</v>
      </c>
      <c r="F18" s="6">
        <v>0.5</v>
      </c>
      <c r="G18" s="6">
        <v>0.79</v>
      </c>
      <c r="H18" s="1"/>
      <c r="J18" s="63" t="s">
        <v>166</v>
      </c>
      <c r="K18" s="61">
        <v>1</v>
      </c>
      <c r="O18" s="59" t="s">
        <v>249</v>
      </c>
      <c r="P18" s="74">
        <v>1.56</v>
      </c>
    </row>
    <row r="19" spans="2:17" x14ac:dyDescent="0.35">
      <c r="B19" s="6">
        <v>14</v>
      </c>
      <c r="C19" s="6">
        <v>63.405900000000003</v>
      </c>
      <c r="D19" s="9">
        <v>5.7108999999999996</v>
      </c>
      <c r="E19" s="6">
        <v>-0.1464</v>
      </c>
      <c r="F19" s="6">
        <v>0.22</v>
      </c>
      <c r="G19" s="6">
        <v>0.15</v>
      </c>
      <c r="H19" s="1"/>
      <c r="J19" s="61" t="s">
        <v>250</v>
      </c>
      <c r="K19" s="61">
        <v>25.64</v>
      </c>
      <c r="O19" s="59" t="s">
        <v>251</v>
      </c>
      <c r="P19" s="74">
        <v>15.833299999999999</v>
      </c>
    </row>
    <row r="20" spans="2:17" x14ac:dyDescent="0.35">
      <c r="B20" s="6">
        <v>15</v>
      </c>
      <c r="C20" s="6">
        <v>65.0167</v>
      </c>
      <c r="D20" s="9">
        <v>5.7108999999999996</v>
      </c>
      <c r="E20" s="6">
        <v>0</v>
      </c>
      <c r="F20" s="6">
        <v>0.1</v>
      </c>
      <c r="G20" s="6">
        <v>3.1399999999999997E-2</v>
      </c>
      <c r="H20" s="1"/>
      <c r="J20" s="63" t="s">
        <v>252</v>
      </c>
      <c r="K20" s="62">
        <f>D10+ABS(E10)</f>
        <v>10.397019999999999</v>
      </c>
      <c r="O20" s="59" t="s">
        <v>253</v>
      </c>
      <c r="P20" s="74">
        <v>5.9960000000000004</v>
      </c>
    </row>
    <row r="21" spans="2:17" x14ac:dyDescent="0.35">
      <c r="B21" s="1"/>
      <c r="C21" s="1"/>
      <c r="D21" s="1"/>
      <c r="E21" s="1"/>
      <c r="F21" s="1"/>
      <c r="G21" s="1"/>
      <c r="H21" s="1"/>
      <c r="J21" s="63" t="s">
        <v>254</v>
      </c>
      <c r="K21" s="62">
        <f>D14+ABS(E14)</f>
        <v>7.468</v>
      </c>
      <c r="O21" s="72" t="s">
        <v>255</v>
      </c>
      <c r="P21" s="74">
        <f>P20/P19</f>
        <v>0.37869553409586132</v>
      </c>
    </row>
    <row r="22" spans="2:17" x14ac:dyDescent="0.35">
      <c r="J22" s="63" t="s">
        <v>256</v>
      </c>
      <c r="K22" s="62">
        <f>K20</f>
        <v>10.397019999999999</v>
      </c>
      <c r="O22" s="59" t="s">
        <v>257</v>
      </c>
      <c r="P22" s="74">
        <v>55</v>
      </c>
    </row>
    <row r="23" spans="2:17" x14ac:dyDescent="0.35">
      <c r="J23" s="63" t="s">
        <v>258</v>
      </c>
      <c r="K23" s="61">
        <f>2.1*4.08</f>
        <v>8.5680000000000014</v>
      </c>
      <c r="O23" s="59" t="s">
        <v>259</v>
      </c>
      <c r="P23" s="79">
        <v>48.725000000000001</v>
      </c>
    </row>
    <row r="24" spans="2:17" x14ac:dyDescent="0.35">
      <c r="O24" s="73" t="s">
        <v>260</v>
      </c>
      <c r="P24" s="76">
        <v>40.390999999999998</v>
      </c>
      <c r="Q24">
        <v>0.8508</v>
      </c>
    </row>
    <row r="25" spans="2:17" x14ac:dyDescent="0.35">
      <c r="J25" s="70"/>
      <c r="L25" t="s">
        <v>261</v>
      </c>
      <c r="O25" s="59" t="s">
        <v>262</v>
      </c>
      <c r="P25" s="74">
        <v>5</v>
      </c>
    </row>
    <row r="26" spans="2:17" x14ac:dyDescent="0.35">
      <c r="O26" s="59" t="s">
        <v>263</v>
      </c>
      <c r="P26" s="60">
        <v>7.02</v>
      </c>
    </row>
    <row r="27" spans="2:17" x14ac:dyDescent="0.35">
      <c r="O27" s="59" t="s">
        <v>264</v>
      </c>
      <c r="P27" s="74">
        <v>20.3</v>
      </c>
    </row>
    <row r="28" spans="2:17" x14ac:dyDescent="0.35">
      <c r="O28" s="75" t="s">
        <v>265</v>
      </c>
      <c r="P28" s="74">
        <v>1.485257008</v>
      </c>
    </row>
    <row r="29" spans="2:17" x14ac:dyDescent="0.35">
      <c r="O29" s="73" t="s">
        <v>266</v>
      </c>
      <c r="P29" s="74">
        <v>0.98544399999999999</v>
      </c>
    </row>
    <row r="30" spans="2:17" x14ac:dyDescent="0.35">
      <c r="O30" s="73" t="s">
        <v>267</v>
      </c>
      <c r="P30" s="76">
        <v>2.0244900000000001</v>
      </c>
    </row>
    <row r="31" spans="2:17" ht="16.5" x14ac:dyDescent="0.45">
      <c r="K31" t="s">
        <v>268</v>
      </c>
      <c r="O31" s="73" t="s">
        <v>269</v>
      </c>
      <c r="P31" s="59">
        <f>(2*PI()*P30)/(2+SQRT((P30^2*P29^2)/P33^2*(1+((Q24^2)/P29^2))+4))</f>
        <v>2.2708709088177996</v>
      </c>
    </row>
    <row r="32" spans="2:17" ht="16.5" x14ac:dyDescent="0.45">
      <c r="K32" t="s">
        <v>270</v>
      </c>
      <c r="O32" s="73" t="s">
        <v>271</v>
      </c>
      <c r="P32" s="79">
        <f>P31*PI()/180</f>
        <v>3.9634174246626533E-2</v>
      </c>
    </row>
    <row r="33" spans="14:18" x14ac:dyDescent="0.35">
      <c r="O33" s="73" t="s">
        <v>272</v>
      </c>
      <c r="P33" s="59">
        <v>0.88</v>
      </c>
    </row>
    <row r="34" spans="14:18" x14ac:dyDescent="0.35">
      <c r="O34" s="73" t="s">
        <v>273</v>
      </c>
      <c r="P34" s="59">
        <v>24.36</v>
      </c>
    </row>
    <row r="35" spans="14:18" x14ac:dyDescent="0.35">
      <c r="O35" s="71" t="s">
        <v>274</v>
      </c>
      <c r="P35" s="71">
        <f>P33*P32*P28*(P17/K16)*(P34/K13)</f>
        <v>2.9098492014808454E-3</v>
      </c>
      <c r="R35">
        <v>2.9098490000000001E-2</v>
      </c>
    </row>
    <row r="37" spans="14:18" x14ac:dyDescent="0.35">
      <c r="N37" t="s">
        <v>275</v>
      </c>
      <c r="O37" s="71" t="s">
        <v>276</v>
      </c>
      <c r="P37">
        <f>P35+P13</f>
        <v>1.7798492014808455E-3</v>
      </c>
      <c r="R37">
        <v>1.779849E-3</v>
      </c>
    </row>
    <row r="38" spans="14:18" x14ac:dyDescent="0.35">
      <c r="N38" t="s">
        <v>202</v>
      </c>
    </row>
  </sheetData>
  <mergeCells count="2">
    <mergeCell ref="O3:P3"/>
    <mergeCell ref="O16:P16"/>
  </mergeCells>
  <phoneticPr fontId="1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1411-5660-464C-9C4C-6217B48F300B}">
  <dimension ref="B1:AD70"/>
  <sheetViews>
    <sheetView zoomScale="35" workbookViewId="0">
      <selection activeCell="W58" sqref="W58"/>
    </sheetView>
  </sheetViews>
  <sheetFormatPr defaultRowHeight="14.5" x14ac:dyDescent="0.35"/>
  <cols>
    <col min="2" max="7" width="8.81640625" bestFit="1" customWidth="1"/>
    <col min="10" max="10" width="17.54296875" customWidth="1"/>
    <col min="11" max="11" width="13.453125" customWidth="1"/>
    <col min="12" max="12" width="11.453125" customWidth="1"/>
    <col min="15" max="15" width="14.7265625" customWidth="1"/>
    <col min="16" max="16" width="15.7265625" customWidth="1"/>
    <col min="17" max="17" width="8.81640625" bestFit="1" customWidth="1"/>
    <col min="21" max="21" width="11.453125" bestFit="1" customWidth="1"/>
    <col min="24" max="24" width="14.36328125" customWidth="1"/>
    <col min="25" max="25" width="13.453125" customWidth="1"/>
    <col min="26" max="26" width="12.54296875" customWidth="1"/>
    <col min="27" max="27" width="13.453125" customWidth="1"/>
    <col min="28" max="28" width="17.08984375" customWidth="1"/>
  </cols>
  <sheetData>
    <row r="1" spans="2:19" x14ac:dyDescent="0.35">
      <c r="B1" s="1"/>
      <c r="C1" s="1"/>
      <c r="D1" s="1"/>
      <c r="E1" s="1"/>
      <c r="F1" s="1"/>
      <c r="G1" s="1"/>
      <c r="H1" s="1"/>
    </row>
    <row r="2" spans="2:19" x14ac:dyDescent="0.35">
      <c r="B2" s="3" t="s">
        <v>11</v>
      </c>
      <c r="C2" s="3"/>
      <c r="D2" s="4"/>
      <c r="E2" s="1"/>
      <c r="F2" s="1"/>
      <c r="G2" s="1"/>
      <c r="H2" s="1"/>
    </row>
    <row r="3" spans="2:19" x14ac:dyDescent="0.35">
      <c r="H3" s="4"/>
      <c r="J3" t="s">
        <v>226</v>
      </c>
    </row>
    <row r="4" spans="2:19" x14ac:dyDescent="0.35">
      <c r="B4" s="2" t="s">
        <v>14</v>
      </c>
      <c r="C4" s="58" t="s">
        <v>15</v>
      </c>
      <c r="D4" s="58" t="s">
        <v>16</v>
      </c>
      <c r="E4" s="2" t="s">
        <v>17</v>
      </c>
      <c r="F4" s="2" t="s">
        <v>18</v>
      </c>
      <c r="G4" s="2" t="s">
        <v>19</v>
      </c>
      <c r="H4" s="4"/>
    </row>
    <row r="5" spans="2:19" x14ac:dyDescent="0.35">
      <c r="B5" s="2">
        <v>1</v>
      </c>
      <c r="C5" s="6">
        <v>0</v>
      </c>
      <c r="D5" s="6">
        <v>0.439</v>
      </c>
      <c r="E5" s="6">
        <v>-0.5857</v>
      </c>
      <c r="F5" s="6">
        <v>0.05</v>
      </c>
      <c r="G5" s="6">
        <v>8.0000000000000002E-3</v>
      </c>
      <c r="H5" s="1"/>
      <c r="J5" s="59" t="s">
        <v>229</v>
      </c>
      <c r="K5" s="59">
        <f>(C19-C9)*(D9)</f>
        <v>350.79690879999998</v>
      </c>
    </row>
    <row r="6" spans="2:19" x14ac:dyDescent="0.35">
      <c r="B6" s="2">
        <v>2</v>
      </c>
      <c r="C6" s="6">
        <v>0.7</v>
      </c>
      <c r="D6" s="9">
        <v>1.464</v>
      </c>
      <c r="E6" s="6">
        <v>-1.7572000000000001</v>
      </c>
      <c r="F6" s="6">
        <v>1.2</v>
      </c>
      <c r="G6" s="6">
        <v>4.5199999999999996</v>
      </c>
      <c r="H6" s="1"/>
      <c r="J6" s="59" t="s">
        <v>231</v>
      </c>
      <c r="K6" s="59">
        <f>0.5*-E10*(C19-C10)</f>
        <v>65.61507804</v>
      </c>
      <c r="O6" s="153" t="s">
        <v>246</v>
      </c>
      <c r="P6" s="153"/>
    </row>
    <row r="7" spans="2:19" x14ac:dyDescent="0.35">
      <c r="B7" s="2">
        <v>3</v>
      </c>
      <c r="C7" s="6">
        <v>2.6379999999999999</v>
      </c>
      <c r="D7" s="9">
        <v>2.9289999999999998</v>
      </c>
      <c r="E7" s="6">
        <v>-3.2214999999999998</v>
      </c>
      <c r="F7" s="6">
        <v>2.42</v>
      </c>
      <c r="G7" s="6">
        <v>18.3</v>
      </c>
      <c r="H7" s="1"/>
      <c r="J7" s="59" t="s">
        <v>233</v>
      </c>
      <c r="K7" s="59">
        <f>(C10-C9)*-E9</f>
        <v>92.63341622999998</v>
      </c>
      <c r="O7" s="59" t="s">
        <v>248</v>
      </c>
      <c r="P7" s="80">
        <f>(P17/2)*P9*(1+P11)</f>
        <v>221.56739500000003</v>
      </c>
      <c r="S7" s="65"/>
    </row>
    <row r="8" spans="2:19" x14ac:dyDescent="0.35">
      <c r="B8" s="6">
        <v>4</v>
      </c>
      <c r="C8" s="6">
        <v>4.3929999999999998</v>
      </c>
      <c r="D8" s="9">
        <v>3.8069999999999999</v>
      </c>
      <c r="E8" s="6">
        <v>-3.8073000000000001</v>
      </c>
      <c r="F8" s="6">
        <v>2.64</v>
      </c>
      <c r="G8" s="6">
        <v>21.8</v>
      </c>
      <c r="H8" s="1"/>
      <c r="J8" s="59" t="s">
        <v>235</v>
      </c>
      <c r="K8" s="60">
        <f>(D8+ABS(E8)+D9+ABS(E9))*(C9-C8)*0.5</f>
        <v>19.780932190000001</v>
      </c>
      <c r="O8" s="59" t="s">
        <v>249</v>
      </c>
      <c r="P8" s="74">
        <v>1.56</v>
      </c>
      <c r="S8" s="65"/>
    </row>
    <row r="9" spans="2:19" x14ac:dyDescent="0.35">
      <c r="B9" s="6">
        <v>5</v>
      </c>
      <c r="C9" s="6">
        <v>6.5895000000000001</v>
      </c>
      <c r="D9" s="9">
        <v>6.0039999999999996</v>
      </c>
      <c r="E9" s="6">
        <v>-4.3930199999999999</v>
      </c>
      <c r="F9" s="6">
        <v>3.29</v>
      </c>
      <c r="G9" s="6">
        <v>34.1</v>
      </c>
      <c r="H9" s="1"/>
      <c r="J9" s="59" t="s">
        <v>236</v>
      </c>
      <c r="K9" s="59">
        <f>PI()*D8^2/2</f>
        <v>22.765942292523807</v>
      </c>
      <c r="O9" s="59" t="s">
        <v>251</v>
      </c>
      <c r="P9" s="74">
        <v>15.833299999999999</v>
      </c>
      <c r="S9" s="65"/>
    </row>
    <row r="10" spans="2:19" x14ac:dyDescent="0.35">
      <c r="B10" s="6">
        <v>6</v>
      </c>
      <c r="C10" s="6">
        <v>27.675999999999998</v>
      </c>
      <c r="D10" s="9">
        <v>6.0039999999999996</v>
      </c>
      <c r="E10" s="6">
        <v>-3.5144000000000002</v>
      </c>
      <c r="F10" s="6">
        <v>3.51</v>
      </c>
      <c r="G10" s="6">
        <v>38.799999999999997</v>
      </c>
      <c r="H10" s="1"/>
      <c r="J10" s="61" t="s">
        <v>238</v>
      </c>
      <c r="K10" s="62">
        <f>K5+K6+K7+K8+K9</f>
        <v>551.5922775525238</v>
      </c>
      <c r="O10" s="59" t="s">
        <v>253</v>
      </c>
      <c r="P10" s="74">
        <v>5.9960000000000004</v>
      </c>
      <c r="S10" s="65"/>
    </row>
    <row r="11" spans="2:19" x14ac:dyDescent="0.35">
      <c r="B11" s="6">
        <v>7</v>
      </c>
      <c r="C11" s="6">
        <v>33.8262</v>
      </c>
      <c r="D11" s="9">
        <v>6.0039999999999996</v>
      </c>
      <c r="E11" s="6">
        <v>-2.9287000000000001</v>
      </c>
      <c r="F11" s="6">
        <v>2.86</v>
      </c>
      <c r="G11" s="6">
        <v>25.6</v>
      </c>
      <c r="H11" s="1"/>
      <c r="J11" s="61" t="s">
        <v>240</v>
      </c>
      <c r="K11" s="61">
        <f>C19</f>
        <v>65.0167</v>
      </c>
      <c r="O11" s="72" t="s">
        <v>255</v>
      </c>
      <c r="P11" s="74">
        <f>P10/P9</f>
        <v>0.37869553409586132</v>
      </c>
      <c r="S11" s="65"/>
    </row>
    <row r="12" spans="2:19" x14ac:dyDescent="0.35">
      <c r="B12" s="6">
        <v>8</v>
      </c>
      <c r="C12" s="6">
        <v>41.0015</v>
      </c>
      <c r="D12" s="9">
        <v>6.0039999999999996</v>
      </c>
      <c r="E12" s="6">
        <v>-2.0499999999999998</v>
      </c>
      <c r="F12" s="6">
        <v>2.2000000000000002</v>
      </c>
      <c r="G12" s="6">
        <v>15.2</v>
      </c>
      <c r="H12" s="1"/>
      <c r="J12" s="61" t="s">
        <v>242</v>
      </c>
      <c r="K12" s="61">
        <v>93.84</v>
      </c>
      <c r="O12" s="59" t="s">
        <v>257</v>
      </c>
      <c r="P12" s="74">
        <v>55</v>
      </c>
      <c r="S12" s="65"/>
    </row>
    <row r="13" spans="2:19" x14ac:dyDescent="0.35">
      <c r="B13" s="6">
        <v>9</v>
      </c>
      <c r="C13" s="6">
        <v>47.591000000000001</v>
      </c>
      <c r="D13" s="9">
        <v>6.0039999999999996</v>
      </c>
      <c r="E13" s="6">
        <v>-1.464</v>
      </c>
      <c r="F13" s="6">
        <v>1.53</v>
      </c>
      <c r="G13" s="6">
        <v>7.4</v>
      </c>
      <c r="H13" s="1"/>
      <c r="J13" s="61" t="s">
        <v>163</v>
      </c>
      <c r="K13" s="61">
        <v>0</v>
      </c>
      <c r="O13" s="59" t="s">
        <v>259</v>
      </c>
      <c r="P13" s="79">
        <v>48.725000000000001</v>
      </c>
      <c r="S13" s="65"/>
    </row>
    <row r="14" spans="2:19" x14ac:dyDescent="0.35">
      <c r="B14" s="6">
        <v>10</v>
      </c>
      <c r="C14" s="6">
        <v>51.398299999999999</v>
      </c>
      <c r="D14" s="9">
        <v>5.7108999999999996</v>
      </c>
      <c r="E14" s="6">
        <v>-0.87860000000000005</v>
      </c>
      <c r="F14" s="6">
        <v>1.32</v>
      </c>
      <c r="G14" s="6">
        <v>5.5</v>
      </c>
      <c r="H14" s="1"/>
      <c r="J14" s="61" t="s">
        <v>244</v>
      </c>
      <c r="K14" s="61">
        <v>0</v>
      </c>
      <c r="O14" s="73" t="s">
        <v>260</v>
      </c>
      <c r="P14" s="76">
        <v>40.390999999999998</v>
      </c>
      <c r="Q14">
        <v>0.8508</v>
      </c>
      <c r="S14" s="65"/>
    </row>
    <row r="15" spans="2:19" x14ac:dyDescent="0.35">
      <c r="B15" s="6">
        <v>11</v>
      </c>
      <c r="C15" s="6">
        <v>55.6449</v>
      </c>
      <c r="D15" s="9">
        <v>5.7108999999999996</v>
      </c>
      <c r="E15" s="6">
        <v>-0.5857</v>
      </c>
      <c r="F15" s="6">
        <v>1.1000000000000001</v>
      </c>
      <c r="G15" s="6">
        <v>3.8</v>
      </c>
      <c r="H15" s="1"/>
      <c r="J15" s="61" t="s">
        <v>245</v>
      </c>
      <c r="K15" s="61">
        <v>1023.95</v>
      </c>
      <c r="O15" s="59" t="s">
        <v>262</v>
      </c>
      <c r="P15" s="74">
        <v>5</v>
      </c>
      <c r="S15" s="65"/>
    </row>
    <row r="16" spans="2:19" x14ac:dyDescent="0.35">
      <c r="B16" s="6">
        <v>12</v>
      </c>
      <c r="C16" s="6">
        <v>58.573599999999999</v>
      </c>
      <c r="D16" s="9">
        <v>5.7108999999999996</v>
      </c>
      <c r="E16" s="6">
        <v>-0.29287000000000002</v>
      </c>
      <c r="F16" s="6">
        <v>0.85</v>
      </c>
      <c r="G16" s="6">
        <v>2.2999999999999998</v>
      </c>
      <c r="H16" s="1"/>
      <c r="J16" s="61" t="s">
        <v>247</v>
      </c>
      <c r="K16" s="61">
        <v>8.6</v>
      </c>
      <c r="O16" s="59" t="s">
        <v>263</v>
      </c>
      <c r="P16" s="60">
        <v>7.02</v>
      </c>
      <c r="S16" s="65"/>
    </row>
    <row r="17" spans="2:25" x14ac:dyDescent="0.35">
      <c r="B17" s="6">
        <v>13</v>
      </c>
      <c r="C17" s="6">
        <v>62.673699999999997</v>
      </c>
      <c r="D17" s="9">
        <v>5.7108999999999996</v>
      </c>
      <c r="E17" s="6">
        <v>-0.23430000000000001</v>
      </c>
      <c r="F17" s="6">
        <v>0.5</v>
      </c>
      <c r="G17" s="6">
        <v>0.79</v>
      </c>
      <c r="H17" s="1"/>
      <c r="J17" s="63" t="s">
        <v>166</v>
      </c>
      <c r="K17" s="61">
        <v>1</v>
      </c>
      <c r="O17" s="59" t="s">
        <v>264</v>
      </c>
      <c r="P17" s="74">
        <v>20.3</v>
      </c>
      <c r="S17" s="65"/>
      <c r="U17" s="166"/>
      <c r="V17" s="166"/>
      <c r="W17" s="166"/>
      <c r="X17" s="166"/>
      <c r="Y17" s="166"/>
    </row>
    <row r="18" spans="2:25" x14ac:dyDescent="0.35">
      <c r="B18" s="6">
        <v>14</v>
      </c>
      <c r="C18" s="6">
        <v>63.405900000000003</v>
      </c>
      <c r="D18" s="9">
        <v>5.7108999999999996</v>
      </c>
      <c r="E18" s="6">
        <v>-0.1464</v>
      </c>
      <c r="F18" s="6">
        <v>0.22</v>
      </c>
      <c r="G18" s="6">
        <v>0.15</v>
      </c>
      <c r="H18" s="1"/>
      <c r="J18" s="61" t="s">
        <v>250</v>
      </c>
      <c r="K18" s="61">
        <v>25.64</v>
      </c>
      <c r="O18" s="75" t="s">
        <v>265</v>
      </c>
      <c r="P18" s="74">
        <v>1.485257008</v>
      </c>
      <c r="S18" s="65"/>
      <c r="U18" s="166"/>
      <c r="V18" s="166"/>
      <c r="W18" s="166"/>
      <c r="X18" s="166"/>
      <c r="Y18" s="166"/>
    </row>
    <row r="19" spans="2:25" x14ac:dyDescent="0.35">
      <c r="B19" s="6">
        <v>15</v>
      </c>
      <c r="C19" s="6">
        <v>65.0167</v>
      </c>
      <c r="D19" s="9">
        <v>5.7108999999999996</v>
      </c>
      <c r="E19" s="6">
        <v>0</v>
      </c>
      <c r="F19" s="6">
        <v>0.1</v>
      </c>
      <c r="G19" s="6">
        <v>3.1399999999999997E-2</v>
      </c>
      <c r="H19" s="1"/>
      <c r="J19" s="63" t="s">
        <v>252</v>
      </c>
      <c r="K19" s="62">
        <f>D9+ABS(E9)</f>
        <v>10.397019999999999</v>
      </c>
      <c r="O19" s="73" t="s">
        <v>266</v>
      </c>
      <c r="P19" s="74">
        <v>0.98544399999999999</v>
      </c>
      <c r="S19" s="65"/>
      <c r="U19" s="166"/>
      <c r="V19" s="166"/>
      <c r="W19" s="167"/>
      <c r="X19" s="166"/>
      <c r="Y19" s="166"/>
    </row>
    <row r="20" spans="2:25" x14ac:dyDescent="0.35">
      <c r="B20" s="1"/>
      <c r="C20" s="1"/>
      <c r="D20" s="1"/>
      <c r="E20" s="1"/>
      <c r="F20" s="1"/>
      <c r="G20" s="1"/>
      <c r="H20" s="1"/>
      <c r="J20" s="63" t="s">
        <v>254</v>
      </c>
      <c r="K20" s="62">
        <f>D13+ABS(E13)</f>
        <v>7.468</v>
      </c>
      <c r="O20" s="73" t="s">
        <v>267</v>
      </c>
      <c r="P20" s="76">
        <v>2.0244900000000001</v>
      </c>
      <c r="U20" s="166"/>
      <c r="V20" s="166"/>
      <c r="W20" s="166"/>
      <c r="X20" s="166"/>
      <c r="Y20" s="166"/>
    </row>
    <row r="21" spans="2:25" ht="16.5" x14ac:dyDescent="0.45">
      <c r="J21" s="63" t="s">
        <v>256</v>
      </c>
      <c r="K21" s="62">
        <f>K19</f>
        <v>10.397019999999999</v>
      </c>
      <c r="O21" s="73" t="s">
        <v>269</v>
      </c>
      <c r="P21" s="59">
        <f>(2*PI()*P20)/(2+SQRT((P20^2*P19^2)/P23^2*(1+((Q14^2)/P19^2))+4))</f>
        <v>2.2708709088177996</v>
      </c>
      <c r="S21" s="64"/>
      <c r="U21" s="166"/>
      <c r="V21" s="166"/>
      <c r="W21" s="168"/>
      <c r="X21" s="166"/>
      <c r="Y21" s="166"/>
    </row>
    <row r="22" spans="2:25" ht="16.5" x14ac:dyDescent="0.45">
      <c r="J22" s="63" t="s">
        <v>258</v>
      </c>
      <c r="K22" s="61">
        <f>2.1*4.08</f>
        <v>8.5680000000000014</v>
      </c>
      <c r="O22" s="73" t="s">
        <v>271</v>
      </c>
      <c r="P22" s="79">
        <f>P21*PI()/180</f>
        <v>3.9634174246626533E-2</v>
      </c>
      <c r="U22" s="166"/>
      <c r="V22" s="166"/>
      <c r="W22" s="166"/>
      <c r="X22" s="166"/>
      <c r="Y22" s="166"/>
    </row>
    <row r="23" spans="2:25" x14ac:dyDescent="0.35">
      <c r="O23" s="73" t="s">
        <v>272</v>
      </c>
      <c r="P23" s="59">
        <v>0.88</v>
      </c>
      <c r="U23" s="166"/>
      <c r="V23" s="166"/>
      <c r="W23" s="166"/>
      <c r="X23" s="166"/>
      <c r="Y23" s="166"/>
    </row>
    <row r="24" spans="2:25" x14ac:dyDescent="0.35">
      <c r="J24" s="70"/>
      <c r="L24" t="s">
        <v>261</v>
      </c>
      <c r="O24" s="73" t="s">
        <v>273</v>
      </c>
      <c r="P24">
        <v>24.36</v>
      </c>
      <c r="U24" s="166"/>
      <c r="V24" s="166"/>
      <c r="W24" s="166"/>
      <c r="X24" s="166"/>
      <c r="Y24" s="166"/>
    </row>
    <row r="25" spans="2:25" x14ac:dyDescent="0.35">
      <c r="O25" s="59" t="s">
        <v>277</v>
      </c>
      <c r="P25">
        <v>5.0999999999999996</v>
      </c>
      <c r="U25" s="166"/>
      <c r="V25" s="166"/>
      <c r="W25" s="166"/>
      <c r="X25" s="166"/>
      <c r="Y25" s="166"/>
    </row>
    <row r="26" spans="2:25" x14ac:dyDescent="0.35">
      <c r="O26" s="73" t="s">
        <v>278</v>
      </c>
      <c r="P26">
        <v>7</v>
      </c>
      <c r="Q26">
        <v>5</v>
      </c>
      <c r="U26" s="166"/>
      <c r="V26" s="166"/>
      <c r="W26" s="166"/>
      <c r="X26" s="166"/>
      <c r="Y26" s="166"/>
    </row>
    <row r="27" spans="2:25" x14ac:dyDescent="0.35">
      <c r="O27" s="71" t="s">
        <v>279</v>
      </c>
      <c r="P27">
        <f>-P22*P18*P23*(P7/K15)*0.1031156733</f>
        <v>-1.1558617173237087E-3</v>
      </c>
      <c r="U27" s="166"/>
      <c r="V27" s="166"/>
      <c r="W27" s="166"/>
      <c r="X27" s="166"/>
      <c r="Y27" s="166"/>
    </row>
    <row r="28" spans="2:25" x14ac:dyDescent="0.35">
      <c r="U28" s="166"/>
      <c r="V28" s="166"/>
      <c r="W28" s="166"/>
      <c r="X28" s="166"/>
      <c r="Y28" s="166"/>
    </row>
    <row r="29" spans="2:25" x14ac:dyDescent="0.35">
      <c r="U29" s="166"/>
      <c r="V29" s="166"/>
      <c r="W29" s="166"/>
      <c r="X29" s="166"/>
      <c r="Y29" s="166"/>
    </row>
    <row r="30" spans="2:25" x14ac:dyDescent="0.35">
      <c r="K30" t="s">
        <v>268</v>
      </c>
      <c r="U30" s="166"/>
      <c r="V30" s="166"/>
      <c r="W30" s="166"/>
      <c r="X30" s="166"/>
      <c r="Y30" s="166"/>
    </row>
    <row r="31" spans="2:25" x14ac:dyDescent="0.35">
      <c r="K31" t="s">
        <v>270</v>
      </c>
      <c r="U31" s="166"/>
      <c r="V31" s="166"/>
      <c r="W31" s="166"/>
      <c r="X31" s="166"/>
      <c r="Y31" s="166"/>
    </row>
    <row r="32" spans="2:25" x14ac:dyDescent="0.35">
      <c r="U32" s="166"/>
      <c r="V32" s="166"/>
      <c r="W32" s="166"/>
      <c r="X32" s="166"/>
      <c r="Y32" s="166"/>
    </row>
    <row r="33" spans="9:30" x14ac:dyDescent="0.35">
      <c r="AD33" s="1"/>
    </row>
    <row r="34" spans="9:30" x14ac:dyDescent="0.35">
      <c r="AD34" s="1"/>
    </row>
    <row r="35" spans="9:30" x14ac:dyDescent="0.35">
      <c r="AD35" s="1"/>
    </row>
    <row r="36" spans="9:30" x14ac:dyDescent="0.35">
      <c r="I36" s="6"/>
      <c r="J36" s="2" t="s">
        <v>280</v>
      </c>
      <c r="K36" s="2" t="s">
        <v>281</v>
      </c>
      <c r="L36" s="2" t="s">
        <v>282</v>
      </c>
      <c r="AD36" s="1"/>
    </row>
    <row r="37" spans="9:30" ht="16.5" x14ac:dyDescent="0.35">
      <c r="I37" s="2" t="s">
        <v>283</v>
      </c>
      <c r="J37" s="6">
        <v>-1.1299999999999999E-3</v>
      </c>
      <c r="K37" s="6"/>
      <c r="L37" s="6"/>
      <c r="AD37" s="1"/>
    </row>
    <row r="38" spans="9:30" ht="16.5" x14ac:dyDescent="0.35">
      <c r="I38" s="2" t="s">
        <v>284</v>
      </c>
      <c r="J38" s="59">
        <v>2.9098490000000001E-2</v>
      </c>
      <c r="K38" s="6"/>
      <c r="L38" s="6"/>
      <c r="AD38" s="1"/>
    </row>
    <row r="39" spans="9:30" ht="16.5" x14ac:dyDescent="0.35">
      <c r="I39" s="2" t="s">
        <v>285</v>
      </c>
      <c r="J39" s="6">
        <v>0</v>
      </c>
      <c r="K39" s="6"/>
      <c r="L39" s="6"/>
      <c r="AD39" s="1"/>
    </row>
    <row r="40" spans="9:30" ht="16.5" x14ac:dyDescent="0.35">
      <c r="I40" s="2" t="s">
        <v>286</v>
      </c>
      <c r="J40" s="6">
        <v>0</v>
      </c>
      <c r="K40" s="6"/>
      <c r="L40" s="6"/>
      <c r="AD40" s="1"/>
    </row>
    <row r="41" spans="9:30" ht="16.5" x14ac:dyDescent="0.35">
      <c r="I41" s="27" t="s">
        <v>287</v>
      </c>
      <c r="J41" s="71">
        <v>1.779849E-3</v>
      </c>
      <c r="K41" s="86">
        <v>1.676E-3</v>
      </c>
      <c r="L41" s="84">
        <f>((J41-K41)/K41)*100</f>
        <v>6.196241050119335</v>
      </c>
      <c r="AD41" s="1"/>
    </row>
    <row r="42" spans="9:30" ht="16.5" x14ac:dyDescent="0.35">
      <c r="I42" s="2" t="s">
        <v>288</v>
      </c>
      <c r="J42" s="6" t="s">
        <v>289</v>
      </c>
      <c r="K42" s="87"/>
      <c r="L42" s="29"/>
      <c r="AD42" s="1"/>
    </row>
    <row r="43" spans="9:30" ht="16.5" x14ac:dyDescent="0.35">
      <c r="I43" s="2" t="s">
        <v>290</v>
      </c>
      <c r="J43" s="6">
        <f>P27</f>
        <v>-1.1558617173237087E-3</v>
      </c>
      <c r="K43" s="87"/>
      <c r="L43" s="29"/>
      <c r="AD43" s="1"/>
    </row>
    <row r="44" spans="9:30" ht="16.5" x14ac:dyDescent="0.35">
      <c r="I44" s="27" t="s">
        <v>291</v>
      </c>
      <c r="J44" s="85">
        <f>P27</f>
        <v>-1.1558617173237087E-3</v>
      </c>
      <c r="K44" s="86">
        <v>-1.7780000000000001E-3</v>
      </c>
      <c r="L44" s="84">
        <f>ABS(((J44-K44)/K44)*100)</f>
        <v>34.990904537474208</v>
      </c>
      <c r="AD44" s="1"/>
    </row>
    <row r="45" spans="9:30" x14ac:dyDescent="0.35">
      <c r="AD45" s="1"/>
    </row>
    <row r="46" spans="9:30" x14ac:dyDescent="0.35">
      <c r="AD46" s="1"/>
    </row>
    <row r="51" spans="4:9" x14ac:dyDescent="0.35">
      <c r="D51" s="1"/>
      <c r="E51" s="1"/>
      <c r="F51" s="1"/>
      <c r="G51" s="1"/>
      <c r="H51" s="1"/>
      <c r="I51" s="1"/>
    </row>
    <row r="52" spans="4:9" x14ac:dyDescent="0.35">
      <c r="D52" s="1"/>
      <c r="E52" s="1"/>
      <c r="F52" s="1"/>
      <c r="G52" s="1"/>
      <c r="H52" s="1"/>
      <c r="I52" s="1"/>
    </row>
    <row r="53" spans="4:9" x14ac:dyDescent="0.35">
      <c r="D53" s="1"/>
      <c r="E53" s="119" t="s">
        <v>151</v>
      </c>
      <c r="F53" s="119"/>
      <c r="G53" s="119" t="s">
        <v>152</v>
      </c>
      <c r="H53" s="119"/>
      <c r="I53" s="1"/>
    </row>
    <row r="54" spans="4:9" x14ac:dyDescent="0.35">
      <c r="D54" s="1"/>
      <c r="E54" s="2" t="s">
        <v>398</v>
      </c>
      <c r="F54" s="2" t="s">
        <v>220</v>
      </c>
      <c r="G54" s="2" t="s">
        <v>222</v>
      </c>
      <c r="H54" s="2" t="s">
        <v>221</v>
      </c>
      <c r="I54" s="1"/>
    </row>
    <row r="55" spans="4:9" ht="16.5" x14ac:dyDescent="0.35">
      <c r="D55" s="154" t="s">
        <v>397</v>
      </c>
      <c r="E55" s="48" t="s">
        <v>170</v>
      </c>
      <c r="F55" s="18">
        <v>8.8080000000000006E-2</v>
      </c>
      <c r="G55" s="18">
        <v>9.6210000000000004E-2</v>
      </c>
      <c r="H55" s="104">
        <f t="shared" ref="H55:H62" si="0">(G55-F55)/F55*100</f>
        <v>9.2302452316076273</v>
      </c>
      <c r="I55" s="1"/>
    </row>
    <row r="56" spans="4:9" ht="16.5" x14ac:dyDescent="0.35">
      <c r="D56" s="155"/>
      <c r="E56" s="48" t="s">
        <v>172</v>
      </c>
      <c r="F56" s="18">
        <v>1.00634</v>
      </c>
      <c r="G56" s="18">
        <v>1.1930000000000001</v>
      </c>
      <c r="H56" s="104">
        <f t="shared" si="0"/>
        <v>18.548403124192621</v>
      </c>
      <c r="I56" s="1"/>
    </row>
    <row r="57" spans="4:9" ht="16.5" x14ac:dyDescent="0.35">
      <c r="D57" s="155"/>
      <c r="E57" s="48" t="s">
        <v>186</v>
      </c>
      <c r="F57" s="18">
        <v>5.6849999999999998E-2</v>
      </c>
      <c r="G57" s="18">
        <v>7.1999999999999995E-2</v>
      </c>
      <c r="H57" s="104">
        <f t="shared" si="0"/>
        <v>26.649076517150387</v>
      </c>
      <c r="I57" s="1"/>
    </row>
    <row r="58" spans="4:9" ht="16.5" x14ac:dyDescent="0.35">
      <c r="D58" s="155"/>
      <c r="E58" s="48" t="s">
        <v>187</v>
      </c>
      <c r="F58" s="18">
        <v>141.76499999999999</v>
      </c>
      <c r="G58" s="18">
        <v>146.72999999999999</v>
      </c>
      <c r="H58" s="104">
        <f t="shared" si="0"/>
        <v>3.5022748915458708</v>
      </c>
      <c r="I58" s="1"/>
    </row>
    <row r="59" spans="4:9" x14ac:dyDescent="0.35">
      <c r="D59" s="155"/>
      <c r="E59" s="48" t="s">
        <v>188</v>
      </c>
      <c r="F59" s="18">
        <v>43709.14</v>
      </c>
      <c r="G59" s="18">
        <v>43709.14</v>
      </c>
      <c r="H59" s="104">
        <f t="shared" si="0"/>
        <v>0</v>
      </c>
      <c r="I59" s="1"/>
    </row>
    <row r="60" spans="4:9" x14ac:dyDescent="0.35">
      <c r="D60" s="155"/>
      <c r="E60" s="48" t="s">
        <v>195</v>
      </c>
      <c r="F60" s="18">
        <v>2469.4</v>
      </c>
      <c r="G60" s="18">
        <v>3128.1</v>
      </c>
      <c r="H60" s="104">
        <f t="shared" si="0"/>
        <v>26.674495828946291</v>
      </c>
      <c r="I60" s="1"/>
    </row>
    <row r="61" spans="4:9" ht="16.5" x14ac:dyDescent="0.35">
      <c r="D61" s="155"/>
      <c r="E61" s="48" t="s">
        <v>201</v>
      </c>
      <c r="F61" s="18">
        <v>0.28660000000000002</v>
      </c>
      <c r="G61" s="18">
        <v>0.49099999999999999</v>
      </c>
      <c r="H61" s="104">
        <f t="shared" si="0"/>
        <v>71.318911374738292</v>
      </c>
      <c r="I61" s="1"/>
    </row>
    <row r="62" spans="4:9" ht="16.5" x14ac:dyDescent="0.35">
      <c r="D62" s="155"/>
      <c r="E62" s="48" t="s">
        <v>214</v>
      </c>
      <c r="F62" s="18">
        <v>-2.92E-2</v>
      </c>
      <c r="G62" s="18">
        <v>-7.0319999999999994E-2</v>
      </c>
      <c r="H62" s="104">
        <f t="shared" si="0"/>
        <v>140.82191780821913</v>
      </c>
      <c r="I62" s="1"/>
    </row>
    <row r="63" spans="4:9" ht="16.5" x14ac:dyDescent="0.35">
      <c r="D63" s="156" t="s">
        <v>396</v>
      </c>
      <c r="E63" s="50" t="s">
        <v>283</v>
      </c>
      <c r="F63" s="22">
        <v>-1.1299999999999999E-3</v>
      </c>
      <c r="G63" s="22"/>
      <c r="H63" s="22"/>
      <c r="I63" s="1"/>
    </row>
    <row r="64" spans="4:9" ht="16.5" x14ac:dyDescent="0.35">
      <c r="D64" s="156"/>
      <c r="E64" s="50" t="s">
        <v>284</v>
      </c>
      <c r="F64" s="88">
        <v>2.9098490000000001E-2</v>
      </c>
      <c r="G64" s="22"/>
      <c r="H64" s="22"/>
      <c r="I64" s="1"/>
    </row>
    <row r="65" spans="4:8" ht="16.5" x14ac:dyDescent="0.35">
      <c r="D65" s="156"/>
      <c r="E65" s="50" t="s">
        <v>285</v>
      </c>
      <c r="F65" s="22">
        <v>0</v>
      </c>
      <c r="G65" s="22"/>
      <c r="H65" s="22"/>
    </row>
    <row r="66" spans="4:8" ht="16.5" x14ac:dyDescent="0.35">
      <c r="D66" s="156"/>
      <c r="E66" s="50" t="s">
        <v>286</v>
      </c>
      <c r="F66" s="22">
        <v>0</v>
      </c>
      <c r="G66" s="22"/>
      <c r="H66" s="22"/>
    </row>
    <row r="67" spans="4:8" ht="16.5" x14ac:dyDescent="0.35">
      <c r="D67" s="156"/>
      <c r="E67" s="50" t="s">
        <v>287</v>
      </c>
      <c r="F67" s="88">
        <v>1.779849E-3</v>
      </c>
      <c r="G67" s="105">
        <v>1.676E-3</v>
      </c>
      <c r="H67" s="51">
        <f>((F67-G67)/G67)*100</f>
        <v>6.196241050119335</v>
      </c>
    </row>
    <row r="68" spans="4:8" ht="16.5" x14ac:dyDescent="0.35">
      <c r="D68" s="157" t="s">
        <v>395</v>
      </c>
      <c r="E68" s="106" t="s">
        <v>288</v>
      </c>
      <c r="F68" s="107" t="s">
        <v>289</v>
      </c>
      <c r="G68" s="108"/>
      <c r="H68" s="109"/>
    </row>
    <row r="69" spans="4:8" ht="16.5" x14ac:dyDescent="0.35">
      <c r="D69" s="157"/>
      <c r="E69" s="106" t="s">
        <v>290</v>
      </c>
      <c r="F69" s="107">
        <f>J43</f>
        <v>-1.1558617173237087E-3</v>
      </c>
      <c r="G69" s="108"/>
      <c r="H69" s="109"/>
    </row>
    <row r="70" spans="4:8" ht="16.5" x14ac:dyDescent="0.35">
      <c r="D70" s="157"/>
      <c r="E70" s="106" t="s">
        <v>291</v>
      </c>
      <c r="F70" s="110">
        <f>J44</f>
        <v>-1.1558617173237087E-3</v>
      </c>
      <c r="G70" s="108">
        <v>-1.7780000000000001E-3</v>
      </c>
      <c r="H70" s="109">
        <f>ABS(((F70-G70)/G70)*100)</f>
        <v>34.990904537474208</v>
      </c>
    </row>
  </sheetData>
  <mergeCells count="6">
    <mergeCell ref="O6:P6"/>
    <mergeCell ref="G53:H53"/>
    <mergeCell ref="D55:D62"/>
    <mergeCell ref="D63:D67"/>
    <mergeCell ref="D68:D70"/>
    <mergeCell ref="E53:F5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BB52-EF0C-46E2-AB66-D34A56E6511E}">
  <dimension ref="B9:M23"/>
  <sheetViews>
    <sheetView zoomScale="67" workbookViewId="0">
      <selection activeCell="L10" sqref="L10"/>
    </sheetView>
  </sheetViews>
  <sheetFormatPr defaultColWidth="8.7265625" defaultRowHeight="14.5" x14ac:dyDescent="0.35"/>
  <cols>
    <col min="1" max="2" width="8.7265625" style="1"/>
    <col min="3" max="3" width="12.81640625" style="1" customWidth="1"/>
    <col min="4" max="4" width="13.81640625" style="1" customWidth="1"/>
    <col min="5" max="5" width="10.7265625" style="1" customWidth="1"/>
    <col min="6" max="8" width="8.7265625" style="1"/>
    <col min="9" max="9" width="9.81640625" style="1" customWidth="1"/>
    <col min="10" max="10" width="14.54296875" style="1" bestFit="1" customWidth="1"/>
    <col min="11" max="11" width="12.54296875" style="1" customWidth="1"/>
    <col min="12" max="16384" width="8.7265625" style="1"/>
  </cols>
  <sheetData>
    <row r="9" spans="2:13" ht="16.5" x14ac:dyDescent="0.35">
      <c r="C9" s="2" t="s">
        <v>292</v>
      </c>
      <c r="D9" s="2" t="s">
        <v>293</v>
      </c>
      <c r="E9" s="2" t="s">
        <v>294</v>
      </c>
      <c r="F9" s="2" t="s">
        <v>177</v>
      </c>
      <c r="G9" s="2" t="s">
        <v>295</v>
      </c>
      <c r="H9" s="2" t="s">
        <v>296</v>
      </c>
      <c r="I9" s="2" t="s">
        <v>297</v>
      </c>
      <c r="J9" s="81" t="s">
        <v>298</v>
      </c>
      <c r="K9" s="26" t="s">
        <v>167</v>
      </c>
      <c r="L9" s="2" t="s">
        <v>211</v>
      </c>
      <c r="M9" s="2" t="s">
        <v>179</v>
      </c>
    </row>
    <row r="10" spans="2:13" x14ac:dyDescent="0.35">
      <c r="B10" s="1" t="s">
        <v>299</v>
      </c>
      <c r="C10" s="6">
        <v>-1.6707000000000001</v>
      </c>
      <c r="D10" s="6">
        <v>5.1880000000000003E-2</v>
      </c>
      <c r="E10" s="6">
        <v>5.0464453999999996</v>
      </c>
      <c r="F10" s="6">
        <v>25.64</v>
      </c>
      <c r="G10" s="6">
        <v>27</v>
      </c>
      <c r="H10" s="6">
        <f>(G10-F10)/M10</f>
        <v>0.1171403962101636</v>
      </c>
      <c r="I10" s="6">
        <v>4.0126999999999997</v>
      </c>
      <c r="J10" s="6">
        <v>0.28660000000000002</v>
      </c>
      <c r="K10" s="6">
        <v>1</v>
      </c>
      <c r="L10" s="6">
        <v>0.80822000000000005</v>
      </c>
      <c r="M10" s="6">
        <v>11.61</v>
      </c>
    </row>
    <row r="11" spans="2:13" x14ac:dyDescent="0.35">
      <c r="G11" s="1">
        <f>G10/M10</f>
        <v>2.3255813953488373</v>
      </c>
    </row>
    <row r="22" spans="3:5" x14ac:dyDescent="0.35">
      <c r="C22" s="83" t="s">
        <v>300</v>
      </c>
      <c r="D22" s="83" t="s">
        <v>301</v>
      </c>
    </row>
    <row r="23" spans="3:5" x14ac:dyDescent="0.35">
      <c r="C23" s="54">
        <f>((I10*(1-J10)*K10*L10-D10+E10*(G10/M10))/E10)*M10</f>
        <v>32.203515455847423</v>
      </c>
      <c r="D23" s="82">
        <f>(C23-F10)/M10</f>
        <v>0.56533294193345585</v>
      </c>
      <c r="E23" s="1" t="s">
        <v>302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E0F8-0BF2-4131-B401-37BB0D1A3C71}">
  <dimension ref="B2:X30"/>
  <sheetViews>
    <sheetView zoomScale="82" workbookViewId="0">
      <selection activeCell="O15" sqref="O15"/>
    </sheetView>
  </sheetViews>
  <sheetFormatPr defaultRowHeight="14.5" x14ac:dyDescent="0.35"/>
  <cols>
    <col min="2" max="2" width="9.90625" customWidth="1"/>
    <col min="3" max="3" width="10.6328125" customWidth="1"/>
    <col min="4" max="4" width="9.54296875" customWidth="1"/>
    <col min="5" max="5" width="12.1796875" customWidth="1"/>
    <col min="6" max="8" width="8.81640625" bestFit="1" customWidth="1"/>
    <col min="9" max="9" width="11.90625" customWidth="1"/>
    <col min="10" max="10" width="13" customWidth="1"/>
    <col min="11" max="11" width="8.81640625" bestFit="1" customWidth="1"/>
    <col min="12" max="12" width="10.6328125" bestFit="1" customWidth="1"/>
    <col min="13" max="14" width="8.81640625" bestFit="1" customWidth="1"/>
    <col min="15" max="15" width="11.453125" bestFit="1" customWidth="1"/>
    <col min="16" max="16" width="11.6328125" customWidth="1"/>
    <col min="17" max="18" width="8.81640625" bestFit="1" customWidth="1"/>
  </cols>
  <sheetData>
    <row r="2" spans="2:24" x14ac:dyDescent="0.35">
      <c r="O2" s="1"/>
      <c r="P2" s="1"/>
      <c r="Q2" s="19" t="s">
        <v>148</v>
      </c>
      <c r="R2" s="19" t="s">
        <v>149</v>
      </c>
    </row>
    <row r="3" spans="2:24" ht="16.5" x14ac:dyDescent="0.35">
      <c r="B3" s="123" t="s">
        <v>155</v>
      </c>
      <c r="C3" s="15" t="s">
        <v>156</v>
      </c>
      <c r="D3" s="2" t="s">
        <v>157</v>
      </c>
      <c r="E3" s="23" t="s">
        <v>158</v>
      </c>
      <c r="F3" s="23" t="s">
        <v>159</v>
      </c>
      <c r="G3" s="2" t="s">
        <v>160</v>
      </c>
      <c r="H3" s="2" t="s">
        <v>161</v>
      </c>
      <c r="I3" s="2" t="s">
        <v>162</v>
      </c>
      <c r="J3" s="2" t="s">
        <v>163</v>
      </c>
      <c r="K3" s="2" t="s">
        <v>164</v>
      </c>
      <c r="L3" s="2" t="s">
        <v>165</v>
      </c>
      <c r="M3" s="114"/>
      <c r="O3" s="1"/>
      <c r="P3" s="27" t="s">
        <v>170</v>
      </c>
      <c r="Q3" s="6">
        <v>5.0464453999999996</v>
      </c>
      <c r="R3" s="6">
        <v>8.8077087999999998E-2</v>
      </c>
    </row>
    <row r="4" spans="2:24" x14ac:dyDescent="0.35">
      <c r="B4" s="158"/>
      <c r="C4" s="24">
        <v>0.17</v>
      </c>
      <c r="D4" s="6">
        <v>250</v>
      </c>
      <c r="E4" s="6">
        <v>2.3600000000000001E-3</v>
      </c>
      <c r="F4" s="6">
        <f>SQRT(1-C4^2)</f>
        <v>0.98544406233941051</v>
      </c>
      <c r="G4" s="6">
        <v>8.6</v>
      </c>
      <c r="H4" s="6">
        <v>1</v>
      </c>
      <c r="I4" s="6">
        <v>0.8</v>
      </c>
      <c r="J4" s="6">
        <v>0</v>
      </c>
      <c r="K4" s="6">
        <v>43709.14</v>
      </c>
      <c r="L4" s="6">
        <v>93.84</v>
      </c>
      <c r="M4" s="1"/>
      <c r="O4" s="1"/>
    </row>
    <row r="5" spans="2:24" x14ac:dyDescent="0.35">
      <c r="B5" s="15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O5" s="4"/>
      <c r="P5" s="4"/>
    </row>
    <row r="6" spans="2:24" ht="16.5" x14ac:dyDescent="0.35">
      <c r="B6" s="158"/>
      <c r="C6" s="15" t="s">
        <v>173</v>
      </c>
      <c r="D6" s="2" t="s">
        <v>174</v>
      </c>
      <c r="E6" s="2" t="s">
        <v>175</v>
      </c>
      <c r="F6" s="2" t="s">
        <v>176</v>
      </c>
      <c r="G6" s="2" t="s">
        <v>177</v>
      </c>
      <c r="H6" s="2" t="s">
        <v>178</v>
      </c>
      <c r="I6" s="2" t="s">
        <v>179</v>
      </c>
      <c r="J6" s="2" t="s">
        <v>180</v>
      </c>
      <c r="K6" s="2" t="s">
        <v>181</v>
      </c>
      <c r="L6" s="25" t="s">
        <v>182</v>
      </c>
      <c r="M6" s="4"/>
      <c r="O6" s="1"/>
    </row>
    <row r="7" spans="2:24" x14ac:dyDescent="0.35">
      <c r="B7" s="124"/>
      <c r="C7" s="24">
        <f>C4*SQRT(1.4*287*287.6)*3.28083985</f>
        <v>189.59782886694202</v>
      </c>
      <c r="D7" s="6">
        <f>L4^2/G4</f>
        <v>1023.9471627906978</v>
      </c>
      <c r="E7" s="6">
        <v>0.01</v>
      </c>
      <c r="F7" s="6">
        <v>1.8</v>
      </c>
      <c r="G7" s="6">
        <v>25.64</v>
      </c>
      <c r="H7" s="6">
        <v>27</v>
      </c>
      <c r="I7" s="6">
        <v>11.61</v>
      </c>
      <c r="J7" s="6">
        <f>(H7-G7)/I7</f>
        <v>0.1171403962101636</v>
      </c>
      <c r="K7" s="6">
        <v>6</v>
      </c>
      <c r="L7" s="6">
        <v>30</v>
      </c>
      <c r="M7" s="1"/>
      <c r="N7" s="1"/>
      <c r="O7" s="1"/>
    </row>
    <row r="8" spans="2:24" x14ac:dyDescent="0.3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N8" s="1"/>
      <c r="O8" s="1"/>
    </row>
    <row r="9" spans="2:24" ht="16.5" x14ac:dyDescent="0.35">
      <c r="B9" s="123" t="s">
        <v>189</v>
      </c>
      <c r="C9" s="2" t="s">
        <v>165</v>
      </c>
      <c r="D9" s="2" t="s">
        <v>160</v>
      </c>
      <c r="E9" s="2" t="s">
        <v>19</v>
      </c>
      <c r="F9" s="2" t="s">
        <v>190</v>
      </c>
      <c r="G9" s="2" t="s">
        <v>191</v>
      </c>
      <c r="H9" s="2" t="s">
        <v>192</v>
      </c>
      <c r="I9" s="2" t="s">
        <v>193</v>
      </c>
      <c r="J9" s="4"/>
      <c r="Q9" s="119" t="s">
        <v>189</v>
      </c>
      <c r="R9" s="119"/>
      <c r="S9" s="4"/>
      <c r="T9" s="4"/>
      <c r="U9" s="4"/>
      <c r="V9" s="4"/>
      <c r="W9" s="4"/>
      <c r="X9" s="1"/>
    </row>
    <row r="10" spans="2:24" x14ac:dyDescent="0.35">
      <c r="B10" s="124"/>
      <c r="C10" s="6">
        <v>36</v>
      </c>
      <c r="D10" s="6">
        <v>4.2300000000000004</v>
      </c>
      <c r="E10" s="6">
        <f>C10^2/D10</f>
        <v>306.38297872340422</v>
      </c>
      <c r="F10" s="6">
        <v>0</v>
      </c>
      <c r="G10" s="6">
        <v>57</v>
      </c>
      <c r="H10" s="6">
        <f>G10-G7</f>
        <v>31.36</v>
      </c>
      <c r="I10" s="6">
        <f>(E10*H10)/(D7*I7)</f>
        <v>0.80822247193616259</v>
      </c>
      <c r="J10" s="1"/>
      <c r="K10" s="162" t="s">
        <v>246</v>
      </c>
      <c r="L10" s="162"/>
      <c r="Q10" s="58" t="s">
        <v>165</v>
      </c>
      <c r="R10" s="6">
        <v>36</v>
      </c>
      <c r="S10" s="1"/>
      <c r="T10" s="1"/>
      <c r="U10" s="1"/>
      <c r="V10" s="1"/>
      <c r="W10" s="1"/>
      <c r="X10" s="1"/>
    </row>
    <row r="11" spans="2:24" x14ac:dyDescent="0.35">
      <c r="K11" s="91" t="s">
        <v>248</v>
      </c>
      <c r="L11" s="97">
        <f>(L21/2)*L13*(1+L15)</f>
        <v>221.56739500000003</v>
      </c>
      <c r="Q11" s="91" t="s">
        <v>160</v>
      </c>
      <c r="R11" s="59">
        <v>4.26</v>
      </c>
    </row>
    <row r="12" spans="2:24" x14ac:dyDescent="0.35">
      <c r="C12" s="1" t="s">
        <v>0</v>
      </c>
      <c r="D12" s="1"/>
      <c r="E12" s="1" t="s">
        <v>1</v>
      </c>
      <c r="F12" s="1" t="s">
        <v>2</v>
      </c>
      <c r="K12" s="91" t="s">
        <v>249</v>
      </c>
      <c r="L12" s="74">
        <v>1.56</v>
      </c>
      <c r="Q12" s="91" t="s">
        <v>19</v>
      </c>
      <c r="R12" s="59">
        <v>306.38299999999998</v>
      </c>
    </row>
    <row r="13" spans="2:24" x14ac:dyDescent="0.35">
      <c r="B13" t="s">
        <v>306</v>
      </c>
      <c r="C13" s="1">
        <v>36</v>
      </c>
      <c r="D13" s="1"/>
      <c r="E13" s="1">
        <v>6.8</v>
      </c>
      <c r="F13" s="1">
        <f>C13/E13</f>
        <v>5.2941176470588234</v>
      </c>
      <c r="H13" t="s">
        <v>314</v>
      </c>
      <c r="I13" t="s">
        <v>322</v>
      </c>
      <c r="K13" s="91" t="s">
        <v>251</v>
      </c>
      <c r="L13" s="74">
        <v>15.833299999999999</v>
      </c>
      <c r="Q13" s="91" t="s">
        <v>190</v>
      </c>
      <c r="R13" s="59">
        <v>0</v>
      </c>
    </row>
    <row r="14" spans="2:24" x14ac:dyDescent="0.35">
      <c r="H14">
        <f>2*F17/D7</f>
        <v>9.1970576024607315E-2</v>
      </c>
      <c r="I14">
        <f>(L11*L28)/(D7*I7)</f>
        <v>0.45401831119394814</v>
      </c>
      <c r="K14" s="91" t="s">
        <v>253</v>
      </c>
      <c r="L14" s="74">
        <v>5.9960000000000004</v>
      </c>
      <c r="Q14" s="91" t="s">
        <v>191</v>
      </c>
      <c r="R14" s="59">
        <v>57</v>
      </c>
    </row>
    <row r="15" spans="2:24" x14ac:dyDescent="0.35">
      <c r="K15" s="115" t="s">
        <v>255</v>
      </c>
      <c r="L15" s="74">
        <f>L14/L13</f>
        <v>0.37869553409586132</v>
      </c>
      <c r="Q15" s="91" t="s">
        <v>323</v>
      </c>
      <c r="R15" s="59">
        <v>57</v>
      </c>
    </row>
    <row r="16" spans="2:24" x14ac:dyDescent="0.35">
      <c r="B16" s="59"/>
      <c r="C16" s="59" t="s">
        <v>303</v>
      </c>
      <c r="D16" s="59" t="s">
        <v>26</v>
      </c>
      <c r="E16" s="59" t="s">
        <v>27</v>
      </c>
      <c r="F16" s="59" t="s">
        <v>313</v>
      </c>
      <c r="K16" s="91" t="s">
        <v>257</v>
      </c>
      <c r="L16" s="74">
        <v>55</v>
      </c>
      <c r="Q16" s="91" t="s">
        <v>193</v>
      </c>
      <c r="R16" s="6">
        <v>0.80822000000000005</v>
      </c>
      <c r="S16" s="92"/>
    </row>
    <row r="17" spans="2:18" ht="16.5" x14ac:dyDescent="0.35">
      <c r="B17" s="71" t="s">
        <v>304</v>
      </c>
      <c r="C17" s="71" t="s">
        <v>307</v>
      </c>
      <c r="D17" s="59">
        <v>2.8</v>
      </c>
      <c r="E17" s="71">
        <f>D17*F13</f>
        <v>14.823529411764705</v>
      </c>
      <c r="F17" s="54">
        <f>E17*E18</f>
        <v>47.086505190311414</v>
      </c>
      <c r="K17" s="91" t="s">
        <v>259</v>
      </c>
      <c r="L17" s="79">
        <v>48.725000000000001</v>
      </c>
      <c r="Q17" s="2" t="s">
        <v>196</v>
      </c>
      <c r="R17" s="39">
        <v>4.0126999999999997</v>
      </c>
    </row>
    <row r="18" spans="2:18" x14ac:dyDescent="0.35">
      <c r="B18" s="71"/>
      <c r="C18" s="71" t="s">
        <v>308</v>
      </c>
      <c r="D18" s="59">
        <v>0.6</v>
      </c>
      <c r="E18" s="71">
        <f>D18*F13</f>
        <v>3.1764705882352939</v>
      </c>
      <c r="F18" s="54"/>
      <c r="K18" s="91" t="s">
        <v>260</v>
      </c>
      <c r="L18" s="74">
        <v>40.390999999999998</v>
      </c>
      <c r="R18" s="59">
        <v>7.0035280000000005E-2</v>
      </c>
    </row>
    <row r="19" spans="2:18" x14ac:dyDescent="0.35">
      <c r="B19" s="88" t="s">
        <v>121</v>
      </c>
      <c r="C19" s="88" t="s">
        <v>311</v>
      </c>
      <c r="D19" s="59">
        <v>3.1</v>
      </c>
      <c r="E19" s="88">
        <f>D19*F13</f>
        <v>16.411764705882351</v>
      </c>
      <c r="F19" s="93">
        <f>G25+G26+G27</f>
        <v>84.22318339100346</v>
      </c>
      <c r="K19" s="91" t="s">
        <v>262</v>
      </c>
      <c r="L19" s="74">
        <v>5</v>
      </c>
    </row>
    <row r="20" spans="2:18" x14ac:dyDescent="0.35">
      <c r="B20" s="88"/>
      <c r="C20" s="88" t="s">
        <v>312</v>
      </c>
      <c r="D20" s="59">
        <v>0.5</v>
      </c>
      <c r="E20" s="88">
        <f>F13*D20</f>
        <v>2.6470588235294117</v>
      </c>
      <c r="F20" s="93"/>
      <c r="K20" s="91" t="s">
        <v>263</v>
      </c>
      <c r="L20" s="60">
        <v>7.02</v>
      </c>
    </row>
    <row r="21" spans="2:18" x14ac:dyDescent="0.35">
      <c r="B21" s="88"/>
      <c r="C21" s="88" t="s">
        <v>309</v>
      </c>
      <c r="D21" s="59">
        <v>0.65</v>
      </c>
      <c r="E21" s="88">
        <f>D21*F13</f>
        <v>3.4411764705882355</v>
      </c>
      <c r="F21" s="93"/>
      <c r="H21" s="59" t="s">
        <v>315</v>
      </c>
      <c r="K21" s="91" t="s">
        <v>264</v>
      </c>
      <c r="L21" s="74">
        <v>20.3</v>
      </c>
    </row>
    <row r="22" spans="2:18" x14ac:dyDescent="0.35">
      <c r="B22" s="88"/>
      <c r="C22" s="88" t="s">
        <v>310</v>
      </c>
      <c r="D22" s="59">
        <v>0.9</v>
      </c>
      <c r="E22" s="88">
        <f>D22*F13</f>
        <v>4.7647058823529411</v>
      </c>
      <c r="F22" s="93"/>
      <c r="H22" s="6">
        <v>0.27</v>
      </c>
      <c r="K22" s="116" t="s">
        <v>405</v>
      </c>
      <c r="L22" s="74">
        <v>1.485257008</v>
      </c>
    </row>
    <row r="23" spans="2:18" x14ac:dyDescent="0.35">
      <c r="B23" s="89" t="s">
        <v>305</v>
      </c>
      <c r="C23" s="89"/>
      <c r="D23" s="59"/>
      <c r="E23" s="89"/>
      <c r="F23" s="98">
        <f>G28+G29</f>
        <v>98.601250000000007</v>
      </c>
      <c r="H23" s="6"/>
      <c r="K23" s="91" t="s">
        <v>266</v>
      </c>
      <c r="L23" s="74">
        <v>0.98544399999999999</v>
      </c>
    </row>
    <row r="24" spans="2:18" x14ac:dyDescent="0.35">
      <c r="B24" s="89"/>
      <c r="C24" s="89"/>
      <c r="D24" s="59"/>
      <c r="E24" s="89"/>
      <c r="F24" s="99"/>
      <c r="H24" s="6">
        <v>0.36</v>
      </c>
      <c r="I24" t="s">
        <v>321</v>
      </c>
      <c r="K24" s="91" t="s">
        <v>267</v>
      </c>
      <c r="L24" s="74">
        <v>2.0244900000000001</v>
      </c>
    </row>
    <row r="25" spans="2:18" ht="16.5" x14ac:dyDescent="0.45">
      <c r="G25">
        <f>E19*E22</f>
        <v>78.197231833910024</v>
      </c>
      <c r="H25" s="6"/>
      <c r="I25">
        <f>29.25/7.5</f>
        <v>3.9</v>
      </c>
      <c r="K25" s="91" t="s">
        <v>406</v>
      </c>
      <c r="L25" s="59">
        <f>(2*PI()*L24)/(2+SQRT((L24^2*L23^2)/L27^2*(1+((P17^2)/L23^2))+4))</f>
        <v>2.532310322165054</v>
      </c>
    </row>
    <row r="26" spans="2:18" ht="16.5" x14ac:dyDescent="0.45">
      <c r="F26">
        <v>2</v>
      </c>
      <c r="G26">
        <f>(E22-E21)*E20</f>
        <v>3.5034602076124561</v>
      </c>
      <c r="H26" s="6"/>
      <c r="I26">
        <f>0.8*I25</f>
        <v>3.12</v>
      </c>
      <c r="K26" s="91" t="s">
        <v>407</v>
      </c>
      <c r="L26" s="79">
        <f>L25*PI()/180</f>
        <v>4.4197152804018529E-2</v>
      </c>
    </row>
    <row r="27" spans="2:18" x14ac:dyDescent="0.35">
      <c r="B27" s="1"/>
      <c r="C27" s="159" t="s">
        <v>320</v>
      </c>
      <c r="D27" s="160"/>
      <c r="E27" s="161"/>
      <c r="F27">
        <v>3</v>
      </c>
      <c r="G27">
        <f>0.2*F13*E22*0.5</f>
        <v>2.5224913494809686</v>
      </c>
      <c r="H27" s="6"/>
      <c r="I27">
        <f>0.5*I25</f>
        <v>1.95</v>
      </c>
      <c r="K27" s="91" t="s">
        <v>272</v>
      </c>
      <c r="L27" s="59">
        <v>0.88</v>
      </c>
    </row>
    <row r="28" spans="2:18" x14ac:dyDescent="0.35">
      <c r="B28" s="1"/>
      <c r="C28" s="100" t="s">
        <v>316</v>
      </c>
      <c r="D28" s="101" t="s">
        <v>319</v>
      </c>
      <c r="E28" s="102" t="s">
        <v>324</v>
      </c>
      <c r="F28">
        <v>1</v>
      </c>
      <c r="G28">
        <f>(5.995+3.12)/2*20.3</f>
        <v>92.517250000000004</v>
      </c>
      <c r="H28" s="6">
        <v>0.27</v>
      </c>
      <c r="I28">
        <f>0.8*I25</f>
        <v>3.12</v>
      </c>
      <c r="K28" s="91" t="s">
        <v>273</v>
      </c>
      <c r="L28" s="59">
        <v>24.36</v>
      </c>
    </row>
    <row r="29" spans="2:18" x14ac:dyDescent="0.35">
      <c r="B29" s="6" t="s">
        <v>149</v>
      </c>
      <c r="C29" s="54">
        <f>(2*R3*H22)/(D7*L4)*((E18*2025)/2-(E18*910.590976)/2)</f>
        <v>8.7609383502502893E-4</v>
      </c>
      <c r="D29" s="93">
        <f>D30*PI()/180</f>
        <v>-2.0377277205442641E-2</v>
      </c>
      <c r="E29" s="103">
        <f>E30*PI()/180</f>
        <v>-4.7677568421371401E-3</v>
      </c>
      <c r="F29">
        <v>2</v>
      </c>
      <c r="G29">
        <f>I27*I28</f>
        <v>6.0839999999999996</v>
      </c>
      <c r="H29" s="6"/>
      <c r="K29" s="91" t="s">
        <v>277</v>
      </c>
      <c r="L29" s="59">
        <v>5.0999999999999996</v>
      </c>
    </row>
    <row r="30" spans="2:18" x14ac:dyDescent="0.35">
      <c r="B30" s="6" t="s">
        <v>148</v>
      </c>
      <c r="C30" s="54">
        <f>C29*180/PI()</f>
        <v>5.0196479204364777E-2</v>
      </c>
      <c r="D30" s="93">
        <f>-R16*1*R17*H24</f>
        <v>-1.1675319818399998</v>
      </c>
      <c r="E30" s="103">
        <f>-L27*1*I14*L25*H28</f>
        <v>-0.27317234479907926</v>
      </c>
      <c r="K30" s="91" t="s">
        <v>278</v>
      </c>
      <c r="L30" s="59">
        <v>7</v>
      </c>
    </row>
  </sheetData>
  <mergeCells count="5">
    <mergeCell ref="B3:B7"/>
    <mergeCell ref="B9:B10"/>
    <mergeCell ref="C27:E27"/>
    <mergeCell ref="K10:L10"/>
    <mergeCell ref="Q9:R9"/>
  </mergeCell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BED9-7E7C-4167-9839-80E6E18B05D7}">
  <dimension ref="A2:D32"/>
  <sheetViews>
    <sheetView zoomScale="55" zoomScaleNormal="55" workbookViewId="0">
      <selection activeCell="M13" sqref="M13"/>
    </sheetView>
  </sheetViews>
  <sheetFormatPr defaultRowHeight="14.5" x14ac:dyDescent="0.35"/>
  <cols>
    <col min="1" max="1" width="13.1796875" style="1" customWidth="1"/>
    <col min="2" max="2" width="12.26953125" style="1" customWidth="1"/>
    <col min="3" max="3" width="11.54296875" style="1" customWidth="1"/>
    <col min="4" max="4" width="12.08984375" style="1" customWidth="1"/>
    <col min="5" max="16384" width="8.7265625" style="1"/>
  </cols>
  <sheetData>
    <row r="2" spans="1:4" x14ac:dyDescent="0.35">
      <c r="A2" s="6"/>
      <c r="B2" s="2" t="s">
        <v>325</v>
      </c>
      <c r="C2" s="2" t="s">
        <v>334</v>
      </c>
      <c r="D2" s="2" t="s">
        <v>335</v>
      </c>
    </row>
    <row r="3" spans="1:4" x14ac:dyDescent="0.35">
      <c r="A3" s="2" t="s">
        <v>19</v>
      </c>
      <c r="B3" s="6">
        <v>5500</v>
      </c>
      <c r="C3" s="6">
        <v>1023.947</v>
      </c>
      <c r="D3" s="6">
        <v>340</v>
      </c>
    </row>
    <row r="4" spans="1:4" x14ac:dyDescent="0.35">
      <c r="A4" s="2" t="s">
        <v>326</v>
      </c>
      <c r="B4" s="6">
        <v>27.3</v>
      </c>
      <c r="C4" s="6">
        <v>11.61</v>
      </c>
      <c r="D4" s="6">
        <v>6.58</v>
      </c>
    </row>
    <row r="5" spans="1:4" x14ac:dyDescent="0.35">
      <c r="A5" s="2" t="s">
        <v>165</v>
      </c>
      <c r="B5" s="6">
        <v>196</v>
      </c>
      <c r="C5" s="6">
        <v>93.84</v>
      </c>
      <c r="D5" s="6">
        <v>55.1</v>
      </c>
    </row>
    <row r="6" spans="1:4" x14ac:dyDescent="0.35">
      <c r="A6" s="2" t="s">
        <v>157</v>
      </c>
      <c r="B6" s="6">
        <v>20000</v>
      </c>
      <c r="C6" s="6">
        <v>250</v>
      </c>
      <c r="D6" s="6">
        <v>18000</v>
      </c>
    </row>
    <row r="7" spans="1:4" x14ac:dyDescent="0.35">
      <c r="A7" s="2" t="s">
        <v>95</v>
      </c>
      <c r="B7" s="6">
        <v>0.65</v>
      </c>
      <c r="C7" s="6">
        <v>0.17</v>
      </c>
      <c r="D7" s="6">
        <v>0.35099999999999998</v>
      </c>
    </row>
    <row r="8" spans="1:4" x14ac:dyDescent="0.35">
      <c r="A8" s="2" t="s">
        <v>327</v>
      </c>
      <c r="B8" s="6">
        <v>673</v>
      </c>
      <c r="C8" s="6"/>
      <c r="D8" s="6">
        <v>366.8</v>
      </c>
    </row>
    <row r="9" spans="1:4" x14ac:dyDescent="0.35">
      <c r="A9" s="2" t="s">
        <v>328</v>
      </c>
      <c r="B9" s="6">
        <v>287.2</v>
      </c>
      <c r="C9" s="6"/>
      <c r="D9" s="6">
        <v>91.1</v>
      </c>
    </row>
    <row r="10" spans="1:4" x14ac:dyDescent="0.35">
      <c r="A10" s="2" t="s">
        <v>329</v>
      </c>
      <c r="B10" s="6">
        <v>0.25</v>
      </c>
      <c r="C10" s="6"/>
      <c r="D10" s="6">
        <v>0.25</v>
      </c>
    </row>
    <row r="11" spans="1:4" x14ac:dyDescent="0.35">
      <c r="A11" s="2" t="s">
        <v>278</v>
      </c>
      <c r="B11" s="6">
        <v>2.5</v>
      </c>
      <c r="C11" s="6">
        <v>7</v>
      </c>
      <c r="D11" s="6">
        <v>0</v>
      </c>
    </row>
    <row r="12" spans="1:4" x14ac:dyDescent="0.35">
      <c r="A12" s="1" t="s">
        <v>342</v>
      </c>
      <c r="B12" s="1">
        <v>231.8</v>
      </c>
      <c r="C12" s="1">
        <v>65.0167</v>
      </c>
      <c r="D12" s="1">
        <v>49.5</v>
      </c>
    </row>
    <row r="13" spans="1:4" x14ac:dyDescent="0.35">
      <c r="A13" s="2" t="s">
        <v>337</v>
      </c>
      <c r="B13" s="6">
        <v>636636</v>
      </c>
      <c r="C13" s="6">
        <v>43709.14</v>
      </c>
      <c r="D13" s="6">
        <v>15000</v>
      </c>
    </row>
    <row r="14" spans="1:4" x14ac:dyDescent="0.35">
      <c r="A14" s="1" t="s">
        <v>339</v>
      </c>
      <c r="B14" s="1">
        <f>B13/32.2</f>
        <v>19771.304347826084</v>
      </c>
      <c r="C14" s="1">
        <f>C13/32.2</f>
        <v>1357.426708074534</v>
      </c>
      <c r="D14" s="1">
        <f>D13/32.2</f>
        <v>465.83850931677017</v>
      </c>
    </row>
    <row r="15" spans="1:4" x14ac:dyDescent="0.35">
      <c r="A15" s="2" t="s">
        <v>330</v>
      </c>
      <c r="B15" s="6">
        <v>18200000</v>
      </c>
      <c r="C15" s="6">
        <f>C19*C14*C5^2</f>
        <v>459037.0622334003</v>
      </c>
      <c r="D15" s="6">
        <v>64811</v>
      </c>
    </row>
    <row r="16" spans="1:4" x14ac:dyDescent="0.35">
      <c r="A16" s="2" t="s">
        <v>331</v>
      </c>
      <c r="B16" s="6">
        <v>33100000</v>
      </c>
      <c r="C16" s="6">
        <f>C21*C23</f>
        <v>108659.01089092196</v>
      </c>
      <c r="D16" s="6">
        <v>17300</v>
      </c>
    </row>
    <row r="17" spans="1:4" x14ac:dyDescent="0.35">
      <c r="A17" s="2" t="s">
        <v>332</v>
      </c>
      <c r="B17" s="6">
        <v>49700000</v>
      </c>
      <c r="C17" s="6">
        <f>C20*C14*C5^2</f>
        <v>625866.39883403608</v>
      </c>
      <c r="D17" s="6">
        <v>64543</v>
      </c>
    </row>
    <row r="18" spans="1:4" x14ac:dyDescent="0.35">
      <c r="A18" s="2" t="s">
        <v>333</v>
      </c>
      <c r="B18" s="6">
        <v>970000</v>
      </c>
      <c r="C18" s="6"/>
      <c r="D18" s="6">
        <v>0</v>
      </c>
    </row>
    <row r="19" spans="1:4" x14ac:dyDescent="0.35">
      <c r="A19" s="6" t="s">
        <v>338</v>
      </c>
      <c r="B19" s="6">
        <f>B15/(B14*B5^2)</f>
        <v>2.3962047450688192E-2</v>
      </c>
      <c r="C19" s="6">
        <f>D19+B24*(B19-D19)</f>
        <v>3.8402134412171773E-2</v>
      </c>
      <c r="D19" s="6">
        <f>D15/(D14*D5^2)</f>
        <v>4.5825808654560866E-2</v>
      </c>
    </row>
    <row r="20" spans="1:4" x14ac:dyDescent="0.35">
      <c r="A20" s="6" t="s">
        <v>336</v>
      </c>
      <c r="B20" s="6">
        <f>B17/(B14*B5^2)</f>
        <v>6.5434821884571601E-2</v>
      </c>
      <c r="C20" s="6">
        <f>D20+B24*(B20-D20)</f>
        <v>5.2358747363771725E-2</v>
      </c>
      <c r="D20" s="6">
        <f>D17/(D14*D5^2)</f>
        <v>4.5636314329223777E-2</v>
      </c>
    </row>
    <row r="21" spans="1:4" x14ac:dyDescent="0.35">
      <c r="A21" s="1" t="s">
        <v>341</v>
      </c>
      <c r="B21" s="1">
        <f>B16/(B14*B12^2)</f>
        <v>3.1157729964845345E-2</v>
      </c>
      <c r="C21" s="1">
        <f>D21+B25*(B21-D21)</f>
        <v>1.8936491284162169E-2</v>
      </c>
      <c r="D21" s="1">
        <f>D16/(D14*D12^2)</f>
        <v>1.5156548651498148E-2</v>
      </c>
    </row>
    <row r="22" spans="1:4" x14ac:dyDescent="0.35">
      <c r="A22" s="6" t="s">
        <v>340</v>
      </c>
      <c r="B22" s="6">
        <f>B14*B5^2</f>
        <v>759534427.82608688</v>
      </c>
      <c r="C22" s="6">
        <f>C14*C5^2</f>
        <v>11953425.747291429</v>
      </c>
      <c r="D22" s="6">
        <f>D14*D5^2</f>
        <v>1414290.3726708074</v>
      </c>
    </row>
    <row r="23" spans="1:4" x14ac:dyDescent="0.35">
      <c r="A23" s="6" t="s">
        <v>343</v>
      </c>
      <c r="B23" s="6">
        <f>B14*B12^2</f>
        <v>1062336699.0260869</v>
      </c>
      <c r="C23" s="6">
        <f>C14*C12^2</f>
        <v>5738075.1935708709</v>
      </c>
      <c r="D23" s="6">
        <f>D14*D12^2</f>
        <v>1141420.8074534161</v>
      </c>
    </row>
    <row r="24" spans="1:4" x14ac:dyDescent="0.35">
      <c r="A24" s="59" t="s">
        <v>166</v>
      </c>
      <c r="B24" s="6">
        <f>(LN(C22)-LN(D22))/(LN(B22)-LN(D22))</f>
        <v>0.339542413273072</v>
      </c>
      <c r="C24" s="6"/>
      <c r="D24" s="6"/>
    </row>
    <row r="25" spans="1:4" x14ac:dyDescent="0.35">
      <c r="A25" s="59" t="s">
        <v>344</v>
      </c>
      <c r="B25" s="1">
        <f>(LN(C23)-LN(D23))/(LN(B23)-LN(D23))</f>
        <v>0.23622897326405684</v>
      </c>
    </row>
    <row r="29" spans="1:4" x14ac:dyDescent="0.35">
      <c r="A29" s="6"/>
      <c r="B29" s="6" t="s">
        <v>385</v>
      </c>
    </row>
    <row r="30" spans="1:4" x14ac:dyDescent="0.35">
      <c r="A30" s="6" t="s">
        <v>383</v>
      </c>
      <c r="B30" s="6">
        <f>C15*1.356</f>
        <v>622454.2563884909</v>
      </c>
    </row>
    <row r="31" spans="1:4" x14ac:dyDescent="0.35">
      <c r="A31" s="6" t="s">
        <v>384</v>
      </c>
      <c r="B31" s="6">
        <f t="shared" ref="B31:B32" si="0">C16*1.356</f>
        <v>147341.61876809018</v>
      </c>
    </row>
    <row r="32" spans="1:4" x14ac:dyDescent="0.35">
      <c r="A32" s="6" t="s">
        <v>332</v>
      </c>
      <c r="B32" s="6">
        <f t="shared" si="0"/>
        <v>848674.83681895293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E442-DEBF-47F5-A415-68483AC35AE0}">
  <dimension ref="Y2:AB51"/>
  <sheetViews>
    <sheetView topLeftCell="J1" zoomScale="46" workbookViewId="0">
      <selection activeCell="AC60" sqref="AC60"/>
    </sheetView>
  </sheetViews>
  <sheetFormatPr defaultRowHeight="14.5" x14ac:dyDescent="0.35"/>
  <cols>
    <col min="24" max="24" width="8.7265625" customWidth="1"/>
    <col min="25" max="25" width="8.7265625" style="90"/>
    <col min="26" max="26" width="14.08984375" style="95" customWidth="1"/>
    <col min="27" max="27" width="11.90625" customWidth="1"/>
  </cols>
  <sheetData>
    <row r="2" spans="25:27" x14ac:dyDescent="0.35">
      <c r="Y2" s="163" t="s">
        <v>350</v>
      </c>
      <c r="Z2" s="164"/>
      <c r="AA2" s="165"/>
    </row>
    <row r="3" spans="25:27" x14ac:dyDescent="0.35">
      <c r="Y3" s="91"/>
      <c r="Z3" s="96" t="s">
        <v>149</v>
      </c>
      <c r="AA3" s="91" t="s">
        <v>148</v>
      </c>
    </row>
    <row r="4" spans="25:27" x14ac:dyDescent="0.35">
      <c r="Y4" s="90" t="s">
        <v>389</v>
      </c>
      <c r="Z4" s="95">
        <v>5</v>
      </c>
      <c r="AA4">
        <f>Z4*PI()/180</f>
        <v>8.7266462599716474E-2</v>
      </c>
    </row>
    <row r="5" spans="25:27" x14ac:dyDescent="0.35">
      <c r="Y5" s="91" t="s">
        <v>349</v>
      </c>
      <c r="Z5" s="97">
        <v>0.113</v>
      </c>
      <c r="AA5" s="59"/>
    </row>
    <row r="6" spans="25:27" x14ac:dyDescent="0.35">
      <c r="Y6" s="91" t="s">
        <v>351</v>
      </c>
      <c r="Z6" s="97">
        <v>-7.1349999999999997E-2</v>
      </c>
      <c r="AA6" s="59">
        <f>Z6*180/PI()</f>
        <v>-4.0880538682584238</v>
      </c>
    </row>
    <row r="7" spans="25:27" x14ac:dyDescent="0.35">
      <c r="Y7" s="91" t="s">
        <v>352</v>
      </c>
      <c r="Z7" s="97">
        <v>-0.37230000000000002</v>
      </c>
      <c r="AA7" s="59">
        <f>Z7*180/PI()</f>
        <v>-21.331218712720553</v>
      </c>
    </row>
    <row r="8" spans="25:27" x14ac:dyDescent="0.35">
      <c r="Y8" s="91" t="s">
        <v>353</v>
      </c>
      <c r="Z8" s="97"/>
      <c r="AA8" s="59">
        <v>-1.167532</v>
      </c>
    </row>
    <row r="9" spans="25:27" x14ac:dyDescent="0.35">
      <c r="Y9" s="91" t="s">
        <v>354</v>
      </c>
      <c r="Z9" s="97"/>
      <c r="AA9" s="59">
        <v>0</v>
      </c>
    </row>
    <row r="10" spans="25:27" x14ac:dyDescent="0.35">
      <c r="Y10" s="91"/>
      <c r="Z10" s="97"/>
      <c r="AA10" s="59"/>
    </row>
    <row r="11" spans="25:27" x14ac:dyDescent="0.35">
      <c r="Y11" s="91" t="s">
        <v>355</v>
      </c>
      <c r="Z11" s="97">
        <v>0</v>
      </c>
      <c r="AA11" s="59"/>
    </row>
    <row r="12" spans="25:27" x14ac:dyDescent="0.35">
      <c r="Y12" s="91" t="s">
        <v>356</v>
      </c>
      <c r="Z12" s="97">
        <v>1.676E-3</v>
      </c>
      <c r="AA12" s="59">
        <f>Z12*180/PI()</f>
        <v>9.6027726463925975E-2</v>
      </c>
    </row>
    <row r="13" spans="25:27" x14ac:dyDescent="0.35">
      <c r="Y13" s="91" t="s">
        <v>357</v>
      </c>
      <c r="Z13" s="97">
        <v>-1.9980000000000002E-3</v>
      </c>
      <c r="AA13" s="59">
        <f>Z13*180/PI()</f>
        <v>-0.11447696746713848</v>
      </c>
    </row>
    <row r="14" spans="25:27" x14ac:dyDescent="0.35">
      <c r="Y14" s="91" t="s">
        <v>317</v>
      </c>
      <c r="Z14" s="97">
        <v>-2.7330000000000002E-3</v>
      </c>
      <c r="AA14" s="59">
        <f t="shared" ref="AA14:AA28" si="0">Z14*180/PI()</f>
        <v>-0.156589365409254</v>
      </c>
    </row>
    <row r="15" spans="25:27" x14ac:dyDescent="0.35">
      <c r="Y15" s="91" t="s">
        <v>358</v>
      </c>
      <c r="Z15" s="97"/>
      <c r="AA15" s="59">
        <v>-1.0300000000000001E-3</v>
      </c>
    </row>
    <row r="16" spans="25:27" x14ac:dyDescent="0.35">
      <c r="Y16" s="91" t="s">
        <v>359</v>
      </c>
      <c r="Z16" s="97"/>
      <c r="AA16" s="59">
        <v>-0.27317200000000003</v>
      </c>
    </row>
    <row r="17" spans="25:28" x14ac:dyDescent="0.35">
      <c r="Y17" s="91"/>
      <c r="Z17" s="97"/>
      <c r="AA17" s="59">
        <f t="shared" si="0"/>
        <v>0</v>
      </c>
    </row>
    <row r="18" spans="25:28" x14ac:dyDescent="0.35">
      <c r="Y18" s="91" t="s">
        <v>360</v>
      </c>
      <c r="Z18" s="97">
        <v>1.4500000000000001E-2</v>
      </c>
      <c r="AA18" s="59">
        <f t="shared" si="0"/>
        <v>0.83078880293969382</v>
      </c>
    </row>
    <row r="19" spans="25:28" x14ac:dyDescent="0.35">
      <c r="Y19" s="91" t="s">
        <v>361</v>
      </c>
      <c r="Z19" s="97">
        <v>7.3749999999999996E-3</v>
      </c>
      <c r="AA19" s="59">
        <v>0.42255999999999999</v>
      </c>
    </row>
    <row r="20" spans="25:28" x14ac:dyDescent="0.35">
      <c r="Y20" s="91" t="s">
        <v>362</v>
      </c>
      <c r="Z20" s="97">
        <v>0</v>
      </c>
      <c r="AA20" s="59">
        <f t="shared" si="0"/>
        <v>0</v>
      </c>
    </row>
    <row r="21" spans="25:28" x14ac:dyDescent="0.35">
      <c r="Y21" s="91" t="s">
        <v>363</v>
      </c>
      <c r="Z21" s="97">
        <v>0</v>
      </c>
      <c r="AA21" s="59">
        <f t="shared" si="0"/>
        <v>0</v>
      </c>
    </row>
    <row r="22" spans="25:28" x14ac:dyDescent="0.35">
      <c r="Y22" s="91" t="s">
        <v>364</v>
      </c>
      <c r="Z22" s="97">
        <v>0</v>
      </c>
      <c r="AA22" s="59">
        <f t="shared" si="0"/>
        <v>0</v>
      </c>
    </row>
    <row r="23" spans="25:28" x14ac:dyDescent="0.35">
      <c r="Y23" s="91"/>
      <c r="Z23" s="97"/>
      <c r="AA23" s="59"/>
    </row>
    <row r="24" spans="25:28" x14ac:dyDescent="0.35">
      <c r="Y24" s="91" t="s">
        <v>365</v>
      </c>
      <c r="Z24" s="97">
        <v>0.45400000000000001</v>
      </c>
      <c r="AA24" s="59"/>
    </row>
    <row r="25" spans="25:28" x14ac:dyDescent="0.35">
      <c r="Y25" s="91" t="s">
        <v>366</v>
      </c>
      <c r="Z25" s="97">
        <v>0.10362499999999999</v>
      </c>
      <c r="AA25" s="59">
        <f t="shared" si="0"/>
        <v>5.9372751520431555</v>
      </c>
    </row>
    <row r="26" spans="25:28" x14ac:dyDescent="0.35">
      <c r="Y26" s="91" t="s">
        <v>367</v>
      </c>
      <c r="Z26" s="97">
        <v>0.22209999999999999</v>
      </c>
      <c r="AA26" s="59">
        <f t="shared" si="0"/>
        <v>12.725392629855584</v>
      </c>
      <c r="AB26" t="s">
        <v>369</v>
      </c>
    </row>
    <row r="27" spans="25:28" x14ac:dyDescent="0.35">
      <c r="Y27" s="91" t="s">
        <v>318</v>
      </c>
      <c r="Z27" s="97">
        <v>0.8</v>
      </c>
      <c r="AA27" s="59">
        <f t="shared" si="0"/>
        <v>45.836623610465857</v>
      </c>
    </row>
    <row r="28" spans="25:28" x14ac:dyDescent="0.35">
      <c r="Y28" s="91" t="s">
        <v>368</v>
      </c>
      <c r="Z28" s="97">
        <v>0</v>
      </c>
      <c r="AA28" s="59">
        <f t="shared" si="0"/>
        <v>0</v>
      </c>
    </row>
    <row r="29" spans="25:28" x14ac:dyDescent="0.35">
      <c r="Y29" s="91"/>
      <c r="Z29" s="97"/>
      <c r="AA29" s="59"/>
    </row>
    <row r="30" spans="25:28" x14ac:dyDescent="0.35">
      <c r="Y30" s="91" t="s">
        <v>370</v>
      </c>
      <c r="Z30" s="97">
        <v>0</v>
      </c>
      <c r="AA30" s="59"/>
      <c r="AB30" t="s">
        <v>369</v>
      </c>
    </row>
    <row r="31" spans="25:28" x14ac:dyDescent="0.35">
      <c r="Y31" s="91" t="s">
        <v>371</v>
      </c>
      <c r="Z31" s="97"/>
      <c r="AA31" s="59">
        <v>-0.6</v>
      </c>
    </row>
    <row r="32" spans="25:28" x14ac:dyDescent="0.35">
      <c r="Y32" s="91" t="s">
        <v>372</v>
      </c>
      <c r="Z32" s="97">
        <v>1.6149999999999999E-3</v>
      </c>
      <c r="AA32" s="59">
        <f>Z32*180/PI()</f>
        <v>9.2532683913627942E-2</v>
      </c>
      <c r="AB32" t="s">
        <v>369</v>
      </c>
    </row>
    <row r="33" spans="25:28" x14ac:dyDescent="0.35">
      <c r="Y33" s="91" t="s">
        <v>373</v>
      </c>
      <c r="Z33" s="97"/>
      <c r="AA33" s="59">
        <v>0.45</v>
      </c>
    </row>
    <row r="34" spans="25:28" x14ac:dyDescent="0.35">
      <c r="Y34" s="91" t="s">
        <v>374</v>
      </c>
      <c r="Z34" s="97"/>
      <c r="AA34" s="59">
        <v>0</v>
      </c>
      <c r="AB34" t="s">
        <v>369</v>
      </c>
    </row>
    <row r="35" spans="25:28" x14ac:dyDescent="0.35">
      <c r="Y35" s="91" t="s">
        <v>375</v>
      </c>
      <c r="Z35" s="97"/>
      <c r="AA35" s="59">
        <v>0.18</v>
      </c>
    </row>
    <row r="36" spans="25:28" x14ac:dyDescent="0.35">
      <c r="Y36" s="91"/>
      <c r="Z36" s="97"/>
      <c r="AA36" s="59"/>
    </row>
    <row r="37" spans="25:28" x14ac:dyDescent="0.35">
      <c r="Y37" s="91" t="s">
        <v>376</v>
      </c>
      <c r="Z37" s="97"/>
      <c r="AA37" s="59">
        <v>0</v>
      </c>
    </row>
    <row r="38" spans="25:28" x14ac:dyDescent="0.35">
      <c r="Y38" s="91" t="s">
        <v>377</v>
      </c>
      <c r="Z38" s="97">
        <v>-1.6440000000000001E-3</v>
      </c>
      <c r="AA38" s="59">
        <f>Z38*180/PI()</f>
        <v>-9.4194261519507341E-2</v>
      </c>
    </row>
    <row r="39" spans="25:28" x14ac:dyDescent="0.35">
      <c r="Y39" s="91" t="s">
        <v>378</v>
      </c>
      <c r="Z39" s="97">
        <v>-9.8340000000000007E-3</v>
      </c>
      <c r="AA39" s="59">
        <f>Z39*180/PI()</f>
        <v>-0.56344669573165163</v>
      </c>
      <c r="AB39" t="s">
        <v>382</v>
      </c>
    </row>
    <row r="40" spans="25:28" x14ac:dyDescent="0.35">
      <c r="Y40" s="91" t="s">
        <v>379</v>
      </c>
      <c r="Z40" s="97"/>
      <c r="AA40" s="59">
        <v>0.35</v>
      </c>
    </row>
    <row r="41" spans="25:28" x14ac:dyDescent="0.35">
      <c r="Y41" s="91" t="s">
        <v>380</v>
      </c>
      <c r="Z41" s="97"/>
      <c r="AA41" s="59">
        <v>5.0195999999999998E-2</v>
      </c>
      <c r="AB41" t="s">
        <v>382</v>
      </c>
    </row>
    <row r="42" spans="25:28" x14ac:dyDescent="0.35">
      <c r="Y42" s="91" t="s">
        <v>381</v>
      </c>
      <c r="Z42" s="80"/>
      <c r="AA42" s="59">
        <v>1.09E-2</v>
      </c>
    </row>
    <row r="47" spans="25:28" x14ac:dyDescent="0.35">
      <c r="Z47" s="95" t="s">
        <v>387</v>
      </c>
      <c r="AA47" t="s">
        <v>388</v>
      </c>
    </row>
    <row r="48" spans="25:28" x14ac:dyDescent="0.35">
      <c r="Y48" s="90" t="s">
        <v>386</v>
      </c>
      <c r="Z48" s="94">
        <v>189.61</v>
      </c>
      <c r="AA48">
        <f>480.3048</f>
        <v>480.3048</v>
      </c>
    </row>
    <row r="50" spans="26:27" x14ac:dyDescent="0.35">
      <c r="Z50" s="95" t="s">
        <v>4</v>
      </c>
      <c r="AA50" t="s">
        <v>390</v>
      </c>
    </row>
    <row r="51" spans="26:27" x14ac:dyDescent="0.35">
      <c r="Z51" s="95">
        <v>250</v>
      </c>
      <c r="AA51">
        <f>Z51*0.3048</f>
        <v>76.2</v>
      </c>
    </row>
  </sheetData>
  <mergeCells count="1">
    <mergeCell ref="Y2:AA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3B33-37FD-436F-94C8-378619A95FAC}">
  <dimension ref="A1:I55"/>
  <sheetViews>
    <sheetView tabSelected="1" zoomScale="36" workbookViewId="0">
      <selection activeCell="O102" sqref="O102"/>
    </sheetView>
  </sheetViews>
  <sheetFormatPr defaultRowHeight="14.5" x14ac:dyDescent="0.35"/>
  <sheetData>
    <row r="1" spans="1:9" x14ac:dyDescent="0.35">
      <c r="A1" t="s">
        <v>399</v>
      </c>
      <c r="B1" t="s">
        <v>400</v>
      </c>
      <c r="C1" t="s">
        <v>401</v>
      </c>
      <c r="D1" t="s">
        <v>402</v>
      </c>
      <c r="E1" t="s">
        <v>403</v>
      </c>
    </row>
    <row r="4" spans="1:9" x14ac:dyDescent="0.35">
      <c r="B4" s="117" t="s">
        <v>399</v>
      </c>
      <c r="C4" s="117"/>
      <c r="D4" s="155" t="s">
        <v>404</v>
      </c>
      <c r="E4" s="155"/>
      <c r="F4" s="155"/>
      <c r="G4" s="155"/>
      <c r="H4" s="155"/>
      <c r="I4" s="155"/>
    </row>
    <row r="5" spans="1:9" x14ac:dyDescent="0.35">
      <c r="B5" s="117"/>
      <c r="C5" s="117"/>
      <c r="D5" s="48">
        <v>100</v>
      </c>
      <c r="E5" s="48">
        <v>150</v>
      </c>
      <c r="F5" s="48">
        <v>250</v>
      </c>
      <c r="G5" s="48">
        <v>300</v>
      </c>
      <c r="H5" s="48">
        <v>500</v>
      </c>
      <c r="I5" s="48">
        <v>800</v>
      </c>
    </row>
    <row r="6" spans="1:9" x14ac:dyDescent="0.35">
      <c r="B6" s="156" t="s">
        <v>95</v>
      </c>
      <c r="C6" s="50">
        <v>0.14000000000000001</v>
      </c>
      <c r="D6" s="9">
        <v>5.5347723009637502</v>
      </c>
      <c r="E6" s="9">
        <v>5.5347723009637502</v>
      </c>
      <c r="F6" s="9">
        <v>5.5347723009637502</v>
      </c>
      <c r="G6" s="9">
        <v>5.5347723009637502</v>
      </c>
      <c r="H6" s="9">
        <v>5.5347723009637502</v>
      </c>
      <c r="I6" s="9">
        <v>5.5347723009637502</v>
      </c>
    </row>
    <row r="7" spans="1:9" x14ac:dyDescent="0.35">
      <c r="B7" s="156"/>
      <c r="C7" s="50">
        <v>0.15</v>
      </c>
      <c r="D7" s="9">
        <v>5.52961568080757</v>
      </c>
      <c r="E7" s="9">
        <v>5.52961568080757</v>
      </c>
      <c r="F7" s="9">
        <v>5.52961568080757</v>
      </c>
      <c r="G7" s="9">
        <v>5.52961568080757</v>
      </c>
      <c r="H7" s="9">
        <v>5.52961568080757</v>
      </c>
      <c r="I7" s="9">
        <v>5.52961568080757</v>
      </c>
    </row>
    <row r="8" spans="1:9" x14ac:dyDescent="0.35">
      <c r="B8" s="156"/>
      <c r="C8" s="50">
        <v>0.16</v>
      </c>
      <c r="D8" s="9">
        <v>5.5238861028562596</v>
      </c>
      <c r="E8" s="9">
        <v>5.5238861028562596</v>
      </c>
      <c r="F8" s="9">
        <v>5.5238861028562596</v>
      </c>
      <c r="G8" s="9">
        <v>5.5238861028562596</v>
      </c>
      <c r="H8" s="9">
        <v>5.5238861028562596</v>
      </c>
      <c r="I8" s="9">
        <v>5.5238861028562596</v>
      </c>
    </row>
    <row r="9" spans="1:9" x14ac:dyDescent="0.35">
      <c r="B9" s="156"/>
      <c r="C9" s="50">
        <v>0.17</v>
      </c>
      <c r="D9" s="9">
        <v>5.5181565249049598</v>
      </c>
      <c r="E9" s="9">
        <v>5.5181565249049598</v>
      </c>
      <c r="F9" s="9">
        <v>5.5181565249049598</v>
      </c>
      <c r="G9" s="9">
        <v>5.5181565249049598</v>
      </c>
      <c r="H9" s="9">
        <v>5.5181565249049598</v>
      </c>
      <c r="I9" s="9">
        <v>5.5181565249049598</v>
      </c>
    </row>
    <row r="10" spans="1:9" x14ac:dyDescent="0.35">
      <c r="B10" s="156"/>
      <c r="C10" s="50">
        <v>0.2</v>
      </c>
      <c r="D10" s="9">
        <v>5.4986759598705097</v>
      </c>
      <c r="E10" s="9">
        <v>5.4986759598705097</v>
      </c>
      <c r="F10" s="9">
        <v>5.4986759598705097</v>
      </c>
      <c r="G10" s="9">
        <v>5.4986759598705097</v>
      </c>
      <c r="H10" s="9">
        <v>5.4986759598705097</v>
      </c>
      <c r="I10" s="9">
        <v>5.4986759598705097</v>
      </c>
    </row>
    <row r="11" spans="1:9" x14ac:dyDescent="0.35">
      <c r="B11" s="156"/>
      <c r="C11" s="50">
        <v>0.25</v>
      </c>
      <c r="D11" s="9">
        <v>4.9102483042711498</v>
      </c>
      <c r="E11" s="9">
        <v>4.9102483042711498</v>
      </c>
      <c r="F11" s="9">
        <v>4.9102483042711498</v>
      </c>
      <c r="G11" s="9">
        <v>4.9102483042711498</v>
      </c>
      <c r="H11" s="9">
        <v>4.9102483042711498</v>
      </c>
      <c r="I11" s="9">
        <v>4.9102483042711498</v>
      </c>
    </row>
    <row r="15" spans="1:9" x14ac:dyDescent="0.35">
      <c r="B15" s="117" t="s">
        <v>401</v>
      </c>
      <c r="C15" s="117"/>
      <c r="D15" s="155" t="s">
        <v>404</v>
      </c>
      <c r="E15" s="155"/>
      <c r="F15" s="155"/>
      <c r="G15" s="155"/>
      <c r="H15" s="155"/>
      <c r="I15" s="155"/>
    </row>
    <row r="16" spans="1:9" x14ac:dyDescent="0.35">
      <c r="B16" s="117"/>
      <c r="C16" s="117"/>
      <c r="D16" s="48">
        <v>100</v>
      </c>
      <c r="E16" s="48">
        <v>150</v>
      </c>
      <c r="F16" s="48">
        <v>250</v>
      </c>
      <c r="G16" s="48">
        <v>300</v>
      </c>
      <c r="H16" s="48">
        <v>500</v>
      </c>
      <c r="I16" s="48">
        <v>800</v>
      </c>
    </row>
    <row r="17" spans="2:9" x14ac:dyDescent="0.35">
      <c r="B17" s="156" t="s">
        <v>95</v>
      </c>
      <c r="C17" s="50">
        <v>0.14000000000000001</v>
      </c>
      <c r="D17" s="9">
        <v>-4.0307580887453396</v>
      </c>
      <c r="E17" s="9">
        <v>-4.0307580887453396</v>
      </c>
      <c r="F17" s="9">
        <v>-4.0307580887453396</v>
      </c>
      <c r="G17" s="9">
        <v>-4.0307580887453396</v>
      </c>
      <c r="H17" s="9">
        <v>-4.0307580887453396</v>
      </c>
      <c r="I17" s="9">
        <v>-4.0307580887453396</v>
      </c>
    </row>
    <row r="18" spans="2:9" x14ac:dyDescent="0.35">
      <c r="B18" s="156"/>
      <c r="C18" s="50">
        <v>0.15</v>
      </c>
      <c r="D18" s="9">
        <v>-4.0301851309502101</v>
      </c>
      <c r="E18" s="9">
        <v>-4.0301851309502101</v>
      </c>
      <c r="F18" s="9">
        <v>-4.0301851309502101</v>
      </c>
      <c r="G18" s="9">
        <v>-4.0301851309502101</v>
      </c>
      <c r="H18" s="9">
        <v>-4.0301851309502101</v>
      </c>
      <c r="I18" s="9">
        <v>-4.0301851309502101</v>
      </c>
    </row>
    <row r="19" spans="2:9" x14ac:dyDescent="0.35">
      <c r="B19" s="156"/>
      <c r="C19" s="50">
        <v>0.16</v>
      </c>
      <c r="D19" s="9">
        <v>-4.0296121731550798</v>
      </c>
      <c r="E19" s="9">
        <v>-4.0296121731550798</v>
      </c>
      <c r="F19" s="9">
        <v>-4.0296121731550798</v>
      </c>
      <c r="G19" s="9">
        <v>-4.0296121731550798</v>
      </c>
      <c r="H19" s="9">
        <v>-4.0296121731550798</v>
      </c>
      <c r="I19" s="9">
        <v>-4.0296121731550798</v>
      </c>
    </row>
    <row r="20" spans="2:9" x14ac:dyDescent="0.35">
      <c r="B20" s="156"/>
      <c r="C20" s="50">
        <v>0.17</v>
      </c>
      <c r="D20" s="9">
        <v>-4.0290392153599397</v>
      </c>
      <c r="E20" s="9">
        <v>-4.0290392153599397</v>
      </c>
      <c r="F20" s="9">
        <v>-4.0290392153599397</v>
      </c>
      <c r="G20" s="9">
        <v>-4.0290392153599397</v>
      </c>
      <c r="H20" s="9">
        <v>-4.0290392153599397</v>
      </c>
      <c r="I20" s="9">
        <v>-4.0290392153599397</v>
      </c>
    </row>
    <row r="21" spans="2:9" x14ac:dyDescent="0.35">
      <c r="B21" s="156"/>
      <c r="C21" s="50">
        <v>0.2</v>
      </c>
      <c r="D21" s="9">
        <v>-4.0273203419745496</v>
      </c>
      <c r="E21" s="9">
        <v>-4.0273203419745496</v>
      </c>
      <c r="F21" s="9">
        <v>-4.0273203419745496</v>
      </c>
      <c r="G21" s="9">
        <v>-4.0273203419745496</v>
      </c>
      <c r="H21" s="9">
        <v>-4.0273203419745496</v>
      </c>
      <c r="I21" s="9">
        <v>-4.0273203419745496</v>
      </c>
    </row>
    <row r="22" spans="2:9" x14ac:dyDescent="0.35">
      <c r="B22" s="156"/>
      <c r="C22" s="50">
        <v>0.25</v>
      </c>
      <c r="D22" s="9">
        <v>-3.9069992049970801</v>
      </c>
      <c r="E22" s="9">
        <v>-3.9069992049970801</v>
      </c>
      <c r="F22" s="9">
        <v>-3.9069992049970801</v>
      </c>
      <c r="G22" s="9">
        <v>-3.9069992049970801</v>
      </c>
      <c r="H22" s="9">
        <v>-3.9069992049970801</v>
      </c>
      <c r="I22" s="9">
        <v>-3.9069992049970801</v>
      </c>
    </row>
    <row r="26" spans="2:9" x14ac:dyDescent="0.35">
      <c r="B26" s="117" t="s">
        <v>402</v>
      </c>
      <c r="C26" s="117"/>
      <c r="D26" s="155" t="s">
        <v>404</v>
      </c>
      <c r="E26" s="155"/>
      <c r="F26" s="155"/>
      <c r="G26" s="155"/>
      <c r="H26" s="155"/>
      <c r="I26" s="155"/>
    </row>
    <row r="27" spans="2:9" x14ac:dyDescent="0.35">
      <c r="B27" s="117"/>
      <c r="C27" s="117"/>
      <c r="D27" s="48">
        <v>100</v>
      </c>
      <c r="E27" s="48">
        <v>150</v>
      </c>
      <c r="F27" s="48">
        <v>250</v>
      </c>
      <c r="G27" s="48">
        <v>300</v>
      </c>
      <c r="H27" s="48">
        <v>500</v>
      </c>
      <c r="I27" s="48">
        <v>800</v>
      </c>
    </row>
    <row r="28" spans="2:9" x14ac:dyDescent="0.35">
      <c r="B28" s="156" t="s">
        <v>95</v>
      </c>
      <c r="C28" s="50">
        <v>0.14000000000000001</v>
      </c>
      <c r="D28" s="9">
        <v>1.696E-3</v>
      </c>
      <c r="E28" s="9">
        <v>1.696E-3</v>
      </c>
      <c r="F28" s="9">
        <v>1.696E-3</v>
      </c>
      <c r="G28" s="9">
        <v>1.6969999999999999E-3</v>
      </c>
      <c r="H28" s="9">
        <v>1.6969999999999999E-3</v>
      </c>
      <c r="I28" s="9">
        <v>1.6980000000000001E-3</v>
      </c>
    </row>
    <row r="29" spans="2:9" x14ac:dyDescent="0.35">
      <c r="B29" s="156"/>
      <c r="C29" s="50">
        <v>0.15</v>
      </c>
      <c r="D29" s="9">
        <v>1.688E-3</v>
      </c>
      <c r="E29" s="9">
        <v>1.689E-3</v>
      </c>
      <c r="F29" s="9">
        <v>1.689E-3</v>
      </c>
      <c r="G29" s="9">
        <v>1.689E-3</v>
      </c>
      <c r="H29" s="9">
        <v>1.6900000000000001E-3</v>
      </c>
      <c r="I29" s="9">
        <v>1.691E-3</v>
      </c>
    </row>
    <row r="30" spans="2:9" x14ac:dyDescent="0.35">
      <c r="B30" s="156"/>
      <c r="C30" s="50">
        <v>0.16</v>
      </c>
      <c r="D30" s="9">
        <v>1.6819999999999999E-3</v>
      </c>
      <c r="E30" s="9">
        <v>1.6819999999999999E-3</v>
      </c>
      <c r="F30" s="9">
        <v>1.6819999999999999E-3</v>
      </c>
      <c r="G30" s="9">
        <v>1.6819999999999999E-3</v>
      </c>
      <c r="H30" s="9">
        <v>1.683E-3</v>
      </c>
      <c r="I30" s="9">
        <v>1.684E-3</v>
      </c>
    </row>
    <row r="31" spans="2:9" x14ac:dyDescent="0.35">
      <c r="B31" s="156"/>
      <c r="C31" s="50">
        <v>0.17</v>
      </c>
      <c r="D31" s="9">
        <v>1.6750000000000001E-3</v>
      </c>
      <c r="E31" s="9">
        <v>1.6750000000000001E-3</v>
      </c>
      <c r="F31" s="9">
        <v>1.676E-3</v>
      </c>
      <c r="G31" s="9">
        <v>1.676E-3</v>
      </c>
      <c r="H31" s="9">
        <v>1.676E-3</v>
      </c>
      <c r="I31" s="9">
        <v>1.6770000000000001E-3</v>
      </c>
    </row>
    <row r="32" spans="2:9" x14ac:dyDescent="0.35">
      <c r="B32" s="156"/>
      <c r="C32" s="50">
        <v>0.2</v>
      </c>
      <c r="D32" s="9">
        <v>1.658E-3</v>
      </c>
      <c r="E32" s="9">
        <v>1.658E-3</v>
      </c>
      <c r="F32" s="9">
        <v>1.6590000000000001E-3</v>
      </c>
      <c r="G32" s="9">
        <v>1.6590000000000001E-3</v>
      </c>
      <c r="H32" s="9">
        <v>1.6590000000000001E-3</v>
      </c>
      <c r="I32" s="9">
        <v>1.66E-3</v>
      </c>
    </row>
    <row r="33" spans="2:9" x14ac:dyDescent="0.35">
      <c r="B33" s="156"/>
      <c r="C33" s="50">
        <v>0.25</v>
      </c>
      <c r="D33" s="9">
        <v>1.6360000000000001E-3</v>
      </c>
      <c r="E33" s="9">
        <v>1.6360000000000001E-3</v>
      </c>
      <c r="F33" s="9">
        <v>1.6360000000000001E-3</v>
      </c>
      <c r="G33" s="9">
        <v>1.6360000000000001E-3</v>
      </c>
      <c r="H33" s="9">
        <v>1.637E-3</v>
      </c>
      <c r="I33" s="9">
        <v>1.6379999999999999E-3</v>
      </c>
    </row>
    <row r="37" spans="2:9" x14ac:dyDescent="0.35">
      <c r="B37" s="117" t="s">
        <v>403</v>
      </c>
      <c r="C37" s="117"/>
      <c r="D37" s="155" t="s">
        <v>404</v>
      </c>
      <c r="E37" s="155"/>
      <c r="F37" s="155"/>
      <c r="G37" s="155"/>
      <c r="H37" s="155"/>
      <c r="I37" s="155"/>
    </row>
    <row r="38" spans="2:9" x14ac:dyDescent="0.35">
      <c r="B38" s="117"/>
      <c r="C38" s="117"/>
      <c r="D38" s="48">
        <v>100</v>
      </c>
      <c r="E38" s="48">
        <v>150</v>
      </c>
      <c r="F38" s="48">
        <v>250</v>
      </c>
      <c r="G38" s="48">
        <v>300</v>
      </c>
      <c r="H38" s="48">
        <v>500</v>
      </c>
      <c r="I38" s="48">
        <v>800</v>
      </c>
    </row>
    <row r="39" spans="2:9" x14ac:dyDescent="0.35">
      <c r="B39" s="156" t="s">
        <v>95</v>
      </c>
      <c r="C39" s="50">
        <v>0.14000000000000001</v>
      </c>
      <c r="D39" s="9">
        <v>-2.8639999999999998E-3</v>
      </c>
      <c r="E39" s="9">
        <v>-2.8639999999999998E-3</v>
      </c>
      <c r="F39" s="9">
        <v>-2.8639999999999998E-3</v>
      </c>
      <c r="G39" s="9">
        <v>-2.8639999999999998E-3</v>
      </c>
      <c r="H39" s="9">
        <v>-2.8639999999999998E-3</v>
      </c>
      <c r="I39" s="9">
        <v>-2.8639999999999998E-3</v>
      </c>
    </row>
    <row r="40" spans="2:9" x14ac:dyDescent="0.35">
      <c r="B40" s="156"/>
      <c r="C40" s="50">
        <v>0.15</v>
      </c>
      <c r="D40" s="9">
        <v>-2.8639999999999998E-3</v>
      </c>
      <c r="E40" s="9">
        <v>-2.8639999999999998E-3</v>
      </c>
      <c r="F40" s="9">
        <v>-2.8639999999999998E-3</v>
      </c>
      <c r="G40" s="9">
        <v>-2.8639999999999998E-3</v>
      </c>
      <c r="H40" s="9">
        <v>-2.8639999999999998E-3</v>
      </c>
      <c r="I40" s="9">
        <v>-2.8639999999999998E-3</v>
      </c>
    </row>
    <row r="41" spans="2:9" x14ac:dyDescent="0.35">
      <c r="B41" s="156"/>
      <c r="C41" s="50">
        <v>0.16</v>
      </c>
      <c r="D41" s="9">
        <v>-2.8639999999999998E-3</v>
      </c>
      <c r="E41" s="9">
        <v>-2.8639999999999998E-3</v>
      </c>
      <c r="F41" s="9">
        <v>-2.8639999999999998E-3</v>
      </c>
      <c r="G41" s="9">
        <v>-2.8639999999999998E-3</v>
      </c>
      <c r="H41" s="9">
        <v>-2.8639999999999998E-3</v>
      </c>
      <c r="I41" s="9">
        <v>-2.8639999999999998E-3</v>
      </c>
    </row>
    <row r="42" spans="2:9" x14ac:dyDescent="0.35">
      <c r="B42" s="156"/>
      <c r="C42" s="50">
        <v>0.17</v>
      </c>
      <c r="D42" s="9">
        <v>-2.8639999999999998E-3</v>
      </c>
      <c r="E42" s="9">
        <v>-2.8639999999999998E-3</v>
      </c>
      <c r="F42" s="9">
        <v>-2.8639999999999998E-3</v>
      </c>
      <c r="G42" s="9">
        <v>-2.8639999999999998E-3</v>
      </c>
      <c r="H42" s="9">
        <v>-2.8649999999999999E-3</v>
      </c>
      <c r="I42" s="9">
        <v>-2.8649999999999999E-3</v>
      </c>
    </row>
    <row r="43" spans="2:9" x14ac:dyDescent="0.35">
      <c r="B43" s="156"/>
      <c r="C43" s="50">
        <v>0.2</v>
      </c>
      <c r="D43" s="9">
        <v>-2.8660000000000001E-3</v>
      </c>
      <c r="E43" s="9">
        <v>-2.8660000000000001E-3</v>
      </c>
      <c r="F43" s="9">
        <v>-2.8660000000000001E-3</v>
      </c>
      <c r="G43" s="9">
        <v>-2.8660000000000001E-3</v>
      </c>
      <c r="H43" s="9">
        <v>-2.8660000000000001E-3</v>
      </c>
      <c r="I43" s="9">
        <v>-2.8660000000000001E-3</v>
      </c>
    </row>
    <row r="44" spans="2:9" x14ac:dyDescent="0.35">
      <c r="B44" s="156"/>
      <c r="C44" s="50">
        <v>0.25</v>
      </c>
      <c r="D44" s="9">
        <v>-2.849E-3</v>
      </c>
      <c r="E44" s="9">
        <v>-2.849E-3</v>
      </c>
      <c r="F44" s="9">
        <v>-2.849E-3</v>
      </c>
      <c r="G44" s="9">
        <v>-2.849E-3</v>
      </c>
      <c r="H44" s="9">
        <v>-2.849E-3</v>
      </c>
      <c r="I44" s="9">
        <v>-2.849E-3</v>
      </c>
    </row>
    <row r="48" spans="2:9" x14ac:dyDescent="0.35">
      <c r="B48" s="117" t="s">
        <v>400</v>
      </c>
      <c r="C48" s="117"/>
      <c r="D48" s="155" t="s">
        <v>404</v>
      </c>
      <c r="E48" s="155"/>
      <c r="F48" s="155"/>
      <c r="G48" s="155"/>
      <c r="H48" s="155"/>
      <c r="I48" s="155"/>
    </row>
    <row r="49" spans="2:9" x14ac:dyDescent="0.35">
      <c r="B49" s="117"/>
      <c r="C49" s="117"/>
      <c r="D49" s="48">
        <v>100</v>
      </c>
      <c r="E49" s="48">
        <v>150</v>
      </c>
      <c r="F49" s="48">
        <v>250</v>
      </c>
      <c r="G49" s="48">
        <v>300</v>
      </c>
      <c r="H49" s="48">
        <v>500</v>
      </c>
      <c r="I49" s="48">
        <v>800</v>
      </c>
    </row>
    <row r="50" spans="2:9" x14ac:dyDescent="0.35">
      <c r="B50" s="156" t="s">
        <v>95</v>
      </c>
      <c r="C50" s="50">
        <v>0.14000000000000001</v>
      </c>
      <c r="D50" s="9">
        <v>-1.7750000000000001E-3</v>
      </c>
      <c r="E50" s="9">
        <v>-1.7750000000000001E-3</v>
      </c>
      <c r="F50" s="9">
        <v>-1.7750000000000001E-3</v>
      </c>
      <c r="G50" s="9">
        <v>-1.7750000000000001E-3</v>
      </c>
      <c r="H50" s="9">
        <v>-1.7750000000000001E-3</v>
      </c>
      <c r="I50" s="9">
        <v>-1.7750000000000001E-3</v>
      </c>
    </row>
    <row r="51" spans="2:9" x14ac:dyDescent="0.35">
      <c r="B51" s="156"/>
      <c r="C51" s="50">
        <v>0.15</v>
      </c>
      <c r="D51" s="9">
        <v>-1.7750000000000001E-3</v>
      </c>
      <c r="E51" s="9">
        <v>-1.7750000000000001E-3</v>
      </c>
      <c r="F51" s="9">
        <v>-1.7750000000000001E-3</v>
      </c>
      <c r="G51" s="9">
        <v>-1.7750000000000001E-3</v>
      </c>
      <c r="H51" s="9">
        <v>-1.7750000000000001E-3</v>
      </c>
      <c r="I51" s="9">
        <v>-1.7750000000000001E-3</v>
      </c>
    </row>
    <row r="52" spans="2:9" x14ac:dyDescent="0.35">
      <c r="B52" s="156"/>
      <c r="C52" s="50">
        <v>0.16</v>
      </c>
      <c r="D52" s="9">
        <v>-1.776E-3</v>
      </c>
      <c r="E52" s="9">
        <v>-1.776E-3</v>
      </c>
      <c r="F52" s="9">
        <v>-1.776E-3</v>
      </c>
      <c r="G52" s="9">
        <v>-1.776E-3</v>
      </c>
      <c r="H52" s="9">
        <v>-1.776E-3</v>
      </c>
      <c r="I52" s="9">
        <v>-1.776E-3</v>
      </c>
    </row>
    <row r="53" spans="2:9" x14ac:dyDescent="0.35">
      <c r="B53" s="156"/>
      <c r="C53" s="50">
        <v>0.17</v>
      </c>
      <c r="D53" s="9">
        <v>-1.7769999999999999E-3</v>
      </c>
      <c r="E53" s="9">
        <v>-1.7769999999999999E-3</v>
      </c>
      <c r="F53" s="9">
        <v>-1.7769999999999999E-3</v>
      </c>
      <c r="G53" s="9">
        <v>-1.7769999999999999E-3</v>
      </c>
      <c r="H53" s="9">
        <v>-1.7769999999999999E-3</v>
      </c>
      <c r="I53" s="9">
        <v>-1.7769999999999999E-3</v>
      </c>
    </row>
    <row r="54" spans="2:9" x14ac:dyDescent="0.35">
      <c r="B54" s="156"/>
      <c r="C54" s="50">
        <v>0.2</v>
      </c>
      <c r="D54" s="9">
        <v>-1.7799999999999999E-3</v>
      </c>
      <c r="E54" s="9">
        <v>-1.7799999999999999E-3</v>
      </c>
      <c r="F54" s="9">
        <v>-1.7799999999999999E-3</v>
      </c>
      <c r="G54" s="9">
        <v>-1.7799999999999999E-3</v>
      </c>
      <c r="H54" s="9">
        <v>-1.7799999999999999E-3</v>
      </c>
      <c r="I54" s="9">
        <v>-1.7799999999999999E-3</v>
      </c>
    </row>
    <row r="55" spans="2:9" x14ac:dyDescent="0.35">
      <c r="B55" s="156"/>
      <c r="C55" s="50">
        <v>0.25</v>
      </c>
      <c r="D55" s="9">
        <v>-1.75E-3</v>
      </c>
      <c r="E55" s="9">
        <v>-1.75E-3</v>
      </c>
      <c r="F55" s="9">
        <v>-1.75E-3</v>
      </c>
      <c r="G55" s="9">
        <v>-1.75E-3</v>
      </c>
      <c r="H55" s="9">
        <v>-1.75E-3</v>
      </c>
      <c r="I55" s="9">
        <v>-1.75E-3</v>
      </c>
    </row>
  </sheetData>
  <mergeCells count="15">
    <mergeCell ref="B48:C49"/>
    <mergeCell ref="D48:I48"/>
    <mergeCell ref="B50:B55"/>
    <mergeCell ref="B26:C27"/>
    <mergeCell ref="D26:I26"/>
    <mergeCell ref="B28:B33"/>
    <mergeCell ref="B37:C38"/>
    <mergeCell ref="D37:I37"/>
    <mergeCell ref="B39:B44"/>
    <mergeCell ref="B17:B22"/>
    <mergeCell ref="D4:I4"/>
    <mergeCell ref="B6:B11"/>
    <mergeCell ref="B4:C5"/>
    <mergeCell ref="B15:C16"/>
    <mergeCell ref="D15:I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Dimensions</vt:lpstr>
      <vt:lpstr>Flight Conditions</vt:lpstr>
      <vt:lpstr>DATCOM</vt:lpstr>
      <vt:lpstr>Multhopp</vt:lpstr>
      <vt:lpstr>Longitudinal</vt:lpstr>
      <vt:lpstr>Directional  </vt:lpstr>
      <vt:lpstr>Lateral </vt:lpstr>
      <vt:lpstr>Neutral Point</vt:lpstr>
      <vt:lpstr>Control Surfaces</vt:lpstr>
      <vt:lpstr>Inertias </vt:lpstr>
      <vt:lpstr>Corrected Matlab Derv</vt:lpstr>
      <vt:lpstr>Lookup Tables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Cuesta Bret, Laura</dc:creator>
  <cp:keywords/>
  <dc:description/>
  <cp:lastModifiedBy>Cuesta Bret, Laura</cp:lastModifiedBy>
  <cp:revision/>
  <cp:lastPrinted>2026-04-24T00:54:19Z</cp:lastPrinted>
  <dcterms:created xsi:type="dcterms:W3CDTF">2026-02-01T23:48:36Z</dcterms:created>
  <dcterms:modified xsi:type="dcterms:W3CDTF">2026-07-22T15:55:39Z</dcterms:modified>
  <cp:category/>
  <cp:contentStatus/>
</cp:coreProperties>
</file>