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roberts-lab/O.lurida_Stress/Data/RNA-DNA-Isolation/"/>
    </mc:Choice>
  </mc:AlternateContent>
  <xr:revisionPtr revIDLastSave="0" documentId="13_ncr:1_{D9E07DE8-64C2-0141-90E1-8E6385C3B8A8}" xr6:coauthVersionLast="43" xr6:coauthVersionMax="43" xr10:uidLastSave="{00000000-0000-0000-0000-000000000000}"/>
  <bookViews>
    <workbookView xWindow="7040" yWindow="460" windowWidth="21520" windowHeight="17540" activeTab="2" xr2:uid="{9A79F84E-1302-294E-AE89-92A1E42265F9}"/>
  </bookViews>
  <sheets>
    <sheet name="ctenidia" sheetId="1" r:id="rId1"/>
    <sheet name="larvae" sheetId="2" r:id="rId2"/>
    <sheet name="Lipid" sheetId="13" r:id="rId3"/>
    <sheet name="Library prep test-run" sheetId="12" r:id="rId4"/>
    <sheet name="qPCR Master Mix calcs" sheetId="3" r:id="rId5"/>
    <sheet name="qPCR Round I" sheetId="6" r:id="rId6"/>
    <sheet name="qPCR Round II" sheetId="5" r:id="rId7"/>
    <sheet name="qPCR Round III" sheetId="7" r:id="rId8"/>
    <sheet name="qPCR Round IV" sheetId="8" r:id="rId9"/>
    <sheet name="DNAse Batch 1 RNA" sheetId="4" r:id="rId10"/>
    <sheet name="xtra sheet for random calcs,git" sheetId="10" r:id="rId11"/>
  </sheets>
  <definedNames>
    <definedName name="_xlnm._FilterDatabase" localSheetId="1" hidden="1">larvae!$B$1:$AL$108</definedName>
    <definedName name="_xlnm.Print_Area" localSheetId="1">larvae!$B$1:$AL$108</definedName>
    <definedName name="_xlnm.Print_Titles" localSheetId="1">larvae!$1:$1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" i="13" l="1"/>
  <c r="O6" i="13"/>
  <c r="O5" i="13"/>
  <c r="O3" i="13"/>
  <c r="O2" i="13"/>
  <c r="N5" i="13"/>
  <c r="N4" i="13"/>
  <c r="N3" i="13"/>
  <c r="N2" i="13"/>
  <c r="M5" i="13"/>
  <c r="M4" i="13"/>
  <c r="M3" i="13"/>
  <c r="M2" i="13"/>
  <c r="L7" i="13"/>
  <c r="L5" i="13"/>
  <c r="L4" i="13"/>
  <c r="L3" i="13"/>
  <c r="L2" i="13"/>
  <c r="N7" i="13"/>
  <c r="M7" i="13"/>
  <c r="N6" i="13" l="1"/>
  <c r="N8" i="13" s="1"/>
  <c r="L6" i="13"/>
  <c r="L8" i="13" s="1"/>
  <c r="O8" i="13"/>
  <c r="M6" i="13"/>
  <c r="M8" i="13" s="1"/>
  <c r="C35" i="12"/>
  <c r="D35" i="12" s="1"/>
  <c r="C34" i="12"/>
  <c r="D34" i="12"/>
  <c r="Q10" i="12"/>
  <c r="Q9" i="12"/>
  <c r="Q8" i="12"/>
  <c r="Q7" i="12"/>
  <c r="Q6" i="12"/>
  <c r="Q5" i="12"/>
  <c r="Q4" i="12"/>
  <c r="Q3" i="12"/>
  <c r="Q2" i="12"/>
  <c r="O10" i="12"/>
  <c r="O9" i="12"/>
  <c r="O8" i="12"/>
  <c r="O7" i="12"/>
  <c r="O6" i="12"/>
  <c r="O5" i="12"/>
  <c r="O4" i="12"/>
  <c r="O3" i="12"/>
  <c r="O2" i="12"/>
  <c r="B20" i="12"/>
  <c r="I9" i="12"/>
  <c r="I8" i="12"/>
  <c r="I7" i="12"/>
  <c r="I6" i="12"/>
  <c r="I5" i="12"/>
  <c r="I4" i="12"/>
  <c r="I3" i="12"/>
  <c r="I2" i="12"/>
  <c r="B27" i="12" l="1"/>
  <c r="B29" i="12" s="1"/>
  <c r="D15" i="12"/>
  <c r="C19" i="12"/>
  <c r="D19" i="12" s="1"/>
  <c r="C18" i="12"/>
  <c r="D18" i="12" s="1"/>
  <c r="C17" i="12"/>
  <c r="D17" i="12" s="1"/>
  <c r="C16" i="12"/>
  <c r="D16" i="12" s="1"/>
  <c r="C15" i="12"/>
  <c r="C14" i="12"/>
  <c r="B28" i="12" l="1"/>
  <c r="B30" i="12"/>
  <c r="C20" i="12"/>
  <c r="D20" i="12"/>
  <c r="F1" i="2" l="1"/>
  <c r="Z52" i="1"/>
  <c r="Z34" i="1"/>
  <c r="Z7" i="1"/>
  <c r="AB85" i="2"/>
  <c r="AB68" i="2"/>
  <c r="AB54" i="2"/>
  <c r="AB37" i="2"/>
  <c r="AB4" i="2"/>
  <c r="AE68" i="2"/>
  <c r="AC34" i="1"/>
  <c r="AC7" i="1"/>
  <c r="AE54" i="2"/>
  <c r="AE4" i="2"/>
  <c r="AB52" i="1"/>
  <c r="AB34" i="1"/>
  <c r="AB7" i="1"/>
  <c r="AD85" i="2"/>
  <c r="AD68" i="2"/>
  <c r="AD54" i="2"/>
  <c r="AD37" i="2"/>
  <c r="AD4" i="2"/>
  <c r="AC58" i="2"/>
  <c r="AA2" i="1"/>
  <c r="AO25" i="2"/>
  <c r="H9" i="3"/>
  <c r="H8" i="3"/>
  <c r="H7" i="3"/>
  <c r="H6" i="3"/>
  <c r="H10" i="3" s="1"/>
  <c r="H5" i="3"/>
  <c r="H4" i="3"/>
  <c r="V58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0" i="1"/>
  <c r="AA9" i="1"/>
  <c r="AA4" i="1"/>
  <c r="AA5" i="1"/>
  <c r="AA6" i="1"/>
  <c r="AA7" i="1"/>
  <c r="AA3" i="1"/>
  <c r="G8" i="3"/>
  <c r="G7" i="3"/>
  <c r="G6" i="3"/>
  <c r="G5" i="3"/>
  <c r="G9" i="3"/>
  <c r="G10" i="3"/>
  <c r="B30" i="3"/>
  <c r="B31" i="3" s="1"/>
  <c r="B17" i="3"/>
  <c r="B16" i="3"/>
  <c r="B14" i="3"/>
  <c r="F10" i="3"/>
  <c r="F9" i="3"/>
  <c r="F8" i="3"/>
  <c r="F7" i="3"/>
  <c r="F6" i="3"/>
  <c r="F5" i="3"/>
  <c r="F4" i="3"/>
  <c r="F3" i="3"/>
  <c r="E4" i="3"/>
  <c r="B21" i="3"/>
  <c r="B20" i="3"/>
  <c r="B19" i="3"/>
  <c r="W62" i="1"/>
  <c r="E9" i="3"/>
  <c r="D4" i="3"/>
  <c r="Z110" i="2"/>
  <c r="W110" i="2"/>
  <c r="D7" i="3"/>
  <c r="C4" i="3"/>
  <c r="C9" i="3" s="1"/>
  <c r="S42" i="2"/>
  <c r="S100" i="2"/>
  <c r="S95" i="2"/>
  <c r="S97" i="2"/>
  <c r="S102" i="2"/>
  <c r="S99" i="2"/>
  <c r="S98" i="2"/>
  <c r="S96" i="2"/>
  <c r="S91" i="2"/>
  <c r="S90" i="2"/>
  <c r="S86" i="2"/>
  <c r="S94" i="2"/>
  <c r="S92" i="2"/>
  <c r="S89" i="2"/>
  <c r="S87" i="2"/>
  <c r="S85" i="2"/>
  <c r="S73" i="2"/>
  <c r="S83" i="2"/>
  <c r="S82" i="2"/>
  <c r="S81" i="2"/>
  <c r="S80" i="2"/>
  <c r="S79" i="2"/>
  <c r="S78" i="2"/>
  <c r="S77" i="2"/>
  <c r="S76" i="2"/>
  <c r="S75" i="2"/>
  <c r="S68" i="2"/>
  <c r="S56" i="2"/>
  <c r="S55" i="2"/>
  <c r="S54" i="2"/>
  <c r="S53" i="2"/>
  <c r="S52" i="2"/>
  <c r="S51" i="2"/>
  <c r="S67" i="2"/>
  <c r="S63" i="2"/>
  <c r="S60" i="2"/>
  <c r="S59" i="2"/>
  <c r="S50" i="2"/>
  <c r="S48" i="2"/>
  <c r="S47" i="2"/>
  <c r="S46" i="2"/>
  <c r="S45" i="2"/>
  <c r="S44" i="2"/>
  <c r="S41" i="2"/>
  <c r="S40" i="2"/>
  <c r="S39" i="2"/>
  <c r="S38" i="2"/>
  <c r="S37" i="2"/>
  <c r="S35" i="2"/>
  <c r="S33" i="2"/>
  <c r="S31" i="2"/>
  <c r="S29" i="2"/>
  <c r="S28" i="2"/>
  <c r="S26" i="2"/>
  <c r="S25" i="2"/>
  <c r="S24" i="2"/>
  <c r="S22" i="2"/>
  <c r="S21" i="2"/>
  <c r="S19" i="2"/>
  <c r="S17" i="2"/>
  <c r="S14" i="2"/>
  <c r="S13" i="2"/>
  <c r="S11" i="2"/>
  <c r="S10" i="2"/>
  <c r="S9" i="2"/>
  <c r="S8" i="2"/>
  <c r="S7" i="2"/>
  <c r="S5" i="2"/>
  <c r="S4" i="2"/>
  <c r="S3" i="2"/>
  <c r="S2" i="2"/>
  <c r="M60" i="1"/>
  <c r="M59" i="1"/>
  <c r="M58" i="1"/>
  <c r="M57" i="1"/>
  <c r="M55" i="1"/>
  <c r="M54" i="1"/>
  <c r="M53" i="1"/>
  <c r="M52" i="1"/>
  <c r="M50" i="1"/>
  <c r="M49" i="1"/>
  <c r="M48" i="1"/>
  <c r="M47" i="1"/>
  <c r="M45" i="1"/>
  <c r="M44" i="1"/>
  <c r="M43" i="1"/>
  <c r="M42" i="1"/>
  <c r="M40" i="1"/>
  <c r="M39" i="1"/>
  <c r="M38" i="1"/>
  <c r="M37" i="1"/>
  <c r="M35" i="1"/>
  <c r="M34" i="1"/>
  <c r="M33" i="1"/>
  <c r="M30" i="1"/>
  <c r="M29" i="1"/>
  <c r="M25" i="1"/>
  <c r="M24" i="1"/>
  <c r="M23" i="1"/>
  <c r="M22" i="1"/>
  <c r="M19" i="1"/>
  <c r="M18" i="1"/>
  <c r="M17" i="1"/>
  <c r="M16" i="1"/>
  <c r="M12" i="1"/>
  <c r="M10" i="1"/>
  <c r="M9" i="1"/>
  <c r="M7" i="1"/>
  <c r="M5" i="1"/>
  <c r="M4" i="1"/>
  <c r="M3" i="1"/>
  <c r="M6" i="1"/>
  <c r="M56" i="1"/>
  <c r="M46" i="1"/>
  <c r="M36" i="1"/>
  <c r="M32" i="1"/>
  <c r="M28" i="1"/>
  <c r="M27" i="1"/>
  <c r="M26" i="1"/>
  <c r="M20" i="1"/>
  <c r="M15" i="1"/>
  <c r="M14" i="1"/>
  <c r="M2" i="1"/>
  <c r="X6" i="4"/>
  <c r="R31" i="4"/>
  <c r="Q31" i="4"/>
  <c r="X30" i="4"/>
  <c r="V30" i="4"/>
  <c r="U30" i="4"/>
  <c r="R30" i="4"/>
  <c r="T30" i="4" s="1"/>
  <c r="Q30" i="4"/>
  <c r="X29" i="4"/>
  <c r="V29" i="4"/>
  <c r="U29" i="4"/>
  <c r="R29" i="4"/>
  <c r="T29" i="4" s="1"/>
  <c r="Q29" i="4"/>
  <c r="X28" i="4"/>
  <c r="V28" i="4"/>
  <c r="U28" i="4"/>
  <c r="R28" i="4"/>
  <c r="T28" i="4" s="1"/>
  <c r="Q28" i="4"/>
  <c r="X27" i="4"/>
  <c r="V27" i="4"/>
  <c r="U27" i="4"/>
  <c r="R27" i="4"/>
  <c r="T27" i="4" s="1"/>
  <c r="Q27" i="4"/>
  <c r="X26" i="4"/>
  <c r="V26" i="4"/>
  <c r="U26" i="4"/>
  <c r="R26" i="4"/>
  <c r="T26" i="4" s="1"/>
  <c r="Q26" i="4"/>
  <c r="X25" i="4"/>
  <c r="V25" i="4"/>
  <c r="U25" i="4"/>
  <c r="T25" i="4"/>
  <c r="Q25" i="4"/>
  <c r="X24" i="4"/>
  <c r="V24" i="4"/>
  <c r="U24" i="4"/>
  <c r="R24" i="4"/>
  <c r="T24" i="4" s="1"/>
  <c r="Q24" i="4"/>
  <c r="X23" i="4"/>
  <c r="V23" i="4"/>
  <c r="U23" i="4"/>
  <c r="R23" i="4"/>
  <c r="T23" i="4" s="1"/>
  <c r="Q23" i="4"/>
  <c r="X22" i="4"/>
  <c r="V22" i="4"/>
  <c r="U22" i="4"/>
  <c r="T22" i="4"/>
  <c r="Q22" i="4"/>
  <c r="X21" i="4"/>
  <c r="V21" i="4"/>
  <c r="U21" i="4"/>
  <c r="R21" i="4"/>
  <c r="T21" i="4" s="1"/>
  <c r="Q21" i="4"/>
  <c r="X20" i="4"/>
  <c r="V20" i="4"/>
  <c r="U20" i="4"/>
  <c r="R20" i="4"/>
  <c r="T20" i="4" s="1"/>
  <c r="Q20" i="4"/>
  <c r="X19" i="4"/>
  <c r="V19" i="4"/>
  <c r="U19" i="4"/>
  <c r="R19" i="4"/>
  <c r="T19" i="4" s="1"/>
  <c r="Q19" i="4"/>
  <c r="X18" i="4"/>
  <c r="V18" i="4"/>
  <c r="U18" i="4"/>
  <c r="R18" i="4"/>
  <c r="T18" i="4" s="1"/>
  <c r="Q18" i="4"/>
  <c r="X17" i="4"/>
  <c r="V17" i="4"/>
  <c r="U17" i="4"/>
  <c r="R17" i="4"/>
  <c r="T17" i="4" s="1"/>
  <c r="Q17" i="4"/>
  <c r="X16" i="4"/>
  <c r="V16" i="4"/>
  <c r="U16" i="4"/>
  <c r="R16" i="4"/>
  <c r="T16" i="4" s="1"/>
  <c r="Q16" i="4"/>
  <c r="X15" i="4"/>
  <c r="V15" i="4"/>
  <c r="U15" i="4"/>
  <c r="R15" i="4"/>
  <c r="T15" i="4" s="1"/>
  <c r="Q15" i="4"/>
  <c r="X14" i="4"/>
  <c r="V14" i="4"/>
  <c r="U14" i="4"/>
  <c r="R14" i="4"/>
  <c r="T14" i="4" s="1"/>
  <c r="Q14" i="4"/>
  <c r="X13" i="4"/>
  <c r="V13" i="4"/>
  <c r="U13" i="4"/>
  <c r="R13" i="4"/>
  <c r="T13" i="4" s="1"/>
  <c r="Q13" i="4"/>
  <c r="X12" i="4"/>
  <c r="V12" i="4"/>
  <c r="U12" i="4"/>
  <c r="R12" i="4"/>
  <c r="T12" i="4" s="1"/>
  <c r="Q12" i="4"/>
  <c r="X11" i="4"/>
  <c r="V11" i="4"/>
  <c r="U11" i="4"/>
  <c r="R11" i="4"/>
  <c r="T11" i="4" s="1"/>
  <c r="Q11" i="4"/>
  <c r="X10" i="4"/>
  <c r="V10" i="4"/>
  <c r="U10" i="4"/>
  <c r="R10" i="4"/>
  <c r="T10" i="4" s="1"/>
  <c r="Q10" i="4"/>
  <c r="X9" i="4"/>
  <c r="V9" i="4"/>
  <c r="U9" i="4"/>
  <c r="R9" i="4"/>
  <c r="T9" i="4" s="1"/>
  <c r="Q9" i="4"/>
  <c r="X8" i="4"/>
  <c r="V8" i="4"/>
  <c r="U8" i="4"/>
  <c r="R8" i="4"/>
  <c r="T8" i="4" s="1"/>
  <c r="Q8" i="4"/>
  <c r="X7" i="4"/>
  <c r="V7" i="4"/>
  <c r="U7" i="4"/>
  <c r="R7" i="4"/>
  <c r="T7" i="4" s="1"/>
  <c r="Q7" i="4"/>
  <c r="X5" i="4"/>
  <c r="V5" i="4"/>
  <c r="U5" i="4"/>
  <c r="R5" i="4"/>
  <c r="T5" i="4" s="1"/>
  <c r="Q5" i="4"/>
  <c r="X4" i="4"/>
  <c r="V4" i="4"/>
  <c r="U4" i="4"/>
  <c r="R4" i="4"/>
  <c r="T4" i="4" s="1"/>
  <c r="Q4" i="4"/>
  <c r="X3" i="4"/>
  <c r="V3" i="4"/>
  <c r="U3" i="4"/>
  <c r="R3" i="4"/>
  <c r="T3" i="4" s="1"/>
  <c r="Q3" i="4"/>
  <c r="X2" i="4"/>
  <c r="V2" i="4"/>
  <c r="U2" i="4"/>
  <c r="R2" i="4"/>
  <c r="T2" i="4" s="1"/>
  <c r="Q2" i="4"/>
  <c r="B10" i="3"/>
  <c r="B4" i="3"/>
  <c r="D6" i="3"/>
  <c r="C29" i="3" l="1"/>
  <c r="E8" i="3"/>
  <c r="E5" i="3"/>
  <c r="E7" i="3"/>
  <c r="E6" i="3"/>
  <c r="E10" i="3"/>
  <c r="D8" i="3"/>
  <c r="D9" i="3"/>
  <c r="D5" i="3"/>
  <c r="C5" i="3"/>
  <c r="C6" i="3"/>
  <c r="C7" i="3"/>
  <c r="C8" i="3"/>
  <c r="D10" i="3" l="1"/>
  <c r="C10" i="3"/>
  <c r="U62" i="1"/>
  <c r="U42" i="1"/>
  <c r="U52" i="1"/>
  <c r="U32" i="1"/>
  <c r="U22" i="1"/>
  <c r="U12" i="1"/>
  <c r="U60" i="1"/>
  <c r="U50" i="1"/>
  <c r="U40" i="1"/>
  <c r="U30" i="1"/>
  <c r="U20" i="1"/>
  <c r="U10" i="1"/>
  <c r="U59" i="1"/>
  <c r="U58" i="1"/>
  <c r="U57" i="1"/>
  <c r="U56" i="1"/>
  <c r="U55" i="1"/>
  <c r="U54" i="1"/>
  <c r="U53" i="1"/>
  <c r="U49" i="1"/>
  <c r="U48" i="1"/>
  <c r="U47" i="1"/>
  <c r="U46" i="1"/>
  <c r="U45" i="1"/>
  <c r="U44" i="1"/>
  <c r="U43" i="1"/>
  <c r="U39" i="1"/>
  <c r="U38" i="1"/>
  <c r="U37" i="1"/>
  <c r="U36" i="1"/>
  <c r="U35" i="1"/>
  <c r="U34" i="1"/>
  <c r="U33" i="1"/>
  <c r="U29" i="1"/>
  <c r="U28" i="1"/>
  <c r="U27" i="1"/>
  <c r="U26" i="1"/>
  <c r="U25" i="1"/>
  <c r="U24" i="1"/>
  <c r="U23" i="1"/>
  <c r="U19" i="1"/>
  <c r="U18" i="1"/>
  <c r="U17" i="1"/>
  <c r="U16" i="1"/>
  <c r="U15" i="1"/>
  <c r="U14" i="1"/>
  <c r="U13" i="1"/>
  <c r="U9" i="1"/>
  <c r="U8" i="1"/>
  <c r="U7" i="1"/>
  <c r="U6" i="1"/>
  <c r="U5" i="1"/>
  <c r="U4" i="1"/>
  <c r="U3" i="1"/>
  <c r="U2" i="1"/>
  <c r="V17" i="2"/>
  <c r="V42" i="2"/>
  <c r="V102" i="2"/>
  <c r="V83" i="2"/>
  <c r="V44" i="2"/>
  <c r="V19" i="2"/>
  <c r="V85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2" i="2"/>
  <c r="V81" i="2"/>
  <c r="V80" i="2"/>
  <c r="V79" i="2"/>
  <c r="V78" i="2"/>
  <c r="V77" i="2"/>
  <c r="V76" i="2"/>
  <c r="V75" i="2"/>
  <c r="V74" i="2"/>
  <c r="V73" i="2"/>
  <c r="V72" i="2"/>
  <c r="V70" i="2"/>
  <c r="V69" i="2"/>
  <c r="V68" i="2"/>
  <c r="V67" i="2"/>
  <c r="V66" i="2"/>
  <c r="V65" i="2"/>
  <c r="V64" i="2"/>
  <c r="V63" i="2"/>
  <c r="V62" i="2"/>
  <c r="V61" i="2"/>
  <c r="V60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14" i="2"/>
  <c r="V13" i="2"/>
  <c r="V12" i="2"/>
  <c r="V11" i="2"/>
  <c r="V10" i="2"/>
  <c r="V9" i="2"/>
  <c r="V8" i="2"/>
  <c r="V7" i="2"/>
  <c r="V6" i="2"/>
  <c r="V5" i="2"/>
  <c r="V4" i="2"/>
  <c r="V3" i="2"/>
  <c r="V2" i="2"/>
  <c r="R13" i="2" l="1"/>
  <c r="R102" i="2"/>
  <c r="R101" i="2"/>
  <c r="R94" i="2"/>
  <c r="R93" i="2"/>
  <c r="R88" i="2"/>
  <c r="R87" i="2"/>
  <c r="R76" i="2"/>
  <c r="R75" i="2"/>
  <c r="R74" i="2"/>
  <c r="R73" i="2"/>
  <c r="R50" i="2"/>
  <c r="R49" i="2"/>
  <c r="R37" i="2"/>
  <c r="R36" i="2"/>
  <c r="R35" i="2"/>
  <c r="R34" i="2"/>
  <c r="R33" i="2"/>
  <c r="R32" i="2"/>
  <c r="R31" i="2"/>
  <c r="R30" i="2"/>
  <c r="R28" i="2"/>
  <c r="R27" i="2"/>
  <c r="R23" i="2"/>
  <c r="R22" i="2"/>
  <c r="R21" i="2"/>
  <c r="R20" i="2"/>
  <c r="R15" i="2"/>
  <c r="R14" i="2"/>
  <c r="R12" i="2"/>
  <c r="R6" i="2"/>
  <c r="R5" i="2"/>
  <c r="S101" i="2"/>
  <c r="S88" i="2"/>
  <c r="S74" i="2"/>
  <c r="S23" i="2"/>
  <c r="S15" i="2"/>
  <c r="S6" i="2"/>
  <c r="S12" i="1"/>
  <c r="S22" i="1"/>
  <c r="S32" i="1"/>
  <c r="S42" i="1"/>
  <c r="S52" i="1"/>
  <c r="S60" i="1"/>
  <c r="S50" i="1"/>
  <c r="S40" i="1"/>
  <c r="S30" i="1"/>
  <c r="S20" i="1"/>
  <c r="S10" i="1"/>
  <c r="S59" i="1"/>
  <c r="S58" i="1"/>
  <c r="S57" i="1"/>
  <c r="S56" i="1"/>
  <c r="S55" i="1"/>
  <c r="S54" i="1"/>
  <c r="S53" i="1"/>
  <c r="S49" i="1"/>
  <c r="S48" i="1"/>
  <c r="S47" i="1"/>
  <c r="S46" i="1"/>
  <c r="S45" i="1"/>
  <c r="S44" i="1"/>
  <c r="S43" i="1"/>
  <c r="S39" i="1"/>
  <c r="S38" i="1"/>
  <c r="S37" i="1"/>
  <c r="S36" i="1"/>
  <c r="S35" i="1"/>
  <c r="S34" i="1"/>
  <c r="S33" i="1"/>
  <c r="S29" i="1"/>
  <c r="S28" i="1"/>
  <c r="S27" i="1"/>
  <c r="S26" i="1"/>
  <c r="S25" i="1"/>
  <c r="S24" i="1"/>
  <c r="S23" i="1"/>
  <c r="S19" i="1"/>
  <c r="S18" i="1"/>
  <c r="S17" i="1"/>
  <c r="S16" i="1"/>
  <c r="S15" i="1"/>
  <c r="S14" i="1"/>
  <c r="S13" i="1"/>
  <c r="S9" i="1"/>
  <c r="S8" i="1"/>
  <c r="S7" i="1"/>
  <c r="S6" i="1"/>
  <c r="S5" i="1"/>
  <c r="S4" i="1"/>
  <c r="S3" i="1"/>
  <c r="S2" i="1"/>
  <c r="R99" i="2"/>
  <c r="R100" i="2"/>
  <c r="R91" i="2"/>
  <c r="R81" i="2"/>
  <c r="R80" i="2"/>
  <c r="R54" i="2"/>
  <c r="R53" i="2"/>
  <c r="R11" i="2"/>
  <c r="S12" i="2"/>
  <c r="R83" i="2"/>
  <c r="R17" i="2"/>
  <c r="R105" i="2"/>
  <c r="R85" i="2"/>
  <c r="R44" i="2"/>
  <c r="R19" i="2"/>
  <c r="R106" i="2"/>
  <c r="R98" i="2"/>
  <c r="R97" i="2"/>
  <c r="R96" i="2"/>
  <c r="R95" i="2"/>
  <c r="R92" i="2"/>
  <c r="R90" i="2"/>
  <c r="R89" i="2"/>
  <c r="R86" i="2"/>
  <c r="R82" i="2"/>
  <c r="R79" i="2"/>
  <c r="R78" i="2"/>
  <c r="R77" i="2"/>
  <c r="R68" i="2"/>
  <c r="R63" i="2"/>
  <c r="R56" i="2"/>
  <c r="R55" i="2"/>
  <c r="R52" i="2"/>
  <c r="R51" i="2"/>
  <c r="R48" i="2"/>
  <c r="R47" i="2"/>
  <c r="R46" i="2"/>
  <c r="R45" i="2"/>
  <c r="R41" i="2"/>
  <c r="R40" i="2"/>
  <c r="R39" i="2"/>
  <c r="R38" i="2"/>
  <c r="R26" i="2"/>
  <c r="R25" i="2"/>
  <c r="R24" i="2"/>
  <c r="R10" i="2"/>
  <c r="R9" i="2"/>
  <c r="R8" i="2"/>
  <c r="R7" i="2"/>
  <c r="R4" i="2"/>
  <c r="R3" i="2"/>
  <c r="R2" i="2"/>
  <c r="S93" i="2"/>
  <c r="S36" i="2"/>
  <c r="S32" i="2"/>
  <c r="S30" i="2"/>
  <c r="S27" i="2"/>
  <c r="S20" i="2"/>
  <c r="S34" i="2"/>
  <c r="Q46" i="1"/>
  <c r="Q28" i="1"/>
  <c r="Q27" i="1"/>
  <c r="Q26" i="1"/>
  <c r="P56" i="1"/>
  <c r="Q56" i="1" s="1"/>
  <c r="P46" i="1"/>
  <c r="P28" i="1"/>
  <c r="P27" i="1"/>
  <c r="P26" i="1"/>
  <c r="P15" i="1"/>
  <c r="Q15" i="1" s="1"/>
  <c r="R13" i="1" l="1"/>
  <c r="M13" i="1"/>
  <c r="O13" i="1" s="1"/>
  <c r="P13" i="1" s="1"/>
  <c r="Q13" i="1" s="1"/>
  <c r="R60" i="1"/>
  <c r="R59" i="1"/>
  <c r="R58" i="1"/>
  <c r="R57" i="1"/>
  <c r="R56" i="1"/>
  <c r="R55" i="1"/>
  <c r="R54" i="1"/>
  <c r="R53" i="1"/>
  <c r="R52" i="1"/>
  <c r="R50" i="1"/>
  <c r="R49" i="1"/>
  <c r="R48" i="1"/>
  <c r="R47" i="1"/>
  <c r="R46" i="1"/>
  <c r="R45" i="1"/>
  <c r="R44" i="1"/>
  <c r="R43" i="1"/>
  <c r="R42" i="1"/>
  <c r="R40" i="1"/>
  <c r="R39" i="1"/>
  <c r="R38" i="1"/>
  <c r="R37" i="1"/>
  <c r="R36" i="1"/>
  <c r="R35" i="1"/>
  <c r="R34" i="1"/>
  <c r="R33" i="1"/>
  <c r="R32" i="1"/>
  <c r="R30" i="1"/>
  <c r="R29" i="1"/>
  <c r="R28" i="1"/>
  <c r="R27" i="1"/>
  <c r="R26" i="1"/>
  <c r="R25" i="1"/>
  <c r="R24" i="1"/>
  <c r="R23" i="1"/>
  <c r="R22" i="1"/>
  <c r="R20" i="1"/>
  <c r="R19" i="1"/>
  <c r="R18" i="1"/>
  <c r="R17" i="1"/>
  <c r="R16" i="1"/>
  <c r="R15" i="1"/>
  <c r="R14" i="1"/>
  <c r="R12" i="1"/>
  <c r="R10" i="1"/>
  <c r="R9" i="1"/>
  <c r="R8" i="1"/>
  <c r="R7" i="1"/>
  <c r="R6" i="1"/>
  <c r="R5" i="1"/>
  <c r="R4" i="1"/>
  <c r="R3" i="1"/>
  <c r="R2" i="1"/>
  <c r="O59" i="1"/>
  <c r="P59" i="1" s="1"/>
  <c r="Q59" i="1" s="1"/>
  <c r="O54" i="1"/>
  <c r="P54" i="1" s="1"/>
  <c r="Q54" i="1" s="1"/>
  <c r="O53" i="1"/>
  <c r="P53" i="1" s="1"/>
  <c r="Q53" i="1" s="1"/>
  <c r="O52" i="1"/>
  <c r="P52" i="1" s="1"/>
  <c r="Q52" i="1" s="1"/>
  <c r="O44" i="1"/>
  <c r="P44" i="1" s="1"/>
  <c r="Q44" i="1" s="1"/>
  <c r="O43" i="1"/>
  <c r="P43" i="1" s="1"/>
  <c r="Q43" i="1" s="1"/>
  <c r="O42" i="1"/>
  <c r="P42" i="1" s="1"/>
  <c r="Q42" i="1" s="1"/>
  <c r="O34" i="1"/>
  <c r="P34" i="1" s="1"/>
  <c r="Q34" i="1" s="1"/>
  <c r="O33" i="1"/>
  <c r="P33" i="1" s="1"/>
  <c r="Q33" i="1" s="1"/>
  <c r="O32" i="1"/>
  <c r="P32" i="1" s="1"/>
  <c r="Q32" i="1" s="1"/>
  <c r="O35" i="1"/>
  <c r="P35" i="1" s="1"/>
  <c r="Q35" i="1" s="1"/>
  <c r="O24" i="1"/>
  <c r="P24" i="1" s="1"/>
  <c r="Q24" i="1" s="1"/>
  <c r="O23" i="1"/>
  <c r="P23" i="1" s="1"/>
  <c r="Q23" i="1" s="1"/>
  <c r="O22" i="1"/>
  <c r="P22" i="1" s="1"/>
  <c r="Q22" i="1" s="1"/>
  <c r="O14" i="1"/>
  <c r="P14" i="1" s="1"/>
  <c r="Q14" i="1" s="1"/>
  <c r="O12" i="1"/>
  <c r="P12" i="1" s="1"/>
  <c r="Q12" i="1" s="1"/>
  <c r="O60" i="1"/>
  <c r="P60" i="1" s="1"/>
  <c r="Q60" i="1" s="1"/>
  <c r="O58" i="1"/>
  <c r="P58" i="1" s="1"/>
  <c r="Q58" i="1" s="1"/>
  <c r="O57" i="1"/>
  <c r="P57" i="1" s="1"/>
  <c r="Q57" i="1" s="1"/>
  <c r="O55" i="1"/>
  <c r="P55" i="1" s="1"/>
  <c r="Q55" i="1" s="1"/>
  <c r="O50" i="1"/>
  <c r="P50" i="1" s="1"/>
  <c r="Q50" i="1" s="1"/>
  <c r="O49" i="1"/>
  <c r="P49" i="1" s="1"/>
  <c r="Q49" i="1" s="1"/>
  <c r="O48" i="1"/>
  <c r="P48" i="1" s="1"/>
  <c r="Q48" i="1" s="1"/>
  <c r="O47" i="1"/>
  <c r="P47" i="1" s="1"/>
  <c r="Q47" i="1" s="1"/>
  <c r="O45" i="1"/>
  <c r="P45" i="1" s="1"/>
  <c r="Q45" i="1" s="1"/>
  <c r="O40" i="1"/>
  <c r="P40" i="1" s="1"/>
  <c r="Q40" i="1" s="1"/>
  <c r="O39" i="1"/>
  <c r="P39" i="1" s="1"/>
  <c r="Q39" i="1" s="1"/>
  <c r="O38" i="1"/>
  <c r="P38" i="1" s="1"/>
  <c r="Q38" i="1" s="1"/>
  <c r="O37" i="1"/>
  <c r="P37" i="1" s="1"/>
  <c r="Q37" i="1" s="1"/>
  <c r="O36" i="1"/>
  <c r="P36" i="1" s="1"/>
  <c r="Q36" i="1" s="1"/>
  <c r="O30" i="1"/>
  <c r="P30" i="1" s="1"/>
  <c r="Q30" i="1" s="1"/>
  <c r="O29" i="1"/>
  <c r="P29" i="1" s="1"/>
  <c r="Q29" i="1" s="1"/>
  <c r="O25" i="1"/>
  <c r="P25" i="1" s="1"/>
  <c r="Q25" i="1" s="1"/>
  <c r="O20" i="1"/>
  <c r="P20" i="1" s="1"/>
  <c r="Q20" i="1" s="1"/>
  <c r="O19" i="1"/>
  <c r="P19" i="1" s="1"/>
  <c r="Q19" i="1" s="1"/>
  <c r="O18" i="1"/>
  <c r="P18" i="1" s="1"/>
  <c r="Q18" i="1" s="1"/>
  <c r="O17" i="1"/>
  <c r="P17" i="1" s="1"/>
  <c r="Q17" i="1" s="1"/>
  <c r="O16" i="1"/>
  <c r="P16" i="1" s="1"/>
  <c r="Q16" i="1" s="1"/>
  <c r="O10" i="1"/>
  <c r="P10" i="1" s="1"/>
  <c r="Q10" i="1" s="1"/>
  <c r="O9" i="1"/>
  <c r="P9" i="1" s="1"/>
  <c r="Q9" i="1" s="1"/>
  <c r="M8" i="1"/>
  <c r="O8" i="1" s="1"/>
  <c r="P8" i="1" s="1"/>
  <c r="Q8" i="1" s="1"/>
  <c r="O7" i="1"/>
  <c r="P7" i="1" s="1"/>
  <c r="Q7" i="1" s="1"/>
  <c r="O6" i="1"/>
  <c r="P6" i="1" s="1"/>
  <c r="Q6" i="1" s="1"/>
  <c r="O5" i="1"/>
  <c r="P5" i="1" s="1"/>
  <c r="Q5" i="1" s="1"/>
  <c r="O4" i="1"/>
  <c r="P4" i="1" s="1"/>
  <c r="Q4" i="1" s="1"/>
  <c r="O3" i="1"/>
  <c r="P3" i="1" s="1"/>
  <c r="Q3" i="1" s="1"/>
  <c r="O2" i="1"/>
  <c r="P2" i="1" s="1"/>
  <c r="Q2" i="1" s="1"/>
  <c r="Q62" i="1" l="1"/>
</calcChain>
</file>

<file path=xl/sharedStrings.xml><?xml version="1.0" encoding="utf-8"?>
<sst xmlns="http://schemas.openxmlformats.org/spreadsheetml/2006/main" count="4186" uniqueCount="521">
  <si>
    <t>HOMOGENATE TUBE #</t>
  </si>
  <si>
    <t>PURPLE</t>
  </si>
  <si>
    <t>RED</t>
  </si>
  <si>
    <t>ORANGE</t>
  </si>
  <si>
    <t>YELLOW</t>
  </si>
  <si>
    <t>GREEN</t>
  </si>
  <si>
    <t>BLUE</t>
  </si>
  <si>
    <t>CTENIDIA</t>
  </si>
  <si>
    <t>TISSUE SAMPLE #</t>
  </si>
  <si>
    <t>VOL RNAzol</t>
  </si>
  <si>
    <t>MASS TISSUE (mg)</t>
  </si>
  <si>
    <t>1 mL</t>
  </si>
  <si>
    <t>TUBE COLOR</t>
  </si>
  <si>
    <t>TISSUE TYPE</t>
  </si>
  <si>
    <t>DATE HOMOGENIZED</t>
  </si>
  <si>
    <t>DATE RNA ISOLATED</t>
  </si>
  <si>
    <t>Notes</t>
  </si>
  <si>
    <t>[RNA] ng/uL</t>
  </si>
  <si>
    <t>Cohort</t>
  </si>
  <si>
    <t>pCO2</t>
  </si>
  <si>
    <t>HL10-10</t>
  </si>
  <si>
    <t>HL10-11</t>
  </si>
  <si>
    <t>HL10-12</t>
  </si>
  <si>
    <t>HL6-11</t>
  </si>
  <si>
    <t>HL6-12</t>
  </si>
  <si>
    <t>HL6-13</t>
  </si>
  <si>
    <t>HL6-14</t>
  </si>
  <si>
    <t>HL6-15</t>
  </si>
  <si>
    <t>HL10-19</t>
  </si>
  <si>
    <t>HL10-20</t>
  </si>
  <si>
    <t>HL10-21</t>
  </si>
  <si>
    <t>HL6-21</t>
  </si>
  <si>
    <t>HL6-19</t>
  </si>
  <si>
    <t>HL6-20</t>
  </si>
  <si>
    <t>HL6-16</t>
  </si>
  <si>
    <t>HL6-17</t>
  </si>
  <si>
    <t>HL6-18</t>
  </si>
  <si>
    <t>Dabob Bay</t>
  </si>
  <si>
    <t>SN6-16</t>
  </si>
  <si>
    <t>SN6-17</t>
  </si>
  <si>
    <t>SN6-18</t>
  </si>
  <si>
    <t>SN6-19</t>
  </si>
  <si>
    <t>SN6-20</t>
  </si>
  <si>
    <t>SN6-21</t>
  </si>
  <si>
    <t>SN6-22</t>
  </si>
  <si>
    <t>SN6-23</t>
  </si>
  <si>
    <t>SN6-24</t>
  </si>
  <si>
    <t>SN6-25</t>
  </si>
  <si>
    <t>SN6-26</t>
  </si>
  <si>
    <t>SN6-27</t>
  </si>
  <si>
    <t>SN6-28</t>
  </si>
  <si>
    <t>SN6-29</t>
  </si>
  <si>
    <t>SN6-30</t>
  </si>
  <si>
    <t>SN6-31</t>
  </si>
  <si>
    <t>SN6-32</t>
  </si>
  <si>
    <t>SN6-33</t>
  </si>
  <si>
    <t>NF6-16</t>
  </si>
  <si>
    <t>NF6-17</t>
  </si>
  <si>
    <t>NF6-18</t>
  </si>
  <si>
    <t>NF6-19</t>
  </si>
  <si>
    <t>NF6-20</t>
  </si>
  <si>
    <t>NF6-21</t>
  </si>
  <si>
    <t>NF6-22</t>
  </si>
  <si>
    <t>NF6-23</t>
  </si>
  <si>
    <t>NF6-24</t>
  </si>
  <si>
    <t>NF6-25</t>
  </si>
  <si>
    <t>NF6-26</t>
  </si>
  <si>
    <t>NF6-27</t>
  </si>
  <si>
    <t>NF6-28</t>
  </si>
  <si>
    <t>NF6-29</t>
  </si>
  <si>
    <t>NF6-30</t>
  </si>
  <si>
    <t>NF6-31</t>
  </si>
  <si>
    <t>NF6-32</t>
  </si>
  <si>
    <t>NF6-33</t>
  </si>
  <si>
    <t>Oyster Bay</t>
  </si>
  <si>
    <t>Fidalgo Bay</t>
  </si>
  <si>
    <t>&lt; 10</t>
  </si>
  <si>
    <t>Not recorded</t>
  </si>
  <si>
    <t>Homogenization Batch</t>
  </si>
  <si>
    <t>RNA Isolation Batch</t>
  </si>
  <si>
    <t>Total volume, uL (RNA + H2O)</t>
  </si>
  <si>
    <t>TOO HIGH</t>
  </si>
  <si>
    <t>&gt;28,000</t>
  </si>
  <si>
    <t>Volume needed for 500 ng RNA</t>
  </si>
  <si>
    <t>Black substance in homogenate - maybe from tube lid?</t>
  </si>
  <si>
    <t>High</t>
  </si>
  <si>
    <t>Ambient</t>
  </si>
  <si>
    <t>HL6-10</t>
  </si>
  <si>
    <t>Amount of RNA (ng)</t>
  </si>
  <si>
    <t>Spawning Tank</t>
  </si>
  <si>
    <t>Treatment</t>
  </si>
  <si>
    <t>SN-6 Low A</t>
  </si>
  <si>
    <t>Oyster Bay C1</t>
  </si>
  <si>
    <t>6 Low</t>
  </si>
  <si>
    <t>SN-6 Low B</t>
  </si>
  <si>
    <t>SN-10 Ambient A</t>
  </si>
  <si>
    <t>10 Ambient</t>
  </si>
  <si>
    <t>SN-10 Ambient B</t>
  </si>
  <si>
    <t>K-6 Low</t>
  </si>
  <si>
    <t>Oyster Bay C2</t>
  </si>
  <si>
    <t>SN-10 Low B</t>
  </si>
  <si>
    <t>10 Low</t>
  </si>
  <si>
    <t>SN-6 Ambient B</t>
  </si>
  <si>
    <t>6 Ambient</t>
  </si>
  <si>
    <t>K-10 Low</t>
  </si>
  <si>
    <t>HL-10 Ambient</t>
  </si>
  <si>
    <t>NF-10 Low B</t>
  </si>
  <si>
    <t>K-10 Ambient</t>
  </si>
  <si>
    <t>NF-10  Low A</t>
  </si>
  <si>
    <t>NF-6 Low B</t>
  </si>
  <si>
    <t>NF-10 Ambient A</t>
  </si>
  <si>
    <t>NF-6 Ambient B</t>
  </si>
  <si>
    <t>HL-10 Low</t>
  </si>
  <si>
    <t>NF-6 Ambient A</t>
  </si>
  <si>
    <t>SN-10 Low A</t>
  </si>
  <si>
    <t>K-6 Ambient</t>
  </si>
  <si>
    <t>NF-6 Low A</t>
  </si>
  <si>
    <t>HL-6 Low</t>
  </si>
  <si>
    <t>HL-6 Ambient</t>
  </si>
  <si>
    <t>NF-10 Ambient B</t>
  </si>
  <si>
    <t>SN-6 low A</t>
  </si>
  <si>
    <t>SN-6 Ambient A</t>
  </si>
  <si>
    <t>05-A</t>
  </si>
  <si>
    <t>07-A</t>
  </si>
  <si>
    <t>08-A</t>
  </si>
  <si>
    <t>09-A</t>
  </si>
  <si>
    <t>10-A</t>
  </si>
  <si>
    <t>11-A</t>
  </si>
  <si>
    <t>12-A</t>
  </si>
  <si>
    <t>13-A</t>
  </si>
  <si>
    <t>14-A</t>
  </si>
  <si>
    <t>15-A</t>
  </si>
  <si>
    <t>16-A</t>
  </si>
  <si>
    <t>17-A</t>
  </si>
  <si>
    <t>18-A</t>
  </si>
  <si>
    <t>19-A</t>
  </si>
  <si>
    <t>20-A</t>
  </si>
  <si>
    <t>21-A</t>
  </si>
  <si>
    <t>22-A</t>
  </si>
  <si>
    <t>23-A</t>
  </si>
  <si>
    <t>24-A</t>
  </si>
  <si>
    <t>25-A</t>
  </si>
  <si>
    <t>26-A</t>
  </si>
  <si>
    <t>27-A</t>
  </si>
  <si>
    <t>28-A</t>
  </si>
  <si>
    <t>29-A</t>
  </si>
  <si>
    <t>30-A</t>
  </si>
  <si>
    <t>31-A</t>
  </si>
  <si>
    <t>32-A</t>
  </si>
  <si>
    <t>33-A</t>
  </si>
  <si>
    <t>34-A</t>
  </si>
  <si>
    <t>35-A</t>
  </si>
  <si>
    <t>36-A</t>
  </si>
  <si>
    <t>37-A</t>
  </si>
  <si>
    <t>38-A</t>
  </si>
  <si>
    <t>39-A</t>
  </si>
  <si>
    <t>40-A</t>
  </si>
  <si>
    <t>41-A</t>
  </si>
  <si>
    <t>42-A</t>
  </si>
  <si>
    <t>43-A</t>
  </si>
  <si>
    <t>44-A</t>
  </si>
  <si>
    <t>45-A</t>
  </si>
  <si>
    <t>46-A</t>
  </si>
  <si>
    <t>47-A</t>
  </si>
  <si>
    <t>48-A</t>
  </si>
  <si>
    <t>49-A</t>
  </si>
  <si>
    <t>50-A</t>
  </si>
  <si>
    <t>51-A</t>
  </si>
  <si>
    <t>52-A</t>
  </si>
  <si>
    <t>53-A</t>
  </si>
  <si>
    <t>54-A</t>
  </si>
  <si>
    <t>55-A</t>
  </si>
  <si>
    <t>56-A</t>
  </si>
  <si>
    <t>57-A</t>
  </si>
  <si>
    <t>58-A</t>
  </si>
  <si>
    <t>59-A</t>
  </si>
  <si>
    <t>60-A</t>
  </si>
  <si>
    <t>61-A</t>
  </si>
  <si>
    <t>62-A</t>
  </si>
  <si>
    <t>63-A</t>
  </si>
  <si>
    <t>64-A</t>
  </si>
  <si>
    <t>65-A</t>
  </si>
  <si>
    <t>66-A</t>
  </si>
  <si>
    <t>67-A</t>
  </si>
  <si>
    <t>68-A</t>
  </si>
  <si>
    <t>69-A</t>
  </si>
  <si>
    <t>70-A</t>
  </si>
  <si>
    <t>71-A</t>
  </si>
  <si>
    <t>72-A</t>
  </si>
  <si>
    <t>73-A</t>
  </si>
  <si>
    <t>74-A</t>
  </si>
  <si>
    <t>75-A</t>
  </si>
  <si>
    <t>76-A</t>
  </si>
  <si>
    <t>77-A</t>
  </si>
  <si>
    <t>78-A</t>
  </si>
  <si>
    <t>79-A</t>
  </si>
  <si>
    <t>80-A</t>
  </si>
  <si>
    <t>81-A</t>
  </si>
  <si>
    <t>Have DNA already? If so, tube label</t>
  </si>
  <si>
    <t>Have RNA already?</t>
  </si>
  <si>
    <t>QuantSeq already?</t>
  </si>
  <si>
    <t>YES , #1</t>
  </si>
  <si>
    <t>YES, #41</t>
  </si>
  <si>
    <t>YES</t>
  </si>
  <si>
    <t>YES, #43</t>
  </si>
  <si>
    <t>NO</t>
  </si>
  <si>
    <t>YES, #6</t>
  </si>
  <si>
    <t>YES, #35</t>
  </si>
  <si>
    <t>YES, #46</t>
  </si>
  <si>
    <t>YES , #4</t>
  </si>
  <si>
    <t>YES, #47</t>
  </si>
  <si>
    <t>YES, #Test 10</t>
  </si>
  <si>
    <t>YES, #44</t>
  </si>
  <si>
    <t>YES,  #38</t>
  </si>
  <si>
    <t>YES, #7</t>
  </si>
  <si>
    <t>YES, #39</t>
  </si>
  <si>
    <t>YES, #Test 13</t>
  </si>
  <si>
    <t>YES, #Test 11</t>
  </si>
  <si>
    <t>YES, #2</t>
  </si>
  <si>
    <t>YES, #3</t>
  </si>
  <si>
    <t>YES, #8</t>
  </si>
  <si>
    <t>YES, #37</t>
  </si>
  <si>
    <t>YES, #Test 12</t>
  </si>
  <si>
    <t>YES, #5</t>
  </si>
  <si>
    <t>YES, #34</t>
  </si>
  <si>
    <t>YES, #45</t>
  </si>
  <si>
    <t>Tissue Type</t>
  </si>
  <si>
    <t>Larvae upon release</t>
  </si>
  <si>
    <t>RNA ISOLATION BATCH</t>
  </si>
  <si>
    <t>RNA ISOLATION DATE</t>
  </si>
  <si>
    <t>DATE HOMOG.</t>
  </si>
  <si>
    <t>HOMOG. BATCH</t>
  </si>
  <si>
    <t>Yes, too low, #42</t>
  </si>
  <si>
    <t>Yes, too low, #36</t>
  </si>
  <si>
    <t>Yes, too low, #40</t>
  </si>
  <si>
    <t>RNA Control</t>
  </si>
  <si>
    <t>NA</t>
  </si>
  <si>
    <t>na</t>
  </si>
  <si>
    <t>&lt;10</t>
  </si>
  <si>
    <t>Amount of RNA (ug)</t>
  </si>
  <si>
    <t>% of tissue RNA?</t>
  </si>
  <si>
    <t>VOL RNAzol (mL)</t>
  </si>
  <si>
    <t>not recorded</t>
  </si>
  <si>
    <t>Date larvae collected</t>
  </si>
  <si>
    <t>LOW</t>
  </si>
  <si>
    <t>Total RNA volume remaining, uL (RNA + H2O)</t>
  </si>
  <si>
    <t>Volume homogenate left (uL)</t>
  </si>
  <si>
    <t>poor yield b/c black substance w/ RNA?</t>
  </si>
  <si>
    <t>poor yield b/c very little tissue (likely)</t>
  </si>
  <si>
    <t>HIGH</t>
  </si>
  <si>
    <t>Amount of RNA in 5 uL</t>
  </si>
  <si>
    <t>RNA in 5 uL</t>
  </si>
  <si>
    <t>Volume for DNase treatment</t>
  </si>
  <si>
    <t>404b</t>
  </si>
  <si>
    <t>Homo./RNA TUBE #</t>
  </si>
  <si>
    <t>431b</t>
  </si>
  <si>
    <t>432b</t>
  </si>
  <si>
    <t>442b</t>
  </si>
  <si>
    <t>443b</t>
  </si>
  <si>
    <t>452b</t>
  </si>
  <si>
    <t>461b</t>
  </si>
  <si>
    <t>462b</t>
  </si>
  <si>
    <t>471b</t>
  </si>
  <si>
    <t>472b</t>
  </si>
  <si>
    <t>486b</t>
  </si>
  <si>
    <t>521b</t>
  </si>
  <si>
    <t>522b</t>
  </si>
  <si>
    <t>533b</t>
  </si>
  <si>
    <t>552b</t>
  </si>
  <si>
    <t>Imaged for size date</t>
  </si>
  <si>
    <t>01-A</t>
  </si>
  <si>
    <t>06-A</t>
  </si>
  <si>
    <t>02-A</t>
  </si>
  <si>
    <t>04-A</t>
  </si>
  <si>
    <t>03-A</t>
  </si>
  <si>
    <t>565b</t>
  </si>
  <si>
    <t>unknown</t>
  </si>
  <si>
    <t>Amount of RNA in Dnase treatment (ug), max is 10 ug</t>
  </si>
  <si>
    <t>Date Turbo Dnase treatment</t>
  </si>
  <si>
    <t xml:space="preserve"> Volume for DNase treatment </t>
  </si>
  <si>
    <t xml:space="preserve"> Amount of RNA in Dnase treatment (ug), max is 10 ug </t>
  </si>
  <si>
    <t xml:space="preserve"> Date Turbo Dnase treatment </t>
  </si>
  <si>
    <t>[RNA] after Turbo Dnase treatment</t>
  </si>
  <si>
    <t># Reactions</t>
  </si>
  <si>
    <t>Template (RNA sample) (uL)</t>
  </si>
  <si>
    <t>Sso Fast (uL)</t>
  </si>
  <si>
    <t>DEPC-treated water (uL)</t>
  </si>
  <si>
    <t># Samples</t>
  </si>
  <si>
    <t>Date</t>
  </si>
  <si>
    <t>Total Volume in mastermix (uL)</t>
  </si>
  <si>
    <t>Pf, 10 uM (uL)</t>
  </si>
  <si>
    <t>Pr, 10 uM (uL)</t>
  </si>
  <si>
    <t>per reaction</t>
  </si>
  <si>
    <t>Round DNase treated</t>
  </si>
  <si>
    <t>Round Dnase treatment</t>
  </si>
  <si>
    <t>homog. Control</t>
  </si>
  <si>
    <t>RNAzol control</t>
  </si>
  <si>
    <t>Turbo Dnase control</t>
  </si>
  <si>
    <t>Diluted with 50 uL b/f Dnasing</t>
  </si>
  <si>
    <t>Used 25 uL for TurboDNase</t>
  </si>
  <si>
    <t>Appr. Volume Dnased RNA</t>
  </si>
  <si>
    <t>Concentration stock primers (uM)</t>
  </si>
  <si>
    <t>Concentration working stock primer</t>
  </si>
  <si>
    <t>Volume primers needed</t>
  </si>
  <si>
    <t>Total samples (incl. controls)</t>
  </si>
  <si>
    <t>Sample remaining for qPCR</t>
  </si>
  <si>
    <t># Samples on one plate</t>
  </si>
  <si>
    <t># plates</t>
  </si>
  <si>
    <t>1 plate , 32 rxns</t>
  </si>
  <si>
    <t>1 full plate</t>
  </si>
  <si>
    <t>All 3 reactions</t>
  </si>
  <si>
    <t>Volume primer stocks used</t>
  </si>
  <si>
    <t>Volume H2O to add</t>
  </si>
  <si>
    <t>Check New Concentration</t>
  </si>
  <si>
    <t>[RNA] after Turbo Dnase treatment (ng/uL)</t>
  </si>
  <si>
    <t>[RNA] after Dnase treatment (ng/uL)</t>
  </si>
  <si>
    <t>Date qPCR for contamin.</t>
  </si>
  <si>
    <t>Well</t>
  </si>
  <si>
    <t>Fluor</t>
  </si>
  <si>
    <t>Target</t>
  </si>
  <si>
    <t>Content</t>
  </si>
  <si>
    <t>Sample</t>
  </si>
  <si>
    <t>Melt Temperature</t>
  </si>
  <si>
    <t>Peak Height</t>
  </si>
  <si>
    <t>Begin Temperature</t>
  </si>
  <si>
    <t>End Temperature</t>
  </si>
  <si>
    <t>A01</t>
  </si>
  <si>
    <t>FAM</t>
  </si>
  <si>
    <t>Unkn</t>
  </si>
  <si>
    <t>None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</si>
  <si>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</si>
  <si>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</si>
  <si>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</si>
  <si>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</si>
  <si>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</si>
  <si>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</si>
  <si>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</si>
  <si>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</si>
  <si>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</si>
  <si>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</si>
  <si>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</si>
  <si>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</si>
  <si>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</si>
  <si>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</si>
  <si>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</si>
  <si>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</si>
  <si>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</si>
  <si>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</si>
  <si>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</si>
  <si>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</si>
  <si>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</si>
  <si>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</si>
  <si>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</si>
  <si>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</si>
  <si>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</si>
  <si>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</si>
  <si>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</si>
  <si>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</si>
  <si>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</si>
  <si>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</si>
  <si>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</si>
  <si>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</si>
  <si>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</si>
  <si>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</si>
  <si>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</si>
  <si>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</si>
  <si>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</si>
  <si>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</si>
  <si>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</si>
  <si>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</si>
  <si>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</si>
  <si>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</si>
  <si>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</si>
  <si>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</si>
  <si>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</si>
  <si>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</si>
  <si>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</si>
  <si>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</si>
  <si>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</si>
  <si>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</si>
  <si>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</si>
  <si>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</si>
  <si>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</si>
  <si>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</si>
  <si>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</si>
  <si>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</si>
  <si>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</si>
  <si>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</si>
  <si>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</si>
  <si>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</si>
  <si>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</si>
  <si>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</si>
  <si>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</si>
  <si>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</si>
  <si>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</si>
  <si>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</si>
  <si>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</si>
  <si>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</si>
  <si>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</si>
  <si>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</si>
  <si>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</si>
  <si>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</si>
  <si>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</si>
  <si>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</si>
  <si>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</si>
  <si>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</si>
  <si>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</si>
  <si>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</si>
  <si>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575 Control</t>
  </si>
  <si>
    <t>G08</t>
  </si>
  <si>
    <t>G09</t>
  </si>
  <si>
    <t>NTC</t>
  </si>
  <si>
    <t>G10</t>
  </si>
  <si>
    <t>G11</t>
  </si>
  <si>
    <t>Pos Ctrl</t>
  </si>
  <si>
    <t>DNA (1A)</t>
  </si>
  <si>
    <t>G12</t>
  </si>
  <si>
    <t>EF1_qPCR</t>
  </si>
  <si>
    <t>DNA 8a</t>
  </si>
  <si>
    <t>38b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</si>
  <si>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</si>
  <si>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</si>
  <si>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</si>
  <si>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</si>
  <si>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</si>
  <si>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</si>
  <si>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</si>
  <si>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</si>
  <si>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</si>
  <si>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DNA (7a)</t>
  </si>
  <si>
    <t>H10</t>
  </si>
  <si>
    <t>H11</t>
  </si>
  <si>
    <t>H12</t>
  </si>
  <si>
    <t>572 (control)</t>
  </si>
  <si>
    <t>574 (control)</t>
  </si>
  <si>
    <t xml:space="preserve">Test new primer </t>
  </si>
  <si>
    <t>ng RNA in. 5 uL</t>
  </si>
  <si>
    <t>Date qPCR for DNA contam. (not amplif.)</t>
  </si>
  <si>
    <t>qPCR for DNA contamin with Actin?</t>
  </si>
  <si>
    <t>X</t>
  </si>
  <si>
    <t>Test primer 8/13 &amp; 8/15</t>
  </si>
  <si>
    <t>Actin Re-do</t>
  </si>
  <si>
    <t>Diluted with 50 uL b/f Dnasing, and another 20 uL after</t>
  </si>
  <si>
    <t>Diluted with 20 uL after Dnasing</t>
  </si>
  <si>
    <t>Diluted with 50 uL b/f Dnasing, , and another 20 uL after</t>
  </si>
  <si>
    <t>Diluted with 50 uL b/f DnasingDiluted with 50 uL b/f Dnasing, and another 20 uL after</t>
  </si>
  <si>
    <t>Tissue</t>
  </si>
  <si>
    <t>Ctenidia</t>
  </si>
  <si>
    <t>Larvae</t>
  </si>
  <si>
    <t>10 High</t>
  </si>
  <si>
    <t>6 High</t>
  </si>
  <si>
    <t>Control</t>
  </si>
  <si>
    <t>Treatment (pCO2, Temp)</t>
  </si>
  <si>
    <t>RNA Tube #</t>
  </si>
  <si>
    <t>ng RNA in 0.5 uL</t>
  </si>
  <si>
    <t>Concentrate?</t>
  </si>
  <si>
    <t>Check RNA quality?</t>
  </si>
  <si>
    <t>[RNA] ng/uL after isolation</t>
  </si>
  <si>
    <t>date qPCR for contamin. with actin?</t>
  </si>
  <si>
    <t># Freeze/thaw cycles after RNA isolation</t>
  </si>
  <si>
    <t>Date quantified after Dnase</t>
  </si>
  <si>
    <t xml:space="preserve">Diluted with 50 uL b/f Dnasing, and another 20 uL after. Add 1 more freeze-thaw cycle (accidentally froze b/f needing to dilute &amp; quantify again). </t>
  </si>
  <si>
    <t>Date cDNA synthesis</t>
  </si>
  <si>
    <t xml:space="preserve">Vol for QuantSeq </t>
  </si>
  <si>
    <t>Vol H2O</t>
  </si>
  <si>
    <t>Vol RNA for QuantSeq</t>
  </si>
  <si>
    <t>Pico [RNA]</t>
  </si>
  <si>
    <t>Date purification (pre-pcr)</t>
  </si>
  <si>
    <t>Date cDNA</t>
  </si>
  <si>
    <t>pico [RNA]</t>
  </si>
  <si>
    <t>6 Low High</t>
  </si>
  <si>
    <t>qPCR Assay Mastermis Calcs</t>
  </si>
  <si>
    <t>Item</t>
  </si>
  <si>
    <t>per rxn</t>
  </si>
  <si>
    <t>cDNA, diluted to 19uL</t>
  </si>
  <si>
    <t>per rxn (uL)</t>
  </si>
  <si>
    <t>Enzyme mix (E)</t>
  </si>
  <si>
    <t>2.5x SYBR Green I nucleic acid dye</t>
  </si>
  <si>
    <t>Number of samples</t>
  </si>
  <si>
    <t>all rxns * 1.1</t>
  </si>
  <si>
    <t>all rxns (inc. NTC) (uL)</t>
  </si>
  <si>
    <t>Mastermix total vol</t>
  </si>
  <si>
    <t>SYBR Green Calcs</t>
  </si>
  <si>
    <t>Stock concentration</t>
  </si>
  <si>
    <t>Desired concentratino</t>
  </si>
  <si>
    <t>Total volume needed 2.5x</t>
  </si>
  <si>
    <t>Volume 100x</t>
  </si>
  <si>
    <t>Volume DMSO</t>
  </si>
  <si>
    <t>Final concentration</t>
  </si>
  <si>
    <t>Dilution ratio (should be 1:40)</t>
  </si>
  <si>
    <t>P7 Primer (7000)</t>
  </si>
  <si>
    <t>PCR mix (PCR)</t>
  </si>
  <si>
    <t>Elution Buffer (EB)</t>
  </si>
  <si>
    <t>ng RNA used</t>
  </si>
  <si>
    <t>Vol RNA used for QuantSeq</t>
  </si>
  <si>
    <t>Date qPCR Assay run 1</t>
  </si>
  <si>
    <t>Date qPCR Assay run 2</t>
  </si>
  <si>
    <t>RFU @ endpoint</t>
  </si>
  <si>
    <t>50% max</t>
  </si>
  <si>
    <t>Cycles, round down</t>
  </si>
  <si>
    <t>ng RNA in 5uL (QuantSeq max vol)</t>
  </si>
  <si>
    <t>RNA Sample no.</t>
  </si>
  <si>
    <t>No. Cycles @ 50%</t>
  </si>
  <si>
    <t>No. Cycles @ 50% minus 3 cycles</t>
  </si>
  <si>
    <t>PCR Mastermix Calcs</t>
  </si>
  <si>
    <t>PCR</t>
  </si>
  <si>
    <t>E3</t>
  </si>
  <si>
    <t># rxns</t>
  </si>
  <si>
    <t>Total</t>
  </si>
  <si>
    <t>Total*1.1</t>
  </si>
  <si>
    <t>Larval Sample Number</t>
  </si>
  <si>
    <t>Any left?</t>
  </si>
  <si>
    <t>6-ambient</t>
  </si>
  <si>
    <t>6-low</t>
  </si>
  <si>
    <t>10-ambient</t>
  </si>
  <si>
    <t>10-low</t>
  </si>
  <si>
    <t>total</t>
  </si>
  <si>
    <t># larvals samples left</t>
  </si>
  <si>
    <t>small</t>
  </si>
  <si>
    <t>with small</t>
  </si>
  <si>
    <t>very small amt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</si>
</sst>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(* #,##0_);_(* \(#,##0\);_(* &quot;-&quot;??_);_(@_)"/>
    <numFmt numFmtId="165" formatCode="m/d/yy;@"/>
    <numFmt numFmtId="166" formatCode="0.000%"/>
    <numFmt numFmtId="167" formatCode="_(* #,##0.0000_);_(* \(#,##0.0000\);_(* &quot;-&quot;??_);_(@_)"/>
    <numFmt numFmtId="168" formatCode="_(* #,##0.0_);_(* \(#,##0.0\);_(* &quot;-&quot;??_);_(@_)"/>
    <numFmt numFmtId="169" formatCode="_(* #,##0.0_);_(* \(#,##0.0\);_(* &quot;-&quot;?_);_(@_)"/>
    <numFmt numFmtId="170" formatCode="mm/dd/yy;@"/>
    <numFmt numFmtId="171" formatCode="_(* #,##0.00000_);_(* \(#,##0.00000\);_(* &quot;-&quot;??_);_(@_)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9">
    <xf numFmtId="0" fontId="0" fillId="0" borderId="0" xfId="0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applyNumberFormat="1" applyFont="1" applyBorder="1" applyAlignment="1">
      <alignment horizontal="right" vertical="center"/>
    </xf>
    <xf numFmtId="43" fontId="0" fillId="0" borderId="1" xfId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right" wrapText="1"/>
    </xf>
    <xf numFmtId="165" fontId="4" fillId="0" borderId="3" xfId="0" applyNumberFormat="1" applyFont="1" applyFill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0" fontId="4" fillId="0" borderId="4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/>
    <xf numFmtId="165" fontId="4" fillId="0" borderId="6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7" xfId="0" applyFont="1" applyFill="1" applyBorder="1"/>
    <xf numFmtId="165" fontId="4" fillId="0" borderId="8" xfId="0" applyNumberFormat="1" applyFont="1" applyFill="1" applyBorder="1" applyAlignment="1">
      <alignment horizontal="right"/>
    </xf>
    <xf numFmtId="0" fontId="4" fillId="0" borderId="9" xfId="0" applyFont="1" applyFill="1" applyBorder="1" applyAlignment="1">
      <alignment horizontal="right"/>
    </xf>
    <xf numFmtId="0" fontId="4" fillId="0" borderId="9" xfId="0" applyFont="1" applyFill="1" applyBorder="1"/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/>
    <xf numFmtId="165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11" xfId="0" applyFont="1" applyFill="1" applyBorder="1"/>
    <xf numFmtId="16" fontId="4" fillId="0" borderId="1" xfId="0" applyNumberFormat="1" applyFont="1" applyFill="1" applyBorder="1"/>
    <xf numFmtId="16" fontId="4" fillId="0" borderId="0" xfId="0" applyNumberFormat="1" applyFont="1" applyFill="1" applyBorder="1"/>
    <xf numFmtId="16" fontId="4" fillId="0" borderId="4" xfId="0" applyNumberFormat="1" applyFont="1" applyFill="1" applyBorder="1"/>
    <xf numFmtId="16" fontId="4" fillId="0" borderId="9" xfId="0" applyNumberFormat="1" applyFont="1" applyFill="1" applyBorder="1"/>
    <xf numFmtId="0" fontId="0" fillId="0" borderId="1" xfId="0" applyNumberFormat="1" applyBorder="1" applyAlignment="1">
      <alignment vertical="center"/>
    </xf>
    <xf numFmtId="43" fontId="0" fillId="0" borderId="1" xfId="1" applyNumberFormat="1" applyFont="1" applyBorder="1" applyAlignment="1">
      <alignment vertical="center"/>
    </xf>
    <xf numFmtId="166" fontId="0" fillId="0" borderId="1" xfId="2" applyNumberFormat="1" applyFont="1" applyBorder="1" applyAlignment="1">
      <alignment vertical="center"/>
    </xf>
    <xf numFmtId="43" fontId="4" fillId="0" borderId="1" xfId="1" applyFont="1" applyFill="1" applyBorder="1"/>
    <xf numFmtId="43" fontId="4" fillId="0" borderId="0" xfId="1" applyFont="1" applyFill="1" applyBorder="1"/>
    <xf numFmtId="43" fontId="0" fillId="0" borderId="0" xfId="1" applyFont="1" applyFill="1"/>
    <xf numFmtId="43" fontId="0" fillId="0" borderId="1" xfId="1" applyFont="1" applyFill="1" applyBorder="1"/>
    <xf numFmtId="43" fontId="4" fillId="0" borderId="1" xfId="1" applyNumberFormat="1" applyFont="1" applyFill="1" applyBorder="1"/>
    <xf numFmtId="43" fontId="4" fillId="0" borderId="0" xfId="1" applyNumberFormat="1" applyFont="1" applyFill="1" applyBorder="1"/>
    <xf numFmtId="43" fontId="0" fillId="0" borderId="1" xfId="1" applyNumberFormat="1" applyFont="1" applyFill="1" applyBorder="1"/>
    <xf numFmtId="168" fontId="4" fillId="0" borderId="4" xfId="1" applyNumberFormat="1" applyFont="1" applyFill="1" applyBorder="1"/>
    <xf numFmtId="168" fontId="4" fillId="0" borderId="1" xfId="1" applyNumberFormat="1" applyFont="1" applyFill="1" applyBorder="1"/>
    <xf numFmtId="168" fontId="4" fillId="0" borderId="9" xfId="1" applyNumberFormat="1" applyFont="1" applyFill="1" applyBorder="1"/>
    <xf numFmtId="168" fontId="4" fillId="0" borderId="0" xfId="1" applyNumberFormat="1" applyFont="1" applyFill="1" applyBorder="1"/>
    <xf numFmtId="168" fontId="0" fillId="0" borderId="0" xfId="1" applyNumberFormat="1" applyFont="1" applyFill="1"/>
    <xf numFmtId="168" fontId="0" fillId="0" borderId="4" xfId="1" applyNumberFormat="1" applyFont="1" applyFill="1" applyBorder="1"/>
    <xf numFmtId="168" fontId="0" fillId="0" borderId="13" xfId="1" applyNumberFormat="1" applyFont="1" applyFill="1" applyBorder="1"/>
    <xf numFmtId="168" fontId="0" fillId="0" borderId="1" xfId="1" applyNumberFormat="1" applyFont="1" applyFill="1" applyBorder="1"/>
    <xf numFmtId="168" fontId="0" fillId="0" borderId="9" xfId="1" applyNumberFormat="1" applyFont="1" applyFill="1" applyBorder="1"/>
    <xf numFmtId="164" fontId="4" fillId="0" borderId="1" xfId="1" applyNumberFormat="1" applyFont="1" applyFill="1" applyBorder="1"/>
    <xf numFmtId="164" fontId="4" fillId="0" borderId="0" xfId="1" applyNumberFormat="1" applyFont="1" applyFill="1" applyBorder="1"/>
    <xf numFmtId="164" fontId="0" fillId="0" borderId="0" xfId="1" applyNumberFormat="1" applyFont="1" applyFill="1"/>
    <xf numFmtId="164" fontId="0" fillId="0" borderId="1" xfId="1" applyNumberFormat="1" applyFont="1" applyFill="1" applyBorder="1"/>
    <xf numFmtId="0" fontId="0" fillId="0" borderId="1" xfId="0" applyBorder="1"/>
    <xf numFmtId="0" fontId="5" fillId="0" borderId="1" xfId="0" applyFont="1" applyBorder="1"/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/>
    <xf numFmtId="16" fontId="8" fillId="0" borderId="1" xfId="0" applyNumberFormat="1" applyFont="1" applyFill="1" applyBorder="1"/>
    <xf numFmtId="168" fontId="8" fillId="0" borderId="1" xfId="1" applyNumberFormat="1" applyFont="1" applyFill="1" applyBorder="1"/>
    <xf numFmtId="16" fontId="4" fillId="0" borderId="1" xfId="0" applyNumberFormat="1" applyFont="1" applyBorder="1"/>
    <xf numFmtId="165" fontId="8" fillId="0" borderId="6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43" fontId="4" fillId="0" borderId="12" xfId="1" applyNumberFormat="1" applyFont="1" applyFill="1" applyBorder="1"/>
    <xf numFmtId="43" fontId="3" fillId="0" borderId="2" xfId="1" applyFont="1" applyFill="1" applyBorder="1" applyAlignment="1">
      <alignment horizontal="center" wrapText="1"/>
    </xf>
    <xf numFmtId="43" fontId="4" fillId="0" borderId="15" xfId="1" applyFont="1" applyFill="1" applyBorder="1"/>
    <xf numFmtId="43" fontId="4" fillId="0" borderId="12" xfId="1" applyFont="1" applyFill="1" applyBorder="1"/>
    <xf numFmtId="43" fontId="4" fillId="0" borderId="16" xfId="1" applyFont="1" applyFill="1" applyBorder="1"/>
    <xf numFmtId="43" fontId="8" fillId="0" borderId="12" xfId="1" applyFont="1" applyFill="1" applyBorder="1"/>
    <xf numFmtId="43" fontId="0" fillId="0" borderId="15" xfId="1" applyFont="1" applyFill="1" applyBorder="1"/>
    <xf numFmtId="43" fontId="0" fillId="0" borderId="17" xfId="1" applyFont="1" applyFill="1" applyBorder="1"/>
    <xf numFmtId="43" fontId="0" fillId="0" borderId="16" xfId="1" applyFont="1" applyFill="1" applyBorder="1"/>
    <xf numFmtId="168" fontId="3" fillId="0" borderId="2" xfId="1" applyNumberFormat="1" applyFont="1" applyFill="1" applyBorder="1" applyAlignment="1">
      <alignment horizontal="center" wrapText="1"/>
    </xf>
    <xf numFmtId="168" fontId="4" fillId="0" borderId="15" xfId="1" applyNumberFormat="1" applyFont="1" applyFill="1" applyBorder="1"/>
    <xf numFmtId="168" fontId="4" fillId="0" borderId="12" xfId="1" applyNumberFormat="1" applyFont="1" applyFill="1" applyBorder="1"/>
    <xf numFmtId="168" fontId="4" fillId="0" borderId="16" xfId="1" applyNumberFormat="1" applyFont="1" applyFill="1" applyBorder="1"/>
    <xf numFmtId="168" fontId="8" fillId="0" borderId="12" xfId="1" applyNumberFormat="1" applyFont="1" applyFill="1" applyBorder="1"/>
    <xf numFmtId="168" fontId="0" fillId="0" borderId="15" xfId="1" applyNumberFormat="1" applyFont="1" applyFill="1" applyBorder="1"/>
    <xf numFmtId="168" fontId="0" fillId="0" borderId="17" xfId="1" applyNumberFormat="1" applyFont="1" applyFill="1" applyBorder="1"/>
    <xf numFmtId="168" fontId="0" fillId="0" borderId="16" xfId="1" applyNumberFormat="1" applyFont="1" applyFill="1" applyBorder="1"/>
    <xf numFmtId="164" fontId="3" fillId="0" borderId="2" xfId="1" applyNumberFormat="1" applyFont="1" applyFill="1" applyBorder="1" applyAlignment="1">
      <alignment horizontal="center" wrapText="1"/>
    </xf>
    <xf numFmtId="164" fontId="4" fillId="0" borderId="15" xfId="1" applyNumberFormat="1" applyFont="1" applyFill="1" applyBorder="1"/>
    <xf numFmtId="164" fontId="4" fillId="0" borderId="12" xfId="1" applyNumberFormat="1" applyFont="1" applyFill="1" applyBorder="1"/>
    <xf numFmtId="164" fontId="4" fillId="0" borderId="16" xfId="1" applyNumberFormat="1" applyFont="1" applyFill="1" applyBorder="1"/>
    <xf numFmtId="164" fontId="8" fillId="0" borderId="12" xfId="1" applyNumberFormat="1" applyFont="1" applyFill="1" applyBorder="1"/>
    <xf numFmtId="164" fontId="0" fillId="0" borderId="15" xfId="1" applyNumberFormat="1" applyFont="1" applyFill="1" applyBorder="1"/>
    <xf numFmtId="164" fontId="0" fillId="0" borderId="17" xfId="1" applyNumberFormat="1" applyFont="1" applyFill="1" applyBorder="1"/>
    <xf numFmtId="164" fontId="0" fillId="0" borderId="16" xfId="1" applyNumberFormat="1" applyFont="1" applyFill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vertical="center"/>
    </xf>
    <xf numFmtId="164" fontId="6" fillId="0" borderId="1" xfId="1" applyNumberFormat="1" applyFont="1" applyBorder="1" applyAlignment="1">
      <alignment vertical="center"/>
    </xf>
    <xf numFmtId="43" fontId="6" fillId="0" borderId="1" xfId="1" applyNumberFormat="1" applyFont="1" applyBorder="1" applyAlignment="1">
      <alignment vertical="center"/>
    </xf>
    <xf numFmtId="166" fontId="6" fillId="0" borderId="1" xfId="2" applyNumberFormat="1" applyFont="1" applyBorder="1" applyAlignment="1">
      <alignment vertical="center"/>
    </xf>
    <xf numFmtId="43" fontId="6" fillId="0" borderId="1" xfId="1" applyFont="1" applyBorder="1" applyAlignment="1">
      <alignment vertical="center"/>
    </xf>
    <xf numFmtId="165" fontId="4" fillId="0" borderId="18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168" fontId="4" fillId="0" borderId="2" xfId="1" applyNumberFormat="1" applyFont="1" applyFill="1" applyBorder="1"/>
    <xf numFmtId="164" fontId="4" fillId="0" borderId="2" xfId="1" applyNumberFormat="1" applyFont="1" applyFill="1" applyBorder="1"/>
    <xf numFmtId="164" fontId="4" fillId="0" borderId="19" xfId="1" applyNumberFormat="1" applyFont="1" applyFill="1" applyBorder="1"/>
    <xf numFmtId="0" fontId="4" fillId="0" borderId="20" xfId="0" applyFont="1" applyFill="1" applyBorder="1"/>
    <xf numFmtId="0" fontId="0" fillId="0" borderId="0" xfId="0" applyFill="1" applyBorder="1"/>
    <xf numFmtId="165" fontId="4" fillId="0" borderId="1" xfId="0" applyNumberFormat="1" applyFont="1" applyFill="1" applyBorder="1" applyAlignment="1">
      <alignment horizontal="right"/>
    </xf>
    <xf numFmtId="0" fontId="0" fillId="0" borderId="12" xfId="0" applyFont="1" applyFill="1" applyBorder="1"/>
    <xf numFmtId="0" fontId="0" fillId="0" borderId="0" xfId="0" applyFont="1" applyFill="1"/>
    <xf numFmtId="0" fontId="4" fillId="0" borderId="1" xfId="0" applyFont="1" applyBorder="1"/>
    <xf numFmtId="0" fontId="0" fillId="0" borderId="19" xfId="0" applyFont="1" applyFill="1" applyBorder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0" fillId="0" borderId="3" xfId="0" applyFont="1" applyFill="1" applyBorder="1" applyAlignment="1">
      <alignment horizontal="right"/>
    </xf>
    <xf numFmtId="0" fontId="0" fillId="0" borderId="4" xfId="0" applyFont="1" applyFill="1" applyBorder="1"/>
    <xf numFmtId="0" fontId="0" fillId="0" borderId="4" xfId="0" applyFont="1" applyFill="1" applyBorder="1" applyAlignment="1">
      <alignment horizontal="center"/>
    </xf>
    <xf numFmtId="16" fontId="0" fillId="0" borderId="4" xfId="0" applyNumberFormat="1" applyFont="1" applyFill="1" applyBorder="1"/>
    <xf numFmtId="0" fontId="0" fillId="0" borderId="5" xfId="0" applyFont="1" applyFill="1" applyBorder="1"/>
    <xf numFmtId="0" fontId="0" fillId="0" borderId="6" xfId="0" applyFont="1" applyFill="1" applyBorder="1" applyAlignment="1">
      <alignment horizontal="righ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16" fontId="0" fillId="0" borderId="13" xfId="0" applyNumberFormat="1" applyFont="1" applyFill="1" applyBorder="1"/>
    <xf numFmtId="0" fontId="0" fillId="0" borderId="14" xfId="0" applyFont="1" applyFill="1" applyBorder="1"/>
    <xf numFmtId="0" fontId="0" fillId="0" borderId="8" xfId="0" applyFont="1" applyFill="1" applyBorder="1" applyAlignment="1">
      <alignment horizontal="right"/>
    </xf>
    <xf numFmtId="0" fontId="0" fillId="0" borderId="9" xfId="0" applyFont="1" applyFill="1" applyBorder="1"/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/>
    <xf numFmtId="0" fontId="6" fillId="0" borderId="12" xfId="0" applyFont="1" applyFill="1" applyBorder="1"/>
    <xf numFmtId="0" fontId="8" fillId="0" borderId="7" xfId="0" applyFont="1" applyFill="1" applyBorder="1"/>
    <xf numFmtId="0" fontId="6" fillId="0" borderId="0" xfId="0" applyFont="1" applyFill="1"/>
    <xf numFmtId="170" fontId="3" fillId="0" borderId="2" xfId="0" applyNumberFormat="1" applyFont="1" applyFill="1" applyBorder="1" applyAlignment="1">
      <alignment horizontal="center" wrapText="1"/>
    </xf>
    <xf numFmtId="170" fontId="4" fillId="0" borderId="1" xfId="0" applyNumberFormat="1" applyFont="1" applyFill="1" applyBorder="1"/>
    <xf numFmtId="170" fontId="4" fillId="0" borderId="9" xfId="0" applyNumberFormat="1" applyFont="1" applyFill="1" applyBorder="1"/>
    <xf numFmtId="170" fontId="4" fillId="0" borderId="0" xfId="0" applyNumberFormat="1" applyFont="1" applyFill="1" applyBorder="1"/>
    <xf numFmtId="170" fontId="4" fillId="0" borderId="4" xfId="0" applyNumberFormat="1" applyFont="1" applyFill="1" applyBorder="1"/>
    <xf numFmtId="170" fontId="8" fillId="0" borderId="1" xfId="0" applyNumberFormat="1" applyFont="1" applyFill="1" applyBorder="1"/>
    <xf numFmtId="170" fontId="4" fillId="0" borderId="2" xfId="0" applyNumberFormat="1" applyFont="1" applyFill="1" applyBorder="1"/>
    <xf numFmtId="170" fontId="0" fillId="0" borderId="0" xfId="0" applyNumberFormat="1" applyFont="1" applyFill="1"/>
    <xf numFmtId="170" fontId="0" fillId="0" borderId="4" xfId="0" applyNumberFormat="1" applyFont="1" applyFill="1" applyBorder="1"/>
    <xf numFmtId="170" fontId="0" fillId="0" borderId="13" xfId="0" applyNumberFormat="1" applyFont="1" applyFill="1" applyBorder="1"/>
    <xf numFmtId="170" fontId="0" fillId="0" borderId="9" xfId="0" applyNumberFormat="1" applyFont="1" applyFill="1" applyBorder="1"/>
    <xf numFmtId="164" fontId="3" fillId="0" borderId="2" xfId="1" applyNumberFormat="1" applyFont="1" applyFill="1" applyBorder="1" applyAlignment="1">
      <alignment horizontal="right" wrapText="1"/>
    </xf>
    <xf numFmtId="164" fontId="4" fillId="0" borderId="0" xfId="1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43" fontId="4" fillId="0" borderId="19" xfId="1" applyFont="1" applyFill="1" applyBorder="1"/>
    <xf numFmtId="14" fontId="4" fillId="0" borderId="15" xfId="1" applyNumberFormat="1" applyFont="1" applyFill="1" applyBorder="1"/>
    <xf numFmtId="14" fontId="4" fillId="0" borderId="12" xfId="1" applyNumberFormat="1" applyFont="1" applyFill="1" applyBorder="1"/>
    <xf numFmtId="168" fontId="4" fillId="0" borderId="19" xfId="1" applyNumberFormat="1" applyFont="1" applyFill="1" applyBorder="1"/>
    <xf numFmtId="14" fontId="0" fillId="0" borderId="15" xfId="1" applyNumberFormat="1" applyFont="1" applyFill="1" applyBorder="1"/>
    <xf numFmtId="0" fontId="0" fillId="0" borderId="0" xfId="0" applyAlignment="1">
      <alignment horizontal="right"/>
    </xf>
    <xf numFmtId="43" fontId="0" fillId="0" borderId="0" xfId="0" applyNumberFormat="1"/>
    <xf numFmtId="0" fontId="7" fillId="0" borderId="1" xfId="0" applyFont="1" applyBorder="1" applyAlignment="1">
      <alignment horizontal="right"/>
    </xf>
    <xf numFmtId="0" fontId="10" fillId="0" borderId="1" xfId="0" applyFont="1" applyBorder="1"/>
    <xf numFmtId="14" fontId="0" fillId="0" borderId="1" xfId="0" applyNumberFormat="1" applyBorder="1"/>
    <xf numFmtId="164" fontId="0" fillId="0" borderId="1" xfId="1" applyNumberFormat="1" applyFont="1" applyBorder="1"/>
    <xf numFmtId="168" fontId="0" fillId="0" borderId="1" xfId="1" applyNumberFormat="1" applyFont="1" applyBorder="1"/>
    <xf numFmtId="168" fontId="0" fillId="0" borderId="1" xfId="0" applyNumberFormat="1" applyBorder="1"/>
    <xf numFmtId="0" fontId="0" fillId="0" borderId="0" xfId="0" applyBorder="1"/>
    <xf numFmtId="0" fontId="7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8" fontId="0" fillId="0" borderId="0" xfId="1" applyNumberFormat="1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4" fontId="4" fillId="0" borderId="0" xfId="1" applyNumberFormat="1" applyFont="1" applyFill="1" applyBorder="1"/>
    <xf numFmtId="164" fontId="4" fillId="0" borderId="17" xfId="1" applyNumberFormat="1" applyFont="1" applyFill="1" applyBorder="1"/>
    <xf numFmtId="14" fontId="4" fillId="0" borderId="17" xfId="1" applyNumberFormat="1" applyFont="1" applyFill="1" applyBorder="1"/>
    <xf numFmtId="168" fontId="4" fillId="0" borderId="17" xfId="1" applyNumberFormat="1" applyFont="1" applyFill="1" applyBorder="1"/>
    <xf numFmtId="14" fontId="4" fillId="0" borderId="1" xfId="1" applyNumberFormat="1" applyFont="1" applyFill="1" applyBorder="1"/>
    <xf numFmtId="0" fontId="0" fillId="0" borderId="1" xfId="0" applyFont="1" applyFill="1" applyBorder="1" applyAlignment="1">
      <alignment horizontal="right"/>
    </xf>
    <xf numFmtId="170" fontId="0" fillId="0" borderId="1" xfId="0" applyNumberFormat="1" applyFont="1" applyFill="1" applyBorder="1"/>
    <xf numFmtId="16" fontId="0" fillId="0" borderId="1" xfId="0" applyNumberFormat="1" applyFont="1" applyFill="1" applyBorder="1"/>
    <xf numFmtId="164" fontId="0" fillId="0" borderId="1" xfId="1" applyNumberFormat="1" applyFont="1" applyFill="1" applyBorder="1" applyAlignment="1">
      <alignment horizontal="right"/>
    </xf>
    <xf numFmtId="14" fontId="0" fillId="0" borderId="1" xfId="1" applyNumberFormat="1" applyFont="1" applyFill="1" applyBorder="1"/>
    <xf numFmtId="168" fontId="0" fillId="0" borderId="1" xfId="1" applyNumberFormat="1" applyFont="1" applyFill="1" applyBorder="1" applyAlignment="1">
      <alignment horizontal="right"/>
    </xf>
    <xf numFmtId="14" fontId="0" fillId="0" borderId="12" xfId="1" applyNumberFormat="1" applyFont="1" applyBorder="1" applyAlignment="1">
      <alignment vertical="center"/>
    </xf>
    <xf numFmtId="0" fontId="0" fillId="2" borderId="1" xfId="0" applyFill="1" applyBorder="1" applyAlignment="1">
      <alignment vertical="center"/>
    </xf>
    <xf numFmtId="14" fontId="4" fillId="0" borderId="16" xfId="1" applyNumberFormat="1" applyFont="1" applyFill="1" applyBorder="1"/>
    <xf numFmtId="14" fontId="0" fillId="0" borderId="16" xfId="1" applyNumberFormat="1" applyFont="1" applyFill="1" applyBorder="1"/>
    <xf numFmtId="43" fontId="0" fillId="0" borderId="1" xfId="1" applyNumberFormat="1" applyFont="1" applyBorder="1"/>
    <xf numFmtId="0" fontId="7" fillId="0" borderId="11" xfId="0" applyFont="1" applyFill="1" applyBorder="1" applyAlignment="1">
      <alignment horizontal="right"/>
    </xf>
    <xf numFmtId="0" fontId="12" fillId="0" borderId="11" xfId="0" applyFont="1" applyFill="1" applyBorder="1" applyAlignment="1">
      <alignment horizontal="right"/>
    </xf>
    <xf numFmtId="14" fontId="10" fillId="0" borderId="1" xfId="0" applyNumberFormat="1" applyFont="1" applyBorder="1"/>
    <xf numFmtId="168" fontId="0" fillId="0" borderId="21" xfId="0" applyNumberFormat="1" applyFill="1" applyBorder="1"/>
    <xf numFmtId="0" fontId="7" fillId="0" borderId="0" xfId="0" applyFont="1" applyFill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169" fontId="10" fillId="0" borderId="0" xfId="0" applyNumberFormat="1" applyFon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right"/>
    </xf>
    <xf numFmtId="168" fontId="0" fillId="0" borderId="1" xfId="0" applyNumberFormat="1" applyFill="1" applyBorder="1"/>
    <xf numFmtId="0" fontId="12" fillId="0" borderId="1" xfId="0" applyFont="1" applyFill="1" applyBorder="1" applyAlignment="1">
      <alignment horizontal="right"/>
    </xf>
    <xf numFmtId="169" fontId="10" fillId="0" borderId="1" xfId="0" applyNumberFormat="1" applyFont="1" applyBorder="1"/>
    <xf numFmtId="0" fontId="0" fillId="0" borderId="11" xfId="0" applyFill="1" applyBorder="1"/>
    <xf numFmtId="43" fontId="0" fillId="0" borderId="0" xfId="0" applyNumberFormat="1" applyBorder="1"/>
    <xf numFmtId="0" fontId="0" fillId="2" borderId="12" xfId="0" applyFont="1" applyFill="1" applyBorder="1"/>
    <xf numFmtId="165" fontId="4" fillId="2" borderId="6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170" fontId="4" fillId="2" borderId="1" xfId="0" applyNumberFormat="1" applyFont="1" applyFill="1" applyBorder="1"/>
    <xf numFmtId="164" fontId="4" fillId="2" borderId="12" xfId="1" applyNumberFormat="1" applyFont="1" applyFill="1" applyBorder="1"/>
    <xf numFmtId="43" fontId="4" fillId="2" borderId="12" xfId="1" applyFont="1" applyFill="1" applyBorder="1"/>
    <xf numFmtId="168" fontId="4" fillId="2" borderId="12" xfId="1" applyNumberFormat="1" applyFont="1" applyFill="1" applyBorder="1"/>
    <xf numFmtId="0" fontId="4" fillId="2" borderId="7" xfId="0" applyFont="1" applyFill="1" applyBorder="1"/>
    <xf numFmtId="0" fontId="0" fillId="2" borderId="0" xfId="0" applyFont="1" applyFill="1"/>
    <xf numFmtId="14" fontId="4" fillId="2" borderId="12" xfId="1" applyNumberFormat="1" applyFont="1" applyFill="1" applyBorder="1"/>
    <xf numFmtId="164" fontId="4" fillId="2" borderId="1" xfId="1" applyNumberFormat="1" applyFont="1" applyFill="1" applyBorder="1"/>
    <xf numFmtId="16" fontId="4" fillId="2" borderId="1" xfId="0" applyNumberFormat="1" applyFont="1" applyFill="1" applyBorder="1"/>
    <xf numFmtId="14" fontId="0" fillId="0" borderId="12" xfId="1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vertical="center"/>
    </xf>
    <xf numFmtId="14" fontId="0" fillId="0" borderId="0" xfId="1" applyNumberFormat="1" applyFont="1" applyBorder="1" applyAlignment="1">
      <alignment vertical="center"/>
    </xf>
    <xf numFmtId="168" fontId="0" fillId="0" borderId="0" xfId="1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43" fontId="0" fillId="0" borderId="0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166" fontId="0" fillId="0" borderId="0" xfId="0" applyNumberForma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164" fontId="9" fillId="0" borderId="1" xfId="0" applyNumberFormat="1" applyFont="1" applyBorder="1" applyAlignment="1">
      <alignment horizontal="center" wrapText="1"/>
    </xf>
    <xf numFmtId="43" fontId="9" fillId="0" borderId="1" xfId="0" applyNumberFormat="1" applyFont="1" applyBorder="1" applyAlignment="1">
      <alignment horizontal="center" wrapText="1"/>
    </xf>
    <xf numFmtId="168" fontId="9" fillId="0" borderId="1" xfId="1" applyNumberFormat="1" applyFont="1" applyBorder="1" applyAlignment="1">
      <alignment horizontal="center" wrapText="1"/>
    </xf>
    <xf numFmtId="14" fontId="0" fillId="0" borderId="1" xfId="1" applyNumberFormat="1" applyFont="1" applyBorder="1" applyAlignment="1">
      <alignment vertical="center"/>
    </xf>
    <xf numFmtId="168" fontId="0" fillId="0" borderId="1" xfId="1" applyNumberFormat="1" applyFont="1" applyBorder="1" applyAlignment="1">
      <alignment vertical="center"/>
    </xf>
    <xf numFmtId="168" fontId="6" fillId="0" borderId="1" xfId="1" applyNumberFormat="1" applyFont="1" applyBorder="1" applyAlignment="1">
      <alignment vertical="center"/>
    </xf>
    <xf numFmtId="14" fontId="11" fillId="0" borderId="1" xfId="0" applyNumberFormat="1" applyFont="1" applyBorder="1" applyAlignment="1">
      <alignment vertical="center"/>
    </xf>
    <xf numFmtId="168" fontId="11" fillId="0" borderId="1" xfId="1" applyNumberFormat="1" applyFont="1" applyBorder="1" applyAlignment="1">
      <alignment vertical="center"/>
    </xf>
    <xf numFmtId="168" fontId="4" fillId="2" borderId="1" xfId="1" applyNumberFormat="1" applyFont="1" applyFill="1" applyBorder="1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7" fillId="0" borderId="1" xfId="0" applyFont="1" applyBorder="1"/>
    <xf numFmtId="14" fontId="3" fillId="0" borderId="2" xfId="1" applyNumberFormat="1" applyFont="1" applyFill="1" applyBorder="1" applyAlignment="1">
      <alignment horizontal="center" wrapText="1"/>
    </xf>
    <xf numFmtId="14" fontId="4" fillId="0" borderId="19" xfId="1" applyNumberFormat="1" applyFont="1" applyFill="1" applyBorder="1"/>
    <xf numFmtId="14" fontId="0" fillId="0" borderId="0" xfId="1" applyNumberFormat="1" applyFont="1" applyFill="1"/>
    <xf numFmtId="14" fontId="0" fillId="0" borderId="17" xfId="1" applyNumberFormat="1" applyFont="1" applyFill="1" applyBorder="1"/>
    <xf numFmtId="14" fontId="5" fillId="0" borderId="12" xfId="0" applyNumberFormat="1" applyFont="1" applyBorder="1"/>
    <xf numFmtId="164" fontId="4" fillId="0" borderId="15" xfId="1" applyNumberFormat="1" applyFont="1" applyFill="1" applyBorder="1" applyAlignment="1">
      <alignment horizontal="center"/>
    </xf>
    <xf numFmtId="164" fontId="4" fillId="0" borderId="12" xfId="1" applyNumberFormat="1" applyFont="1" applyFill="1" applyBorder="1" applyAlignment="1">
      <alignment horizontal="center"/>
    </xf>
    <xf numFmtId="164" fontId="4" fillId="0" borderId="19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4" fillId="0" borderId="17" xfId="1" applyNumberFormat="1" applyFont="1" applyFill="1" applyBorder="1" applyAlignment="1">
      <alignment horizontal="center"/>
    </xf>
    <xf numFmtId="164" fontId="4" fillId="2" borderId="12" xfId="1" applyNumberFormat="1" applyFont="1" applyFill="1" applyBorder="1" applyAlignment="1">
      <alignment horizontal="center"/>
    </xf>
    <xf numFmtId="164" fontId="5" fillId="0" borderId="12" xfId="1" applyNumberFormat="1" applyFont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15" xfId="1" applyNumberFormat="1" applyFont="1" applyFill="1" applyBorder="1" applyAlignment="1">
      <alignment horizontal="center"/>
    </xf>
    <xf numFmtId="164" fontId="0" fillId="0" borderId="17" xfId="1" applyNumberFormat="1" applyFont="1" applyFill="1" applyBorder="1" applyAlignment="1">
      <alignment horizontal="center"/>
    </xf>
    <xf numFmtId="164" fontId="0" fillId="0" borderId="16" xfId="1" applyNumberFormat="1" applyFont="1" applyFill="1" applyBorder="1" applyAlignment="1">
      <alignment horizontal="center"/>
    </xf>
    <xf numFmtId="14" fontId="9" fillId="0" borderId="1" xfId="1" applyNumberFormat="1" applyFont="1" applyBorder="1" applyAlignment="1">
      <alignment horizontal="center" wrapText="1"/>
    </xf>
    <xf numFmtId="14" fontId="6" fillId="0" borderId="1" xfId="1" applyNumberFormat="1" applyFont="1" applyBorder="1" applyAlignment="1">
      <alignment vertical="center"/>
    </xf>
    <xf numFmtId="43" fontId="4" fillId="0" borderId="17" xfId="1" applyNumberFormat="1" applyFont="1" applyFill="1" applyBorder="1"/>
    <xf numFmtId="43" fontId="5" fillId="0" borderId="12" xfId="0" applyNumberFormat="1" applyFont="1" applyBorder="1"/>
    <xf numFmtId="43" fontId="5" fillId="0" borderId="1" xfId="0" applyNumberFormat="1" applyFont="1" applyBorder="1"/>
    <xf numFmtId="14" fontId="5" fillId="0" borderId="1" xfId="0" applyNumberFormat="1" applyFont="1" applyBorder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168" fontId="0" fillId="0" borderId="0" xfId="1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168" fontId="10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68" fontId="0" fillId="0" borderId="0" xfId="0" applyNumberFormat="1" applyBorder="1" applyAlignment="1">
      <alignment horizontal="right" vertical="center"/>
    </xf>
    <xf numFmtId="171" fontId="0" fillId="0" borderId="0" xfId="1" applyNumberFormat="1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167" fontId="7" fillId="0" borderId="0" xfId="0" applyNumberFormat="1" applyFont="1" applyBorder="1" applyAlignment="1">
      <alignment horizontal="right" vertical="center"/>
    </xf>
    <xf numFmtId="43" fontId="7" fillId="0" borderId="0" xfId="0" applyNumberFormat="1" applyFont="1" applyBorder="1" applyAlignment="1">
      <alignment horizontal="right" vertical="center"/>
    </xf>
    <xf numFmtId="164" fontId="0" fillId="0" borderId="0" xfId="1" applyNumberFormat="1" applyFont="1" applyBorder="1" applyAlignment="1">
      <alignment horizontal="center" vertical="center"/>
    </xf>
    <xf numFmtId="1" fontId="10" fillId="0" borderId="0" xfId="1" applyNumberFormat="1" applyFont="1" applyBorder="1" applyAlignment="1">
      <alignment vertical="center"/>
    </xf>
    <xf numFmtId="168" fontId="10" fillId="0" borderId="0" xfId="1" applyNumberFormat="1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168" fontId="13" fillId="0" borderId="1" xfId="1" applyNumberFormat="1" applyFont="1" applyBorder="1" applyAlignment="1">
      <alignment horizontal="center" wrapText="1"/>
    </xf>
    <xf numFmtId="14" fontId="13" fillId="0" borderId="1" xfId="1" applyNumberFormat="1" applyFont="1" applyBorder="1" applyAlignment="1">
      <alignment horizontal="center" wrapText="1"/>
    </xf>
    <xf numFmtId="168" fontId="14" fillId="0" borderId="1" xfId="1" applyNumberFormat="1" applyFont="1" applyFill="1" applyBorder="1" applyAlignment="1">
      <alignment horizontal="center" wrapText="1"/>
    </xf>
    <xf numFmtId="168" fontId="13" fillId="0" borderId="1" xfId="1" applyNumberFormat="1" applyFont="1" applyFill="1" applyBorder="1" applyAlignment="1">
      <alignment horizontal="center" wrapText="1"/>
    </xf>
    <xf numFmtId="1" fontId="0" fillId="0" borderId="0" xfId="0" applyNumberFormat="1" applyFont="1" applyBorder="1" applyAlignment="1">
      <alignment horizontal="center" vertical="center"/>
    </xf>
    <xf numFmtId="168" fontId="1" fillId="0" borderId="0" xfId="1" applyNumberFormat="1" applyFont="1" applyBorder="1" applyAlignment="1">
      <alignment vertical="center"/>
    </xf>
    <xf numFmtId="0" fontId="1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7" fillId="0" borderId="1" xfId="0" applyFont="1" applyFill="1" applyBorder="1"/>
    <xf numFmtId="0" fontId="12" fillId="0" borderId="1" xfId="0" applyFont="1" applyBorder="1" applyAlignment="1">
      <alignment wrapText="1"/>
    </xf>
    <xf numFmtId="0" fontId="10" fillId="0" borderId="1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FFAF-52E1-6A48-845A-64AB8B4A7282}">
  <sheetPr>
    <pageSetUpPr fitToPage="1"/>
  </sheetPr>
  <dimension ref="A1:AH62"/>
  <sheetViews>
    <sheetView topLeftCell="A21" workbookViewId="0">
      <selection activeCell="F52" sqref="F52"/>
    </sheetView>
  </sheetViews>
  <sheetFormatPr baseColWidth="10" defaultRowHeight="16" x14ac:dyDescent="0.2"/>
  <cols>
    <col min="1" max="1" width="14" style="9" customWidth="1"/>
    <col min="2" max="2" width="9.5" style="9" customWidth="1"/>
    <col min="3" max="3" width="15.6640625" style="226" customWidth="1"/>
    <col min="4" max="5" width="10.83203125" style="9" customWidth="1"/>
    <col min="6" max="6" width="15.6640625" style="9" customWidth="1"/>
    <col min="7" max="7" width="11" style="9" customWidth="1"/>
    <col min="8" max="8" width="15.5" style="9" customWidth="1"/>
    <col min="9" max="9" width="18.6640625" style="9" customWidth="1"/>
    <col min="10" max="10" width="18" style="9" hidden="1" customWidth="1"/>
    <col min="11" max="11" width="11.83203125" style="9" customWidth="1"/>
    <col min="12" max="12" width="14.83203125" style="9" customWidth="1"/>
    <col min="13" max="13" width="17.5" style="9" hidden="1" customWidth="1"/>
    <col min="14" max="14" width="17.33203125" style="9" hidden="1" customWidth="1"/>
    <col min="15" max="17" width="10.83203125" style="9" hidden="1" customWidth="1"/>
    <col min="18" max="19" width="12.5" style="9" hidden="1" customWidth="1"/>
    <col min="20" max="20" width="12.5" style="232" hidden="1" customWidth="1"/>
    <col min="21" max="21" width="17.33203125" style="9" hidden="1" customWidth="1"/>
    <col min="22" max="22" width="17.33203125" style="232" hidden="1" customWidth="1"/>
    <col min="23" max="24" width="12.5" style="9" customWidth="1"/>
    <col min="25" max="29" width="12.5" style="229" customWidth="1"/>
    <col min="30" max="30" width="12.5" style="228" customWidth="1"/>
    <col min="31" max="31" width="12.5" style="229" customWidth="1"/>
    <col min="32" max="33" width="12.5" style="228" customWidth="1"/>
    <col min="34" max="34" width="121.33203125" style="9" customWidth="1"/>
    <col min="35" max="16384" width="10.83203125" style="9"/>
  </cols>
  <sheetData>
    <row r="1" spans="1:34" s="225" customFormat="1" ht="73" x14ac:dyDescent="0.25">
      <c r="A1" s="234" t="s">
        <v>18</v>
      </c>
      <c r="B1" s="234" t="s">
        <v>19</v>
      </c>
      <c r="C1" s="234" t="s">
        <v>0</v>
      </c>
      <c r="D1" s="234" t="s">
        <v>12</v>
      </c>
      <c r="E1" s="234" t="s">
        <v>13</v>
      </c>
      <c r="F1" s="234" t="s">
        <v>8</v>
      </c>
      <c r="G1" s="234" t="s">
        <v>9</v>
      </c>
      <c r="H1" s="234" t="s">
        <v>10</v>
      </c>
      <c r="I1" s="234" t="s">
        <v>14</v>
      </c>
      <c r="J1" s="234" t="s">
        <v>78</v>
      </c>
      <c r="K1" s="234" t="s">
        <v>15</v>
      </c>
      <c r="L1" s="234" t="s">
        <v>79</v>
      </c>
      <c r="M1" s="234" t="s">
        <v>80</v>
      </c>
      <c r="N1" s="234" t="s">
        <v>17</v>
      </c>
      <c r="O1" s="234" t="s">
        <v>88</v>
      </c>
      <c r="P1" s="234" t="s">
        <v>239</v>
      </c>
      <c r="Q1" s="234" t="s">
        <v>240</v>
      </c>
      <c r="R1" s="234" t="s">
        <v>83</v>
      </c>
      <c r="S1" s="234" t="s">
        <v>251</v>
      </c>
      <c r="T1" s="235" t="s">
        <v>279</v>
      </c>
      <c r="U1" s="236" t="s">
        <v>280</v>
      </c>
      <c r="V1" s="235" t="s">
        <v>294</v>
      </c>
      <c r="W1" s="236" t="s">
        <v>281</v>
      </c>
      <c r="X1" s="236" t="s">
        <v>316</v>
      </c>
      <c r="Y1" s="237" t="s">
        <v>315</v>
      </c>
      <c r="Z1" s="237" t="s">
        <v>469</v>
      </c>
      <c r="AA1" s="237" t="s">
        <v>436</v>
      </c>
      <c r="AB1" s="237" t="s">
        <v>465</v>
      </c>
      <c r="AC1" s="237" t="s">
        <v>464</v>
      </c>
      <c r="AD1" s="268" t="s">
        <v>438</v>
      </c>
      <c r="AE1" s="237" t="s">
        <v>460</v>
      </c>
      <c r="AF1" s="268" t="s">
        <v>468</v>
      </c>
      <c r="AG1" s="268" t="s">
        <v>467</v>
      </c>
      <c r="AH1" s="234" t="s">
        <v>16</v>
      </c>
    </row>
    <row r="2" spans="1:34" x14ac:dyDescent="0.2">
      <c r="A2" s="1" t="s">
        <v>37</v>
      </c>
      <c r="B2" s="1" t="s">
        <v>85</v>
      </c>
      <c r="C2" s="8">
        <v>291</v>
      </c>
      <c r="D2" s="1" t="s">
        <v>1</v>
      </c>
      <c r="E2" s="1" t="s">
        <v>7</v>
      </c>
      <c r="F2" s="1" t="s">
        <v>20</v>
      </c>
      <c r="G2" s="1" t="s">
        <v>11</v>
      </c>
      <c r="H2" s="38">
        <v>80</v>
      </c>
      <c r="I2" s="3">
        <v>43656</v>
      </c>
      <c r="J2" s="4">
        <v>1</v>
      </c>
      <c r="K2" s="3">
        <v>43658</v>
      </c>
      <c r="L2" s="4">
        <v>1</v>
      </c>
      <c r="M2" s="1">
        <f>50-5+100-1+50-50</f>
        <v>144</v>
      </c>
      <c r="N2" s="1">
        <v>200</v>
      </c>
      <c r="O2" s="5">
        <f>N2*M2</f>
        <v>28800</v>
      </c>
      <c r="P2" s="39">
        <f>O2/1000</f>
        <v>28.8</v>
      </c>
      <c r="Q2" s="40">
        <f>(P2/1000)/H2</f>
        <v>3.5999999999999997E-4</v>
      </c>
      <c r="R2" s="7">
        <f>500/N2</f>
        <v>2.5</v>
      </c>
      <c r="S2" s="7">
        <f>5*N2</f>
        <v>1000</v>
      </c>
      <c r="T2" s="5">
        <v>50</v>
      </c>
      <c r="U2" s="7">
        <f>T2*N2/1000</f>
        <v>10</v>
      </c>
      <c r="V2" s="5">
        <v>4</v>
      </c>
      <c r="W2" s="238">
        <v>43682</v>
      </c>
      <c r="X2" s="238">
        <v>43683</v>
      </c>
      <c r="Y2" s="239">
        <v>158</v>
      </c>
      <c r="Z2" s="239"/>
      <c r="AA2" s="239">
        <f>Y2*5</f>
        <v>790</v>
      </c>
      <c r="AB2" s="239"/>
      <c r="AC2" s="239"/>
      <c r="AD2" s="238">
        <v>43692</v>
      </c>
      <c r="AE2" s="238">
        <v>43692</v>
      </c>
      <c r="AF2" s="238"/>
      <c r="AG2" s="238"/>
      <c r="AH2" s="1" t="s">
        <v>298</v>
      </c>
    </row>
    <row r="3" spans="1:34" x14ac:dyDescent="0.2">
      <c r="A3" s="1" t="s">
        <v>37</v>
      </c>
      <c r="B3" s="1" t="s">
        <v>85</v>
      </c>
      <c r="C3" s="8">
        <v>292</v>
      </c>
      <c r="D3" s="1" t="s">
        <v>1</v>
      </c>
      <c r="E3" s="1" t="s">
        <v>7</v>
      </c>
      <c r="F3" s="1" t="s">
        <v>21</v>
      </c>
      <c r="G3" s="1" t="s">
        <v>11</v>
      </c>
      <c r="H3" s="38">
        <v>10</v>
      </c>
      <c r="I3" s="3">
        <v>43656</v>
      </c>
      <c r="J3" s="4">
        <v>1</v>
      </c>
      <c r="K3" s="3">
        <v>43661</v>
      </c>
      <c r="L3" s="4">
        <v>2</v>
      </c>
      <c r="M3" s="1">
        <f>50-5+100-1-50</f>
        <v>94</v>
      </c>
      <c r="N3" s="1">
        <v>47.8</v>
      </c>
      <c r="O3" s="5">
        <f t="shared" ref="O3:O60" si="0">N3*M3</f>
        <v>4493.2</v>
      </c>
      <c r="P3" s="39">
        <f>O3/1000</f>
        <v>4.4931999999999999</v>
      </c>
      <c r="Q3" s="40">
        <f>P3/1000/H3</f>
        <v>4.4932000000000001E-4</v>
      </c>
      <c r="R3" s="7">
        <f t="shared" ref="R3:R10" si="1">500/N3</f>
        <v>10.460251046025105</v>
      </c>
      <c r="S3" s="7">
        <f>5*N3</f>
        <v>239</v>
      </c>
      <c r="T3" s="5">
        <v>50</v>
      </c>
      <c r="U3" s="7">
        <f>T3*N3/1000</f>
        <v>2.39</v>
      </c>
      <c r="V3" s="5">
        <v>2</v>
      </c>
      <c r="W3" s="238">
        <v>43682</v>
      </c>
      <c r="X3" s="238">
        <v>43683</v>
      </c>
      <c r="Y3" s="239">
        <v>29.6</v>
      </c>
      <c r="Z3" s="239"/>
      <c r="AA3" s="239">
        <f>Y3*5</f>
        <v>148</v>
      </c>
      <c r="AB3" s="239"/>
      <c r="AC3" s="239"/>
      <c r="AD3" s="238"/>
      <c r="AE3" s="239"/>
      <c r="AF3" s="238"/>
      <c r="AG3" s="238"/>
      <c r="AH3" s="1"/>
    </row>
    <row r="4" spans="1:34" x14ac:dyDescent="0.2">
      <c r="A4" s="1" t="s">
        <v>37</v>
      </c>
      <c r="B4" s="1" t="s">
        <v>85</v>
      </c>
      <c r="C4" s="8">
        <v>293</v>
      </c>
      <c r="D4" s="1" t="s">
        <v>1</v>
      </c>
      <c r="E4" s="1" t="s">
        <v>7</v>
      </c>
      <c r="F4" s="1" t="s">
        <v>22</v>
      </c>
      <c r="G4" s="1" t="s">
        <v>11</v>
      </c>
      <c r="H4" s="38">
        <v>10</v>
      </c>
      <c r="I4" s="3">
        <v>43656</v>
      </c>
      <c r="J4" s="4">
        <v>1</v>
      </c>
      <c r="K4" s="3">
        <v>43661</v>
      </c>
      <c r="L4" s="4">
        <v>2</v>
      </c>
      <c r="M4" s="1">
        <f>50-5+100-1-50</f>
        <v>94</v>
      </c>
      <c r="N4" s="1">
        <v>47.2</v>
      </c>
      <c r="O4" s="5">
        <f t="shared" si="0"/>
        <v>4436.8</v>
      </c>
      <c r="P4" s="39">
        <f t="shared" ref="P4:P9" si="2">O4/1000</f>
        <v>4.4367999999999999</v>
      </c>
      <c r="Q4" s="40">
        <f t="shared" ref="Q4:Q9" si="3">P4/1000/H4</f>
        <v>4.4367999999999995E-4</v>
      </c>
      <c r="R4" s="7">
        <f t="shared" si="1"/>
        <v>10.59322033898305</v>
      </c>
      <c r="S4" s="7">
        <f t="shared" ref="S4:S9" si="4">5*N4</f>
        <v>236</v>
      </c>
      <c r="T4" s="5">
        <v>50</v>
      </c>
      <c r="U4" s="7">
        <f t="shared" ref="U4:U9" si="5">T4*N4/1000</f>
        <v>2.36</v>
      </c>
      <c r="V4" s="5">
        <v>2</v>
      </c>
      <c r="W4" s="238">
        <v>43682</v>
      </c>
      <c r="X4" s="238">
        <v>43683</v>
      </c>
      <c r="Y4" s="239">
        <v>39.6</v>
      </c>
      <c r="Z4" s="239"/>
      <c r="AA4" s="239">
        <f t="shared" ref="AA4:AA60" si="6">Y4*5</f>
        <v>198</v>
      </c>
      <c r="AB4" s="239"/>
      <c r="AC4" s="239"/>
      <c r="AD4" s="238"/>
      <c r="AE4" s="239"/>
      <c r="AF4" s="238"/>
      <c r="AG4" s="238"/>
      <c r="AH4" s="1"/>
    </row>
    <row r="5" spans="1:34" x14ac:dyDescent="0.2">
      <c r="A5" s="1" t="s">
        <v>37</v>
      </c>
      <c r="B5" s="1" t="s">
        <v>85</v>
      </c>
      <c r="C5" s="8">
        <v>294</v>
      </c>
      <c r="D5" s="1" t="s">
        <v>1</v>
      </c>
      <c r="E5" s="1" t="s">
        <v>7</v>
      </c>
      <c r="F5" s="1" t="s">
        <v>87</v>
      </c>
      <c r="G5" s="1" t="s">
        <v>11</v>
      </c>
      <c r="H5" s="38">
        <v>80</v>
      </c>
      <c r="I5" s="3">
        <v>43656</v>
      </c>
      <c r="J5" s="4">
        <v>4</v>
      </c>
      <c r="K5" s="3">
        <v>43661</v>
      </c>
      <c r="L5" s="4">
        <v>2</v>
      </c>
      <c r="M5" s="1">
        <f>150-1-50</f>
        <v>99</v>
      </c>
      <c r="N5" s="1">
        <v>108</v>
      </c>
      <c r="O5" s="5">
        <f t="shared" si="0"/>
        <v>10692</v>
      </c>
      <c r="P5" s="39">
        <f t="shared" si="2"/>
        <v>10.692</v>
      </c>
      <c r="Q5" s="40">
        <f t="shared" si="3"/>
        <v>1.3365E-4</v>
      </c>
      <c r="R5" s="7">
        <f t="shared" si="1"/>
        <v>4.6296296296296298</v>
      </c>
      <c r="S5" s="7">
        <f t="shared" si="4"/>
        <v>540</v>
      </c>
      <c r="T5" s="5">
        <v>50</v>
      </c>
      <c r="U5" s="7">
        <f t="shared" si="5"/>
        <v>5.4</v>
      </c>
      <c r="V5" s="5">
        <v>4</v>
      </c>
      <c r="W5" s="238">
        <v>43682</v>
      </c>
      <c r="X5" s="238">
        <v>43683</v>
      </c>
      <c r="Y5" s="239">
        <v>110</v>
      </c>
      <c r="Z5" s="239"/>
      <c r="AA5" s="239">
        <f t="shared" si="6"/>
        <v>550</v>
      </c>
      <c r="AB5" s="239"/>
      <c r="AC5" s="239"/>
      <c r="AD5" s="238">
        <v>43692</v>
      </c>
      <c r="AE5" s="238">
        <v>43692</v>
      </c>
      <c r="AF5" s="238"/>
      <c r="AG5" s="238"/>
      <c r="AH5" s="1"/>
    </row>
    <row r="6" spans="1:34" x14ac:dyDescent="0.2">
      <c r="A6" s="1" t="s">
        <v>37</v>
      </c>
      <c r="B6" s="1" t="s">
        <v>85</v>
      </c>
      <c r="C6" s="8">
        <v>295</v>
      </c>
      <c r="D6" s="1" t="s">
        <v>1</v>
      </c>
      <c r="E6" s="1" t="s">
        <v>7</v>
      </c>
      <c r="F6" s="1" t="s">
        <v>23</v>
      </c>
      <c r="G6" s="1" t="s">
        <v>11</v>
      </c>
      <c r="H6" s="38">
        <v>10</v>
      </c>
      <c r="I6" s="3">
        <v>43656</v>
      </c>
      <c r="J6" s="4">
        <v>4</v>
      </c>
      <c r="K6" s="3">
        <v>43661</v>
      </c>
      <c r="L6" s="4">
        <v>2</v>
      </c>
      <c r="M6" s="186">
        <f>50-1+3-50</f>
        <v>2</v>
      </c>
      <c r="N6" s="1">
        <v>49.6</v>
      </c>
      <c r="O6" s="5">
        <f t="shared" si="0"/>
        <v>99.2</v>
      </c>
      <c r="P6" s="39">
        <f t="shared" si="2"/>
        <v>9.9199999999999997E-2</v>
      </c>
      <c r="Q6" s="40">
        <f t="shared" si="3"/>
        <v>9.9199999999999999E-6</v>
      </c>
      <c r="R6" s="7">
        <f t="shared" si="1"/>
        <v>10.080645161290322</v>
      </c>
      <c r="S6" s="7">
        <f t="shared" si="4"/>
        <v>248</v>
      </c>
      <c r="T6" s="5">
        <v>49</v>
      </c>
      <c r="U6" s="7">
        <f t="shared" si="5"/>
        <v>2.4304000000000001</v>
      </c>
      <c r="V6" s="5">
        <v>2</v>
      </c>
      <c r="W6" s="238">
        <v>43682</v>
      </c>
      <c r="X6" s="238">
        <v>43683</v>
      </c>
      <c r="Y6" s="239">
        <v>34.799999999999997</v>
      </c>
      <c r="Z6" s="239"/>
      <c r="AA6" s="239">
        <f t="shared" si="6"/>
        <v>174</v>
      </c>
      <c r="AB6" s="239"/>
      <c r="AC6" s="239"/>
      <c r="AD6" s="238"/>
      <c r="AE6" s="238">
        <v>43692</v>
      </c>
      <c r="AF6" s="238"/>
      <c r="AG6" s="238"/>
      <c r="AH6" s="1"/>
    </row>
    <row r="7" spans="1:34" x14ac:dyDescent="0.2">
      <c r="A7" s="1" t="s">
        <v>37</v>
      </c>
      <c r="B7" s="1" t="s">
        <v>85</v>
      </c>
      <c r="C7" s="8">
        <v>296</v>
      </c>
      <c r="D7" s="1" t="s">
        <v>1</v>
      </c>
      <c r="E7" s="1" t="s">
        <v>7</v>
      </c>
      <c r="F7" s="1" t="s">
        <v>24</v>
      </c>
      <c r="G7" s="1" t="s">
        <v>11</v>
      </c>
      <c r="H7" s="38">
        <v>60</v>
      </c>
      <c r="I7" s="3">
        <v>43658</v>
      </c>
      <c r="J7" s="4">
        <v>5</v>
      </c>
      <c r="K7" s="3">
        <v>43662</v>
      </c>
      <c r="L7" s="4">
        <v>3</v>
      </c>
      <c r="M7" s="1">
        <f>150-1-50</f>
        <v>99</v>
      </c>
      <c r="N7" s="1">
        <v>198</v>
      </c>
      <c r="O7" s="5">
        <f t="shared" si="0"/>
        <v>19602</v>
      </c>
      <c r="P7" s="39">
        <f t="shared" si="2"/>
        <v>19.602</v>
      </c>
      <c r="Q7" s="40">
        <f t="shared" si="3"/>
        <v>3.2670000000000003E-4</v>
      </c>
      <c r="R7" s="7">
        <f t="shared" si="1"/>
        <v>2.5252525252525251</v>
      </c>
      <c r="S7" s="7">
        <f t="shared" si="4"/>
        <v>990</v>
      </c>
      <c r="T7" s="5">
        <v>50</v>
      </c>
      <c r="U7" s="7">
        <f t="shared" si="5"/>
        <v>9.9</v>
      </c>
      <c r="V7" s="5">
        <v>2</v>
      </c>
      <c r="W7" s="238">
        <v>43682</v>
      </c>
      <c r="X7" s="238">
        <v>43683</v>
      </c>
      <c r="Y7" s="239">
        <v>180</v>
      </c>
      <c r="Z7" s="239">
        <f>9626/1000*6</f>
        <v>57.756</v>
      </c>
      <c r="AA7" s="239">
        <f t="shared" si="6"/>
        <v>900</v>
      </c>
      <c r="AB7" s="39">
        <f>500/Y7</f>
        <v>2.7777777777777777</v>
      </c>
      <c r="AC7" s="39">
        <f>5-AB7</f>
        <v>2.2222222222222223</v>
      </c>
      <c r="AD7" s="238"/>
      <c r="AE7" s="239"/>
      <c r="AF7" s="238">
        <v>43697</v>
      </c>
      <c r="AG7" s="238">
        <v>43698</v>
      </c>
      <c r="AH7" s="1"/>
    </row>
    <row r="8" spans="1:34" hidden="1" x14ac:dyDescent="0.2">
      <c r="A8" s="95" t="s">
        <v>37</v>
      </c>
      <c r="B8" s="95" t="s">
        <v>85</v>
      </c>
      <c r="C8" s="96">
        <v>297</v>
      </c>
      <c r="D8" s="95" t="s">
        <v>1</v>
      </c>
      <c r="E8" s="95" t="s">
        <v>7</v>
      </c>
      <c r="F8" s="95" t="s">
        <v>25</v>
      </c>
      <c r="G8" s="95" t="s">
        <v>11</v>
      </c>
      <c r="H8" s="97" t="s">
        <v>76</v>
      </c>
      <c r="I8" s="98">
        <v>43658</v>
      </c>
      <c r="J8" s="99">
        <v>5</v>
      </c>
      <c r="K8" s="98">
        <v>43662</v>
      </c>
      <c r="L8" s="99">
        <v>3</v>
      </c>
      <c r="M8" s="95">
        <f t="shared" ref="M8" si="7">150-1</f>
        <v>149</v>
      </c>
      <c r="N8" s="95">
        <v>4.2</v>
      </c>
      <c r="O8" s="100">
        <f t="shared" si="0"/>
        <v>625.80000000000007</v>
      </c>
      <c r="P8" s="101">
        <f t="shared" si="2"/>
        <v>0.62580000000000002</v>
      </c>
      <c r="Q8" s="102" t="e">
        <f t="shared" si="3"/>
        <v>#VALUE!</v>
      </c>
      <c r="R8" s="103">
        <f t="shared" si="1"/>
        <v>119.04761904761904</v>
      </c>
      <c r="S8" s="103">
        <f t="shared" si="4"/>
        <v>21</v>
      </c>
      <c r="T8" s="100">
        <v>50</v>
      </c>
      <c r="U8" s="103">
        <f t="shared" si="5"/>
        <v>0.21</v>
      </c>
      <c r="V8" s="100" t="s">
        <v>244</v>
      </c>
      <c r="W8" s="103"/>
      <c r="X8" s="238">
        <v>43683</v>
      </c>
      <c r="Y8" s="240" t="s">
        <v>244</v>
      </c>
      <c r="Z8" s="240"/>
      <c r="AA8" s="240" t="s">
        <v>244</v>
      </c>
      <c r="AB8" s="240"/>
      <c r="AC8" s="240"/>
      <c r="AD8" s="269"/>
      <c r="AE8" s="240"/>
      <c r="AF8" s="269"/>
      <c r="AG8" s="269"/>
      <c r="AH8" s="1"/>
    </row>
    <row r="9" spans="1:34" x14ac:dyDescent="0.2">
      <c r="A9" s="1" t="s">
        <v>37</v>
      </c>
      <c r="B9" s="1" t="s">
        <v>85</v>
      </c>
      <c r="C9" s="8">
        <v>298</v>
      </c>
      <c r="D9" s="1" t="s">
        <v>1</v>
      </c>
      <c r="E9" s="1" t="s">
        <v>7</v>
      </c>
      <c r="F9" s="1" t="s">
        <v>26</v>
      </c>
      <c r="G9" s="1" t="s">
        <v>11</v>
      </c>
      <c r="H9" s="38">
        <v>80</v>
      </c>
      <c r="I9" s="3">
        <v>43658</v>
      </c>
      <c r="J9" s="4">
        <v>7</v>
      </c>
      <c r="K9" s="3">
        <v>43662</v>
      </c>
      <c r="L9" s="4">
        <v>4</v>
      </c>
      <c r="M9" s="1">
        <f>150-1-50</f>
        <v>99</v>
      </c>
      <c r="N9" s="1">
        <v>76.400000000000006</v>
      </c>
      <c r="O9" s="5">
        <f t="shared" si="0"/>
        <v>7563.6</v>
      </c>
      <c r="P9" s="39">
        <f t="shared" si="2"/>
        <v>7.5636000000000001</v>
      </c>
      <c r="Q9" s="40">
        <f t="shared" si="3"/>
        <v>9.4544999999999997E-5</v>
      </c>
      <c r="R9" s="7">
        <f t="shared" si="1"/>
        <v>6.5445026178010464</v>
      </c>
      <c r="S9" s="7">
        <f t="shared" si="4"/>
        <v>382</v>
      </c>
      <c r="T9" s="5">
        <v>50</v>
      </c>
      <c r="U9" s="7">
        <f t="shared" si="5"/>
        <v>3.8200000000000003</v>
      </c>
      <c r="V9" s="5">
        <v>2</v>
      </c>
      <c r="W9" s="238">
        <v>43682</v>
      </c>
      <c r="X9" s="238">
        <v>43683</v>
      </c>
      <c r="Y9" s="239">
        <v>182</v>
      </c>
      <c r="Z9" s="239"/>
      <c r="AA9" s="239">
        <f t="shared" si="6"/>
        <v>910</v>
      </c>
      <c r="AB9" s="239"/>
      <c r="AC9" s="239"/>
      <c r="AD9" s="238">
        <v>43692</v>
      </c>
      <c r="AE9" s="238">
        <v>43692</v>
      </c>
      <c r="AF9" s="238"/>
      <c r="AG9" s="238"/>
      <c r="AH9" s="1" t="s">
        <v>84</v>
      </c>
    </row>
    <row r="10" spans="1:34" x14ac:dyDescent="0.2">
      <c r="A10" s="1" t="s">
        <v>37</v>
      </c>
      <c r="B10" s="1" t="s">
        <v>85</v>
      </c>
      <c r="C10" s="8">
        <v>299</v>
      </c>
      <c r="D10" s="1" t="s">
        <v>1</v>
      </c>
      <c r="E10" s="1" t="s">
        <v>7</v>
      </c>
      <c r="F10" s="1" t="s">
        <v>27</v>
      </c>
      <c r="G10" s="1" t="s">
        <v>11</v>
      </c>
      <c r="H10" s="38">
        <v>10</v>
      </c>
      <c r="I10" s="3">
        <v>43658</v>
      </c>
      <c r="J10" s="4">
        <v>7</v>
      </c>
      <c r="K10" s="3">
        <v>43662</v>
      </c>
      <c r="L10" s="4">
        <v>4</v>
      </c>
      <c r="M10" s="1">
        <f>150-1-50</f>
        <v>99</v>
      </c>
      <c r="N10" s="1">
        <v>56.8</v>
      </c>
      <c r="O10" s="5">
        <f t="shared" si="0"/>
        <v>5623.2</v>
      </c>
      <c r="P10" s="39">
        <f>O10/1000</f>
        <v>5.6231999999999998</v>
      </c>
      <c r="Q10" s="40">
        <f>P10/1000/H10</f>
        <v>5.6232000000000005E-4</v>
      </c>
      <c r="R10" s="7">
        <f t="shared" si="1"/>
        <v>8.8028169014084519</v>
      </c>
      <c r="S10" s="7">
        <f>5*N10</f>
        <v>284</v>
      </c>
      <c r="T10" s="5">
        <v>50</v>
      </c>
      <c r="U10" s="7">
        <f>T10*N10/1000</f>
        <v>2.84</v>
      </c>
      <c r="V10" s="5">
        <v>4</v>
      </c>
      <c r="W10" s="238">
        <v>43682</v>
      </c>
      <c r="X10" s="238">
        <v>43683</v>
      </c>
      <c r="Y10" s="239">
        <v>50.4</v>
      </c>
      <c r="Z10" s="239"/>
      <c r="AA10" s="239">
        <f t="shared" si="6"/>
        <v>252</v>
      </c>
      <c r="AB10" s="239"/>
      <c r="AC10" s="239"/>
      <c r="AD10" s="238">
        <v>43692</v>
      </c>
      <c r="AE10" s="238">
        <v>43692</v>
      </c>
      <c r="AF10" s="238"/>
      <c r="AG10" s="238"/>
      <c r="AH10" s="1"/>
    </row>
    <row r="11" spans="1:34" x14ac:dyDescent="0.2">
      <c r="A11" s="1"/>
      <c r="B11" s="1"/>
      <c r="C11" s="8"/>
      <c r="D11" s="1"/>
      <c r="E11" s="1"/>
      <c r="F11" s="1"/>
      <c r="G11" s="1"/>
      <c r="H11" s="2"/>
      <c r="I11" s="1"/>
      <c r="J11" s="4"/>
      <c r="K11" s="1"/>
      <c r="L11" s="4"/>
      <c r="M11" s="1"/>
      <c r="N11" s="1"/>
      <c r="O11" s="5"/>
      <c r="P11" s="5"/>
      <c r="Q11" s="5"/>
      <c r="R11" s="7"/>
      <c r="S11" s="7"/>
      <c r="T11" s="5"/>
      <c r="U11" s="7"/>
      <c r="V11" s="5"/>
      <c r="W11" s="7"/>
      <c r="X11" s="7"/>
      <c r="Y11" s="239"/>
      <c r="Z11" s="239"/>
      <c r="AA11" s="239"/>
      <c r="AB11" s="239"/>
      <c r="AC11" s="239"/>
      <c r="AD11" s="238"/>
      <c r="AE11" s="239"/>
      <c r="AF11" s="238"/>
      <c r="AG11" s="238"/>
      <c r="AH11" s="1"/>
    </row>
    <row r="12" spans="1:34" s="230" customFormat="1" x14ac:dyDescent="0.2">
      <c r="A12" s="198" t="s">
        <v>37</v>
      </c>
      <c r="B12" s="198" t="s">
        <v>86</v>
      </c>
      <c r="C12" s="199">
        <v>301</v>
      </c>
      <c r="D12" s="198" t="s">
        <v>2</v>
      </c>
      <c r="E12" s="198" t="s">
        <v>7</v>
      </c>
      <c r="F12" s="198" t="s">
        <v>28</v>
      </c>
      <c r="G12" s="198" t="s">
        <v>11</v>
      </c>
      <c r="H12" s="200">
        <v>10</v>
      </c>
      <c r="I12" s="201">
        <v>43656</v>
      </c>
      <c r="J12" s="202">
        <v>1</v>
      </c>
      <c r="K12" s="201">
        <v>43658</v>
      </c>
      <c r="L12" s="202">
        <v>1</v>
      </c>
      <c r="M12" s="198">
        <f>50-5+100-1-50</f>
        <v>94</v>
      </c>
      <c r="N12" s="198">
        <v>82.6</v>
      </c>
      <c r="O12" s="5">
        <f t="shared" si="0"/>
        <v>7764.4</v>
      </c>
      <c r="P12" s="39">
        <f>O12/1000</f>
        <v>7.7643999999999993</v>
      </c>
      <c r="Q12" s="40">
        <f>(P12/1000)/H12</f>
        <v>7.7643999999999999E-4</v>
      </c>
      <c r="R12" s="7">
        <f t="shared" ref="R12:R20" si="8">500/N12</f>
        <v>6.053268765133172</v>
      </c>
      <c r="S12" s="7">
        <f>5*N12</f>
        <v>413</v>
      </c>
      <c r="T12" s="5">
        <v>50</v>
      </c>
      <c r="U12" s="7">
        <f>T12*N12/1000</f>
        <v>4.13</v>
      </c>
      <c r="V12" s="5">
        <v>2</v>
      </c>
      <c r="W12" s="238">
        <v>43682</v>
      </c>
      <c r="X12" s="238">
        <v>43683</v>
      </c>
      <c r="Y12" s="239">
        <v>75.8</v>
      </c>
      <c r="Z12" s="239"/>
      <c r="AA12" s="239">
        <f t="shared" si="6"/>
        <v>379</v>
      </c>
      <c r="AB12" s="239"/>
      <c r="AC12" s="239"/>
      <c r="AD12" s="238"/>
      <c r="AE12" s="239"/>
      <c r="AF12" s="238"/>
      <c r="AG12" s="238"/>
      <c r="AH12" s="198"/>
    </row>
    <row r="13" spans="1:34" s="230" customFormat="1" x14ac:dyDescent="0.2">
      <c r="A13" s="198" t="s">
        <v>37</v>
      </c>
      <c r="B13" s="198" t="s">
        <v>86</v>
      </c>
      <c r="C13" s="199">
        <v>302</v>
      </c>
      <c r="D13" s="198" t="s">
        <v>2</v>
      </c>
      <c r="E13" s="198" t="s">
        <v>7</v>
      </c>
      <c r="F13" s="198" t="s">
        <v>29</v>
      </c>
      <c r="G13" s="198" t="s">
        <v>11</v>
      </c>
      <c r="H13" s="200">
        <v>10</v>
      </c>
      <c r="I13" s="201">
        <v>43656</v>
      </c>
      <c r="J13" s="202">
        <v>1</v>
      </c>
      <c r="K13" s="201">
        <v>43661</v>
      </c>
      <c r="L13" s="202">
        <v>2</v>
      </c>
      <c r="M13" s="198">
        <f>50-5</f>
        <v>45</v>
      </c>
      <c r="N13" s="198">
        <v>36.799999999999997</v>
      </c>
      <c r="O13" s="5">
        <f>N13*M13</f>
        <v>1655.9999999999998</v>
      </c>
      <c r="P13" s="39">
        <f t="shared" ref="P13:P19" si="9">O13/1000</f>
        <v>1.6559999999999997</v>
      </c>
      <c r="Q13" s="40">
        <f t="shared" ref="Q13:Q19" si="10">P13/1000/H13</f>
        <v>1.6559999999999996E-4</v>
      </c>
      <c r="R13" s="7">
        <f>500/N13</f>
        <v>13.586956521739131</v>
      </c>
      <c r="S13" s="7">
        <f t="shared" ref="S13:S19" si="11">5*N13</f>
        <v>184</v>
      </c>
      <c r="T13" s="5">
        <v>50</v>
      </c>
      <c r="U13" s="7">
        <f t="shared" ref="U13:U19" si="12">T13*N13/1000</f>
        <v>1.8399999999999999</v>
      </c>
      <c r="V13" s="5">
        <v>5</v>
      </c>
      <c r="W13" s="238">
        <v>43683</v>
      </c>
      <c r="X13" s="238">
        <v>43683</v>
      </c>
      <c r="Y13" s="239">
        <v>62.4</v>
      </c>
      <c r="Z13" s="239"/>
      <c r="AA13" s="239">
        <f t="shared" si="6"/>
        <v>312</v>
      </c>
      <c r="AB13" s="239"/>
      <c r="AC13" s="239"/>
      <c r="AD13" s="238"/>
      <c r="AE13" s="239"/>
      <c r="AF13" s="238"/>
      <c r="AG13" s="238"/>
      <c r="AH13" s="198" t="s">
        <v>299</v>
      </c>
    </row>
    <row r="14" spans="1:34" x14ac:dyDescent="0.2">
      <c r="A14" s="1" t="s">
        <v>37</v>
      </c>
      <c r="B14" s="1" t="s">
        <v>86</v>
      </c>
      <c r="C14" s="8">
        <v>306</v>
      </c>
      <c r="D14" s="1" t="s">
        <v>2</v>
      </c>
      <c r="E14" s="1" t="s">
        <v>7</v>
      </c>
      <c r="F14" s="1" t="s">
        <v>30</v>
      </c>
      <c r="G14" s="1" t="s">
        <v>11</v>
      </c>
      <c r="H14" s="38">
        <v>50</v>
      </c>
      <c r="I14" s="3">
        <v>43656</v>
      </c>
      <c r="J14" s="4">
        <v>2</v>
      </c>
      <c r="K14" s="3">
        <v>43661</v>
      </c>
      <c r="L14" s="4">
        <v>3</v>
      </c>
      <c r="M14" s="1">
        <f>50-5+100-1+50-50</f>
        <v>144</v>
      </c>
      <c r="N14" s="1">
        <v>200</v>
      </c>
      <c r="O14" s="5">
        <f t="shared" si="0"/>
        <v>28800</v>
      </c>
      <c r="P14" s="39">
        <f t="shared" si="9"/>
        <v>28.8</v>
      </c>
      <c r="Q14" s="40">
        <f t="shared" si="10"/>
        <v>5.7600000000000001E-4</v>
      </c>
      <c r="R14" s="7">
        <f t="shared" si="8"/>
        <v>2.5</v>
      </c>
      <c r="S14" s="7">
        <f t="shared" si="11"/>
        <v>1000</v>
      </c>
      <c r="T14" s="5">
        <v>50</v>
      </c>
      <c r="U14" s="7">
        <f t="shared" si="12"/>
        <v>10</v>
      </c>
      <c r="V14" s="5">
        <v>4</v>
      </c>
      <c r="W14" s="238">
        <v>43682</v>
      </c>
      <c r="X14" s="238">
        <v>43683</v>
      </c>
      <c r="Y14" s="239">
        <v>136</v>
      </c>
      <c r="Z14" s="239"/>
      <c r="AA14" s="239">
        <f t="shared" si="6"/>
        <v>680</v>
      </c>
      <c r="AB14" s="239"/>
      <c r="AC14" s="239"/>
      <c r="AD14" s="238"/>
      <c r="AE14" s="238">
        <v>43692</v>
      </c>
      <c r="AF14" s="238"/>
      <c r="AG14" s="238"/>
      <c r="AH14" s="1" t="s">
        <v>298</v>
      </c>
    </row>
    <row r="15" spans="1:34" x14ac:dyDescent="0.2">
      <c r="A15" s="1" t="s">
        <v>37</v>
      </c>
      <c r="B15" s="1" t="s">
        <v>86</v>
      </c>
      <c r="C15" s="8">
        <v>304</v>
      </c>
      <c r="D15" s="1" t="s">
        <v>2</v>
      </c>
      <c r="E15" s="1" t="s">
        <v>7</v>
      </c>
      <c r="F15" s="1" t="s">
        <v>32</v>
      </c>
      <c r="G15" s="1" t="s">
        <v>11</v>
      </c>
      <c r="H15" s="38">
        <v>50</v>
      </c>
      <c r="I15" s="3">
        <v>43656</v>
      </c>
      <c r="J15" s="4">
        <v>1</v>
      </c>
      <c r="K15" s="3">
        <v>43661</v>
      </c>
      <c r="L15" s="4">
        <v>2</v>
      </c>
      <c r="M15" s="1">
        <f>150-1+50-50</f>
        <v>149</v>
      </c>
      <c r="N15" s="1" t="s">
        <v>81</v>
      </c>
      <c r="O15" s="6" t="s">
        <v>82</v>
      </c>
      <c r="P15" s="39" t="e">
        <f t="shared" si="9"/>
        <v>#VALUE!</v>
      </c>
      <c r="Q15" s="40" t="e">
        <f t="shared" si="10"/>
        <v>#VALUE!</v>
      </c>
      <c r="R15" s="7" t="e">
        <f t="shared" si="8"/>
        <v>#VALUE!</v>
      </c>
      <c r="S15" s="7" t="e">
        <f t="shared" si="11"/>
        <v>#VALUE!</v>
      </c>
      <c r="T15" s="5">
        <v>50</v>
      </c>
      <c r="U15" s="7" t="e">
        <f t="shared" si="12"/>
        <v>#VALUE!</v>
      </c>
      <c r="V15" s="5">
        <v>4</v>
      </c>
      <c r="W15" s="238">
        <v>43682</v>
      </c>
      <c r="X15" s="238">
        <v>43683</v>
      </c>
      <c r="Y15" s="239">
        <v>200</v>
      </c>
      <c r="Z15" s="239"/>
      <c r="AA15" s="239">
        <f t="shared" si="6"/>
        <v>1000</v>
      </c>
      <c r="AB15" s="239"/>
      <c r="AC15" s="239"/>
      <c r="AD15" s="238">
        <v>43692</v>
      </c>
      <c r="AE15" s="238">
        <v>43692</v>
      </c>
      <c r="AF15" s="238"/>
      <c r="AG15" s="238"/>
      <c r="AH15" s="1" t="s">
        <v>298</v>
      </c>
    </row>
    <row r="16" spans="1:34" x14ac:dyDescent="0.2">
      <c r="A16" s="1" t="s">
        <v>37</v>
      </c>
      <c r="B16" s="1" t="s">
        <v>86</v>
      </c>
      <c r="C16" s="8">
        <v>305</v>
      </c>
      <c r="D16" s="1" t="s">
        <v>2</v>
      </c>
      <c r="E16" s="1" t="s">
        <v>7</v>
      </c>
      <c r="F16" s="1" t="s">
        <v>33</v>
      </c>
      <c r="G16" s="1" t="s">
        <v>11</v>
      </c>
      <c r="H16" s="38">
        <v>20</v>
      </c>
      <c r="I16" s="3">
        <v>43656</v>
      </c>
      <c r="J16" s="4">
        <v>1</v>
      </c>
      <c r="K16" s="3">
        <v>43661</v>
      </c>
      <c r="L16" s="4">
        <v>2</v>
      </c>
      <c r="M16" s="1">
        <f>150-1-50</f>
        <v>99</v>
      </c>
      <c r="N16" s="1">
        <v>82</v>
      </c>
      <c r="O16" s="5">
        <f t="shared" si="0"/>
        <v>8118</v>
      </c>
      <c r="P16" s="39">
        <f t="shared" si="9"/>
        <v>8.1180000000000003</v>
      </c>
      <c r="Q16" s="40">
        <f t="shared" si="10"/>
        <v>4.059E-4</v>
      </c>
      <c r="R16" s="7">
        <f t="shared" si="8"/>
        <v>6.0975609756097562</v>
      </c>
      <c r="S16" s="7">
        <f t="shared" si="11"/>
        <v>410</v>
      </c>
      <c r="T16" s="5">
        <v>50</v>
      </c>
      <c r="U16" s="7">
        <f t="shared" si="12"/>
        <v>4.0999999999999996</v>
      </c>
      <c r="V16" s="5">
        <v>2</v>
      </c>
      <c r="W16" s="238">
        <v>43682</v>
      </c>
      <c r="X16" s="238">
        <v>43683</v>
      </c>
      <c r="Y16" s="239">
        <v>75.2</v>
      </c>
      <c r="Z16" s="239"/>
      <c r="AA16" s="239">
        <f t="shared" si="6"/>
        <v>376</v>
      </c>
      <c r="AB16" s="239"/>
      <c r="AC16" s="239"/>
      <c r="AD16" s="238">
        <v>43692</v>
      </c>
      <c r="AE16" s="238">
        <v>43692</v>
      </c>
      <c r="AF16" s="238"/>
      <c r="AG16" s="238"/>
      <c r="AH16" s="1"/>
    </row>
    <row r="17" spans="1:34" x14ac:dyDescent="0.2">
      <c r="A17" s="1" t="s">
        <v>37</v>
      </c>
      <c r="B17" s="1" t="s">
        <v>86</v>
      </c>
      <c r="C17" s="8">
        <v>303</v>
      </c>
      <c r="D17" s="1" t="s">
        <v>2</v>
      </c>
      <c r="E17" s="1" t="s">
        <v>7</v>
      </c>
      <c r="F17" s="1" t="s">
        <v>31</v>
      </c>
      <c r="G17" s="1" t="s">
        <v>11</v>
      </c>
      <c r="H17" s="38">
        <v>80</v>
      </c>
      <c r="I17" s="3">
        <v>43658</v>
      </c>
      <c r="J17" s="4">
        <v>1</v>
      </c>
      <c r="K17" s="3">
        <v>43662</v>
      </c>
      <c r="L17" s="4">
        <v>2</v>
      </c>
      <c r="M17" s="1">
        <f>150-1-50</f>
        <v>99</v>
      </c>
      <c r="N17" s="1">
        <v>120</v>
      </c>
      <c r="O17" s="5">
        <f t="shared" si="0"/>
        <v>11880</v>
      </c>
      <c r="P17" s="39">
        <f t="shared" si="9"/>
        <v>11.88</v>
      </c>
      <c r="Q17" s="40">
        <f t="shared" si="10"/>
        <v>1.485E-4</v>
      </c>
      <c r="R17" s="7">
        <f t="shared" si="8"/>
        <v>4.166666666666667</v>
      </c>
      <c r="S17" s="7">
        <f t="shared" si="11"/>
        <v>600</v>
      </c>
      <c r="T17" s="5">
        <v>50</v>
      </c>
      <c r="U17" s="7">
        <f t="shared" si="12"/>
        <v>6</v>
      </c>
      <c r="V17" s="5">
        <v>2</v>
      </c>
      <c r="W17" s="238">
        <v>43682</v>
      </c>
      <c r="X17" s="238">
        <v>43683</v>
      </c>
      <c r="Y17" s="239">
        <v>95.2</v>
      </c>
      <c r="Z17" s="239"/>
      <c r="AA17" s="239">
        <f t="shared" si="6"/>
        <v>476</v>
      </c>
      <c r="AB17" s="239"/>
      <c r="AC17" s="239"/>
      <c r="AD17" s="238"/>
      <c r="AE17" s="239"/>
      <c r="AF17" s="238"/>
      <c r="AG17" s="238"/>
      <c r="AH17" s="1"/>
    </row>
    <row r="18" spans="1:34" x14ac:dyDescent="0.2">
      <c r="A18" s="1" t="s">
        <v>37</v>
      </c>
      <c r="B18" s="1" t="s">
        <v>86</v>
      </c>
      <c r="C18" s="8">
        <v>307</v>
      </c>
      <c r="D18" s="1" t="s">
        <v>2</v>
      </c>
      <c r="E18" s="1" t="s">
        <v>7</v>
      </c>
      <c r="F18" s="1" t="s">
        <v>34</v>
      </c>
      <c r="G18" s="1" t="s">
        <v>11</v>
      </c>
      <c r="H18" s="38">
        <v>70</v>
      </c>
      <c r="I18" s="3">
        <v>43658</v>
      </c>
      <c r="J18" s="4">
        <v>4</v>
      </c>
      <c r="K18" s="3">
        <v>43662</v>
      </c>
      <c r="L18" s="4">
        <v>3</v>
      </c>
      <c r="M18" s="1">
        <f>150-1-50</f>
        <v>99</v>
      </c>
      <c r="N18" s="1">
        <v>95.4</v>
      </c>
      <c r="O18" s="5">
        <f t="shared" si="0"/>
        <v>9444.6</v>
      </c>
      <c r="P18" s="39">
        <f t="shared" si="9"/>
        <v>9.4446000000000012</v>
      </c>
      <c r="Q18" s="40">
        <f t="shared" si="10"/>
        <v>1.3492285714285715E-4</v>
      </c>
      <c r="R18" s="7">
        <f t="shared" si="8"/>
        <v>5.2410901467505235</v>
      </c>
      <c r="S18" s="7">
        <f t="shared" si="11"/>
        <v>477</v>
      </c>
      <c r="T18" s="5">
        <v>50</v>
      </c>
      <c r="U18" s="7">
        <f t="shared" si="12"/>
        <v>4.7699999999999996</v>
      </c>
      <c r="V18" s="5">
        <v>2</v>
      </c>
      <c r="W18" s="238">
        <v>43682</v>
      </c>
      <c r="X18" s="238">
        <v>43683</v>
      </c>
      <c r="Y18" s="239">
        <v>89.4</v>
      </c>
      <c r="Z18" s="239"/>
      <c r="AA18" s="239">
        <f t="shared" si="6"/>
        <v>447</v>
      </c>
      <c r="AB18" s="239"/>
      <c r="AC18" s="239"/>
      <c r="AD18" s="238"/>
      <c r="AE18" s="239"/>
      <c r="AF18" s="238"/>
      <c r="AG18" s="238"/>
      <c r="AH18" s="1"/>
    </row>
    <row r="19" spans="1:34" x14ac:dyDescent="0.2">
      <c r="A19" s="1" t="s">
        <v>37</v>
      </c>
      <c r="B19" s="1" t="s">
        <v>86</v>
      </c>
      <c r="C19" s="8">
        <v>308</v>
      </c>
      <c r="D19" s="1" t="s">
        <v>2</v>
      </c>
      <c r="E19" s="1" t="s">
        <v>7</v>
      </c>
      <c r="F19" s="1" t="s">
        <v>35</v>
      </c>
      <c r="G19" s="1" t="s">
        <v>11</v>
      </c>
      <c r="H19" s="38">
        <v>70</v>
      </c>
      <c r="I19" s="3">
        <v>43658</v>
      </c>
      <c r="J19" s="4">
        <v>4</v>
      </c>
      <c r="K19" s="3">
        <v>43662</v>
      </c>
      <c r="L19" s="4">
        <v>4</v>
      </c>
      <c r="M19" s="1">
        <f>150-1-50</f>
        <v>99</v>
      </c>
      <c r="N19" s="1">
        <v>63.6</v>
      </c>
      <c r="O19" s="5">
        <f t="shared" si="0"/>
        <v>6296.4000000000005</v>
      </c>
      <c r="P19" s="39">
        <f t="shared" si="9"/>
        <v>6.2964000000000002</v>
      </c>
      <c r="Q19" s="40">
        <f t="shared" si="10"/>
        <v>8.994857142857144E-5</v>
      </c>
      <c r="R19" s="7">
        <f t="shared" si="8"/>
        <v>7.8616352201257858</v>
      </c>
      <c r="S19" s="7">
        <f t="shared" si="11"/>
        <v>318</v>
      </c>
      <c r="T19" s="5">
        <v>50</v>
      </c>
      <c r="U19" s="7">
        <f t="shared" si="12"/>
        <v>3.18</v>
      </c>
      <c r="V19" s="5">
        <v>2</v>
      </c>
      <c r="W19" s="238">
        <v>43682</v>
      </c>
      <c r="X19" s="238">
        <v>43683</v>
      </c>
      <c r="Y19" s="239">
        <v>73.599999999999994</v>
      </c>
      <c r="Z19" s="239"/>
      <c r="AA19" s="239">
        <f t="shared" si="6"/>
        <v>368</v>
      </c>
      <c r="AB19" s="239"/>
      <c r="AC19" s="239"/>
      <c r="AD19" s="238"/>
      <c r="AE19" s="239"/>
      <c r="AF19" s="238"/>
      <c r="AG19" s="238"/>
      <c r="AH19" s="1"/>
    </row>
    <row r="20" spans="1:34" x14ac:dyDescent="0.2">
      <c r="A20" s="1" t="s">
        <v>37</v>
      </c>
      <c r="B20" s="1" t="s">
        <v>86</v>
      </c>
      <c r="C20" s="8">
        <v>309</v>
      </c>
      <c r="D20" s="1" t="s">
        <v>2</v>
      </c>
      <c r="E20" s="1" t="s">
        <v>7</v>
      </c>
      <c r="F20" s="1" t="s">
        <v>36</v>
      </c>
      <c r="G20" s="1" t="s">
        <v>11</v>
      </c>
      <c r="H20" s="38">
        <v>80</v>
      </c>
      <c r="I20" s="3">
        <v>43658</v>
      </c>
      <c r="J20" s="4">
        <v>6</v>
      </c>
      <c r="K20" s="3">
        <v>43662</v>
      </c>
      <c r="L20" s="4">
        <v>4</v>
      </c>
      <c r="M20" s="1">
        <f>150-1+50-50</f>
        <v>149</v>
      </c>
      <c r="N20" s="1">
        <v>200</v>
      </c>
      <c r="O20" s="5">
        <f t="shared" si="0"/>
        <v>29800</v>
      </c>
      <c r="P20" s="39">
        <f>O20/1000</f>
        <v>29.8</v>
      </c>
      <c r="Q20" s="40">
        <f>P20/1000/H20</f>
        <v>3.725E-4</v>
      </c>
      <c r="R20" s="7">
        <f t="shared" si="8"/>
        <v>2.5</v>
      </c>
      <c r="S20" s="7">
        <f>5*N20</f>
        <v>1000</v>
      </c>
      <c r="T20" s="5">
        <v>50</v>
      </c>
      <c r="U20" s="7">
        <f>T20*N20/1000</f>
        <v>10</v>
      </c>
      <c r="V20" s="5">
        <v>4</v>
      </c>
      <c r="W20" s="238">
        <v>43682</v>
      </c>
      <c r="X20" s="238">
        <v>43683</v>
      </c>
      <c r="Y20" s="239">
        <v>170</v>
      </c>
      <c r="Z20" s="239"/>
      <c r="AA20" s="239">
        <f t="shared" si="6"/>
        <v>850</v>
      </c>
      <c r="AB20" s="239"/>
      <c r="AC20" s="239"/>
      <c r="AD20" s="238">
        <v>43692</v>
      </c>
      <c r="AE20" s="238">
        <v>43692</v>
      </c>
      <c r="AF20" s="238"/>
      <c r="AG20" s="238"/>
      <c r="AH20" s="1" t="s">
        <v>461</v>
      </c>
    </row>
    <row r="21" spans="1:34" x14ac:dyDescent="0.2">
      <c r="A21" s="1"/>
      <c r="B21" s="1"/>
      <c r="C21" s="8"/>
      <c r="D21" s="1"/>
      <c r="E21" s="1"/>
      <c r="F21" s="1"/>
      <c r="G21" s="1"/>
      <c r="H21" s="2"/>
      <c r="I21" s="1"/>
      <c r="J21" s="4"/>
      <c r="K21" s="1"/>
      <c r="L21" s="4"/>
      <c r="M21" s="1"/>
      <c r="N21" s="1"/>
      <c r="O21" s="5"/>
      <c r="P21" s="5"/>
      <c r="Q21" s="5"/>
      <c r="R21" s="7"/>
      <c r="S21" s="7"/>
      <c r="T21" s="5"/>
      <c r="U21" s="7"/>
      <c r="V21" s="5"/>
      <c r="W21" s="7"/>
      <c r="X21" s="7"/>
      <c r="Y21" s="239"/>
      <c r="Z21" s="239"/>
      <c r="AA21" s="239">
        <f t="shared" si="6"/>
        <v>0</v>
      </c>
      <c r="AB21" s="239"/>
      <c r="AC21" s="239"/>
      <c r="AD21" s="238"/>
      <c r="AE21" s="239"/>
      <c r="AF21" s="238"/>
      <c r="AG21" s="238"/>
      <c r="AH21" s="1"/>
    </row>
    <row r="22" spans="1:34" s="230" customFormat="1" x14ac:dyDescent="0.2">
      <c r="A22" s="198" t="s">
        <v>74</v>
      </c>
      <c r="B22" s="198" t="s">
        <v>85</v>
      </c>
      <c r="C22" s="199">
        <v>311</v>
      </c>
      <c r="D22" s="198" t="s">
        <v>3</v>
      </c>
      <c r="E22" s="198" t="s">
        <v>7</v>
      </c>
      <c r="F22" s="198" t="s">
        <v>38</v>
      </c>
      <c r="G22" s="198" t="s">
        <v>11</v>
      </c>
      <c r="H22" s="200">
        <v>80</v>
      </c>
      <c r="I22" s="201">
        <v>43656</v>
      </c>
      <c r="J22" s="202">
        <v>2</v>
      </c>
      <c r="K22" s="201">
        <v>43658</v>
      </c>
      <c r="L22" s="202">
        <v>1</v>
      </c>
      <c r="M22" s="198">
        <f>50-5+100-1-50</f>
        <v>94</v>
      </c>
      <c r="N22" s="198">
        <v>174</v>
      </c>
      <c r="O22" s="5">
        <f t="shared" si="0"/>
        <v>16356</v>
      </c>
      <c r="P22" s="39">
        <f>O22/1000</f>
        <v>16.356000000000002</v>
      </c>
      <c r="Q22" s="40">
        <f>(P22/1000)/H22</f>
        <v>2.0445000000000004E-4</v>
      </c>
      <c r="R22" s="7">
        <f t="shared" ref="R22:R30" si="13">500/N22</f>
        <v>2.8735632183908044</v>
      </c>
      <c r="S22" s="7">
        <f>5*N22</f>
        <v>870</v>
      </c>
      <c r="T22" s="5">
        <v>50</v>
      </c>
      <c r="U22" s="7">
        <f>T22*N22/1000</f>
        <v>8.6999999999999993</v>
      </c>
      <c r="V22" s="5">
        <v>2</v>
      </c>
      <c r="W22" s="238">
        <v>43682</v>
      </c>
      <c r="X22" s="238">
        <v>43683</v>
      </c>
      <c r="Y22" s="239">
        <v>158</v>
      </c>
      <c r="Z22" s="239"/>
      <c r="AA22" s="239">
        <f t="shared" si="6"/>
        <v>790</v>
      </c>
      <c r="AB22" s="239"/>
      <c r="AC22" s="239"/>
      <c r="AD22" s="238"/>
      <c r="AE22" s="239"/>
      <c r="AF22" s="238"/>
      <c r="AG22" s="238"/>
      <c r="AH22" s="198"/>
    </row>
    <row r="23" spans="1:34" x14ac:dyDescent="0.2">
      <c r="A23" s="1" t="s">
        <v>74</v>
      </c>
      <c r="B23" s="1" t="s">
        <v>85</v>
      </c>
      <c r="C23" s="8">
        <v>312</v>
      </c>
      <c r="D23" s="1" t="s">
        <v>3</v>
      </c>
      <c r="E23" s="1" t="s">
        <v>7</v>
      </c>
      <c r="F23" s="1" t="s">
        <v>39</v>
      </c>
      <c r="G23" s="1" t="s">
        <v>11</v>
      </c>
      <c r="H23" s="38">
        <v>80</v>
      </c>
      <c r="I23" s="3">
        <v>43656</v>
      </c>
      <c r="J23" s="4">
        <v>2</v>
      </c>
      <c r="K23" s="3">
        <v>43661</v>
      </c>
      <c r="L23" s="4">
        <v>2</v>
      </c>
      <c r="M23" s="1">
        <f>50-5+100-1-50</f>
        <v>94</v>
      </c>
      <c r="N23" s="1">
        <v>97.4</v>
      </c>
      <c r="O23" s="5">
        <f t="shared" si="0"/>
        <v>9155.6</v>
      </c>
      <c r="P23" s="39">
        <f t="shared" ref="P23:P29" si="14">O23/1000</f>
        <v>9.1555999999999997</v>
      </c>
      <c r="Q23" s="40">
        <f t="shared" ref="Q23:Q29" si="15">P23/1000/H23</f>
        <v>1.1444499999999999E-4</v>
      </c>
      <c r="R23" s="7">
        <f t="shared" si="13"/>
        <v>5.1334702258726894</v>
      </c>
      <c r="S23" s="7">
        <f t="shared" ref="S23:S29" si="16">5*N23</f>
        <v>487</v>
      </c>
      <c r="T23" s="5">
        <v>50</v>
      </c>
      <c r="U23" s="7">
        <f t="shared" ref="U23:U29" si="17">T23*N23/1000</f>
        <v>4.87</v>
      </c>
      <c r="V23" s="5">
        <v>2</v>
      </c>
      <c r="W23" s="238">
        <v>43682</v>
      </c>
      <c r="X23" s="238">
        <v>43683</v>
      </c>
      <c r="Y23" s="239">
        <v>90.6</v>
      </c>
      <c r="Z23" s="239"/>
      <c r="AA23" s="239">
        <f t="shared" si="6"/>
        <v>453</v>
      </c>
      <c r="AB23" s="239"/>
      <c r="AC23" s="239"/>
      <c r="AD23" s="238"/>
      <c r="AE23" s="239"/>
      <c r="AF23" s="238"/>
      <c r="AG23" s="238"/>
      <c r="AH23" s="1"/>
    </row>
    <row r="24" spans="1:34" x14ac:dyDescent="0.2">
      <c r="A24" s="1" t="s">
        <v>74</v>
      </c>
      <c r="B24" s="1" t="s">
        <v>85</v>
      </c>
      <c r="C24" s="8">
        <v>313</v>
      </c>
      <c r="D24" s="1" t="s">
        <v>3</v>
      </c>
      <c r="E24" s="1" t="s">
        <v>7</v>
      </c>
      <c r="F24" s="1" t="s">
        <v>40</v>
      </c>
      <c r="G24" s="1" t="s">
        <v>11</v>
      </c>
      <c r="H24" s="2" t="s">
        <v>77</v>
      </c>
      <c r="I24" s="3">
        <v>43656</v>
      </c>
      <c r="J24" s="4">
        <v>3</v>
      </c>
      <c r="K24" s="3">
        <v>43661</v>
      </c>
      <c r="L24" s="4">
        <v>2</v>
      </c>
      <c r="M24" s="1">
        <f>50-5+100-1-50</f>
        <v>94</v>
      </c>
      <c r="N24" s="1">
        <v>76.2</v>
      </c>
      <c r="O24" s="5">
        <f t="shared" si="0"/>
        <v>7162.8</v>
      </c>
      <c r="P24" s="39">
        <f t="shared" si="14"/>
        <v>7.1627999999999998</v>
      </c>
      <c r="Q24" s="40" t="e">
        <f t="shared" si="15"/>
        <v>#VALUE!</v>
      </c>
      <c r="R24" s="7">
        <f t="shared" si="13"/>
        <v>6.5616797900262469</v>
      </c>
      <c r="S24" s="7">
        <f t="shared" si="16"/>
        <v>381</v>
      </c>
      <c r="T24" s="5">
        <v>50</v>
      </c>
      <c r="U24" s="7">
        <f t="shared" si="17"/>
        <v>3.81</v>
      </c>
      <c r="V24" s="5">
        <v>2</v>
      </c>
      <c r="W24" s="238">
        <v>43682</v>
      </c>
      <c r="X24" s="238">
        <v>43683</v>
      </c>
      <c r="Y24" s="239">
        <v>72.400000000000006</v>
      </c>
      <c r="Z24" s="239"/>
      <c r="AA24" s="239">
        <f t="shared" si="6"/>
        <v>362</v>
      </c>
      <c r="AB24" s="239"/>
      <c r="AC24" s="239"/>
      <c r="AD24" s="238"/>
      <c r="AE24" s="239"/>
      <c r="AF24" s="238"/>
      <c r="AG24" s="238"/>
      <c r="AH24" s="1"/>
    </row>
    <row r="25" spans="1:34" x14ac:dyDescent="0.2">
      <c r="A25" s="1" t="s">
        <v>74</v>
      </c>
      <c r="B25" s="1" t="s">
        <v>85</v>
      </c>
      <c r="C25" s="8">
        <v>314</v>
      </c>
      <c r="D25" s="1" t="s">
        <v>3</v>
      </c>
      <c r="E25" s="1" t="s">
        <v>7</v>
      </c>
      <c r="F25" s="1" t="s">
        <v>41</v>
      </c>
      <c r="G25" s="1" t="s">
        <v>11</v>
      </c>
      <c r="H25" s="2" t="s">
        <v>77</v>
      </c>
      <c r="I25" s="3">
        <v>43656</v>
      </c>
      <c r="J25" s="4">
        <v>3</v>
      </c>
      <c r="K25" s="3">
        <v>43661</v>
      </c>
      <c r="L25" s="4">
        <v>2</v>
      </c>
      <c r="M25" s="1">
        <f>150-1-50</f>
        <v>99</v>
      </c>
      <c r="N25" s="1">
        <v>49.6</v>
      </c>
      <c r="O25" s="5">
        <f t="shared" si="0"/>
        <v>4910.4000000000005</v>
      </c>
      <c r="P25" s="39">
        <f t="shared" si="14"/>
        <v>4.910400000000001</v>
      </c>
      <c r="Q25" s="40" t="e">
        <f t="shared" si="15"/>
        <v>#VALUE!</v>
      </c>
      <c r="R25" s="7">
        <f t="shared" si="13"/>
        <v>10.080645161290322</v>
      </c>
      <c r="S25" s="7">
        <f t="shared" si="16"/>
        <v>248</v>
      </c>
      <c r="T25" s="5">
        <v>50</v>
      </c>
      <c r="U25" s="7">
        <f t="shared" si="17"/>
        <v>2.48</v>
      </c>
      <c r="V25" s="5">
        <v>2</v>
      </c>
      <c r="W25" s="238">
        <v>43682</v>
      </c>
      <c r="X25" s="238">
        <v>43683</v>
      </c>
      <c r="Y25" s="239">
        <v>42.2</v>
      </c>
      <c r="Z25" s="239"/>
      <c r="AA25" s="239">
        <f t="shared" si="6"/>
        <v>211</v>
      </c>
      <c r="AB25" s="239"/>
      <c r="AC25" s="239"/>
      <c r="AD25" s="238"/>
      <c r="AE25" s="239"/>
      <c r="AF25" s="238"/>
      <c r="AG25" s="238"/>
      <c r="AH25" s="1"/>
    </row>
    <row r="26" spans="1:34" x14ac:dyDescent="0.2">
      <c r="A26" s="1" t="s">
        <v>74</v>
      </c>
      <c r="B26" s="1" t="s">
        <v>85</v>
      </c>
      <c r="C26" s="8">
        <v>315</v>
      </c>
      <c r="D26" s="1" t="s">
        <v>3</v>
      </c>
      <c r="E26" s="1" t="s">
        <v>7</v>
      </c>
      <c r="F26" s="1" t="s">
        <v>42</v>
      </c>
      <c r="G26" s="1" t="s">
        <v>11</v>
      </c>
      <c r="H26" s="38">
        <v>70</v>
      </c>
      <c r="I26" s="3">
        <v>43656</v>
      </c>
      <c r="J26" s="4">
        <v>4</v>
      </c>
      <c r="K26" s="3">
        <v>43661</v>
      </c>
      <c r="L26" s="4">
        <v>2</v>
      </c>
      <c r="M26" s="1">
        <f>150-1+50-50</f>
        <v>149</v>
      </c>
      <c r="N26" s="1" t="s">
        <v>81</v>
      </c>
      <c r="O26" s="6" t="s">
        <v>82</v>
      </c>
      <c r="P26" s="39" t="e">
        <f t="shared" si="14"/>
        <v>#VALUE!</v>
      </c>
      <c r="Q26" s="40" t="e">
        <f t="shared" si="15"/>
        <v>#VALUE!</v>
      </c>
      <c r="R26" s="7" t="e">
        <f t="shared" si="13"/>
        <v>#VALUE!</v>
      </c>
      <c r="S26" s="7" t="e">
        <f t="shared" si="16"/>
        <v>#VALUE!</v>
      </c>
      <c r="T26" s="5">
        <v>50</v>
      </c>
      <c r="U26" s="7" t="e">
        <f t="shared" si="17"/>
        <v>#VALUE!</v>
      </c>
      <c r="V26" s="5">
        <v>4</v>
      </c>
      <c r="W26" s="238">
        <v>43682</v>
      </c>
      <c r="X26" s="238">
        <v>43683</v>
      </c>
      <c r="Y26" s="239">
        <v>148</v>
      </c>
      <c r="Z26" s="239"/>
      <c r="AA26" s="239">
        <f t="shared" si="6"/>
        <v>740</v>
      </c>
      <c r="AB26" s="239"/>
      <c r="AC26" s="239"/>
      <c r="AD26" s="238">
        <v>43692</v>
      </c>
      <c r="AE26" s="238">
        <v>43692</v>
      </c>
      <c r="AF26" s="238"/>
      <c r="AG26" s="238"/>
      <c r="AH26" s="1" t="s">
        <v>442</v>
      </c>
    </row>
    <row r="27" spans="1:34" x14ac:dyDescent="0.2">
      <c r="A27" s="1" t="s">
        <v>74</v>
      </c>
      <c r="B27" s="1" t="s">
        <v>85</v>
      </c>
      <c r="C27" s="8">
        <v>316</v>
      </c>
      <c r="D27" s="1" t="s">
        <v>3</v>
      </c>
      <c r="E27" s="1" t="s">
        <v>7</v>
      </c>
      <c r="F27" s="1" t="s">
        <v>43</v>
      </c>
      <c r="G27" s="1" t="s">
        <v>11</v>
      </c>
      <c r="H27" s="38">
        <v>100</v>
      </c>
      <c r="I27" s="3">
        <v>43658</v>
      </c>
      <c r="J27" s="4">
        <v>4</v>
      </c>
      <c r="K27" s="3">
        <v>43662</v>
      </c>
      <c r="L27" s="4">
        <v>3</v>
      </c>
      <c r="M27" s="1">
        <f>150-1+50-50</f>
        <v>149</v>
      </c>
      <c r="N27" s="1" t="s">
        <v>81</v>
      </c>
      <c r="O27" s="6" t="s">
        <v>82</v>
      </c>
      <c r="P27" s="39" t="e">
        <f t="shared" si="14"/>
        <v>#VALUE!</v>
      </c>
      <c r="Q27" s="40" t="e">
        <f t="shared" si="15"/>
        <v>#VALUE!</v>
      </c>
      <c r="R27" s="7" t="e">
        <f t="shared" si="13"/>
        <v>#VALUE!</v>
      </c>
      <c r="S27" s="7" t="e">
        <f t="shared" si="16"/>
        <v>#VALUE!</v>
      </c>
      <c r="T27" s="5">
        <v>50</v>
      </c>
      <c r="U27" s="7" t="e">
        <f t="shared" si="17"/>
        <v>#VALUE!</v>
      </c>
      <c r="V27" s="5">
        <v>4</v>
      </c>
      <c r="W27" s="238">
        <v>43682</v>
      </c>
      <c r="X27" s="238">
        <v>43683</v>
      </c>
      <c r="Y27" s="239">
        <v>146</v>
      </c>
      <c r="Z27" s="239"/>
      <c r="AA27" s="239">
        <f t="shared" si="6"/>
        <v>730</v>
      </c>
      <c r="AB27" s="239"/>
      <c r="AC27" s="239"/>
      <c r="AD27" s="238"/>
      <c r="AE27" s="238">
        <v>43692</v>
      </c>
      <c r="AF27" s="238"/>
      <c r="AG27" s="238"/>
      <c r="AH27" s="1" t="s">
        <v>442</v>
      </c>
    </row>
    <row r="28" spans="1:34" x14ac:dyDescent="0.2">
      <c r="A28" s="1" t="s">
        <v>74</v>
      </c>
      <c r="B28" s="1" t="s">
        <v>85</v>
      </c>
      <c r="C28" s="8">
        <v>317</v>
      </c>
      <c r="D28" s="1" t="s">
        <v>3</v>
      </c>
      <c r="E28" s="1" t="s">
        <v>7</v>
      </c>
      <c r="F28" s="1" t="s">
        <v>44</v>
      </c>
      <c r="G28" s="1" t="s">
        <v>11</v>
      </c>
      <c r="H28" s="38">
        <v>70</v>
      </c>
      <c r="I28" s="3">
        <v>43658</v>
      </c>
      <c r="J28" s="4">
        <v>5</v>
      </c>
      <c r="K28" s="3">
        <v>43662</v>
      </c>
      <c r="L28" s="4">
        <v>3</v>
      </c>
      <c r="M28" s="1">
        <f>150-1+50-50</f>
        <v>149</v>
      </c>
      <c r="N28" s="1" t="s">
        <v>81</v>
      </c>
      <c r="O28" s="6" t="s">
        <v>82</v>
      </c>
      <c r="P28" s="39" t="e">
        <f t="shared" si="14"/>
        <v>#VALUE!</v>
      </c>
      <c r="Q28" s="40" t="e">
        <f t="shared" si="15"/>
        <v>#VALUE!</v>
      </c>
      <c r="R28" s="7" t="e">
        <f t="shared" si="13"/>
        <v>#VALUE!</v>
      </c>
      <c r="S28" s="7" t="e">
        <f t="shared" si="16"/>
        <v>#VALUE!</v>
      </c>
      <c r="T28" s="5">
        <v>50</v>
      </c>
      <c r="U28" s="7" t="e">
        <f t="shared" si="17"/>
        <v>#VALUE!</v>
      </c>
      <c r="V28" s="5">
        <v>4</v>
      </c>
      <c r="W28" s="238">
        <v>43682</v>
      </c>
      <c r="X28" s="238">
        <v>43683</v>
      </c>
      <c r="Y28" s="239">
        <v>158</v>
      </c>
      <c r="Z28" s="239"/>
      <c r="AA28" s="239">
        <f t="shared" si="6"/>
        <v>790</v>
      </c>
      <c r="AB28" s="239"/>
      <c r="AC28" s="239"/>
      <c r="AD28" s="238">
        <v>43692</v>
      </c>
      <c r="AE28" s="238">
        <v>43692</v>
      </c>
      <c r="AF28" s="238"/>
      <c r="AG28" s="238"/>
      <c r="AH28" s="1" t="s">
        <v>442</v>
      </c>
    </row>
    <row r="29" spans="1:34" x14ac:dyDescent="0.2">
      <c r="A29" s="1" t="s">
        <v>74</v>
      </c>
      <c r="B29" s="1" t="s">
        <v>85</v>
      </c>
      <c r="C29" s="8">
        <v>318</v>
      </c>
      <c r="D29" s="1" t="s">
        <v>3</v>
      </c>
      <c r="E29" s="1" t="s">
        <v>7</v>
      </c>
      <c r="F29" s="1" t="s">
        <v>45</v>
      </c>
      <c r="G29" s="1" t="s">
        <v>11</v>
      </c>
      <c r="H29" s="38">
        <v>60</v>
      </c>
      <c r="I29" s="3">
        <v>43658</v>
      </c>
      <c r="J29" s="4">
        <v>6</v>
      </c>
      <c r="K29" s="3">
        <v>43662</v>
      </c>
      <c r="L29" s="4">
        <v>4</v>
      </c>
      <c r="M29" s="1">
        <f>150-1-50</f>
        <v>99</v>
      </c>
      <c r="N29" s="1">
        <v>182</v>
      </c>
      <c r="O29" s="5">
        <f t="shared" si="0"/>
        <v>18018</v>
      </c>
      <c r="P29" s="39">
        <f t="shared" si="14"/>
        <v>18.018000000000001</v>
      </c>
      <c r="Q29" s="40">
        <f t="shared" si="15"/>
        <v>3.0029999999999998E-4</v>
      </c>
      <c r="R29" s="7">
        <f t="shared" si="13"/>
        <v>2.7472527472527473</v>
      </c>
      <c r="S29" s="7">
        <f t="shared" si="16"/>
        <v>910</v>
      </c>
      <c r="T29" s="5">
        <v>50</v>
      </c>
      <c r="U29" s="7">
        <f t="shared" si="17"/>
        <v>9.1</v>
      </c>
      <c r="V29" s="5">
        <v>2</v>
      </c>
      <c r="W29" s="238">
        <v>43682</v>
      </c>
      <c r="X29" s="238">
        <v>43683</v>
      </c>
      <c r="Y29" s="239">
        <v>174</v>
      </c>
      <c r="Z29" s="239"/>
      <c r="AA29" s="239">
        <f t="shared" si="6"/>
        <v>870</v>
      </c>
      <c r="AB29" s="239"/>
      <c r="AC29" s="239"/>
      <c r="AD29" s="238">
        <v>43692</v>
      </c>
      <c r="AE29" s="239"/>
      <c r="AF29" s="238"/>
      <c r="AG29" s="238"/>
      <c r="AH29" s="1"/>
    </row>
    <row r="30" spans="1:34" x14ac:dyDescent="0.2">
      <c r="A30" s="1" t="s">
        <v>74</v>
      </c>
      <c r="B30" s="1" t="s">
        <v>85</v>
      </c>
      <c r="C30" s="8">
        <v>319</v>
      </c>
      <c r="D30" s="1" t="s">
        <v>3</v>
      </c>
      <c r="E30" s="1" t="s">
        <v>7</v>
      </c>
      <c r="F30" s="1" t="s">
        <v>46</v>
      </c>
      <c r="G30" s="1" t="s">
        <v>11</v>
      </c>
      <c r="H30" s="38">
        <v>20</v>
      </c>
      <c r="I30" s="3">
        <v>43658</v>
      </c>
      <c r="J30" s="4">
        <v>7</v>
      </c>
      <c r="K30" s="3">
        <v>43662</v>
      </c>
      <c r="L30" s="4">
        <v>4</v>
      </c>
      <c r="M30" s="1">
        <f>150-1-50</f>
        <v>99</v>
      </c>
      <c r="N30" s="1">
        <v>61.8</v>
      </c>
      <c r="O30" s="5">
        <f t="shared" si="0"/>
        <v>6118.2</v>
      </c>
      <c r="P30" s="39">
        <f>O30/1000</f>
        <v>6.1181999999999999</v>
      </c>
      <c r="Q30" s="40">
        <f>P30/1000/H30</f>
        <v>3.0591E-4</v>
      </c>
      <c r="R30" s="7">
        <f t="shared" si="13"/>
        <v>8.0906148867313927</v>
      </c>
      <c r="S30" s="7">
        <f>5*N30</f>
        <v>309</v>
      </c>
      <c r="T30" s="5">
        <v>50</v>
      </c>
      <c r="U30" s="7">
        <f>T30*N30/1000</f>
        <v>3.09</v>
      </c>
      <c r="V30" s="5">
        <v>5</v>
      </c>
      <c r="W30" s="241">
        <v>43683</v>
      </c>
      <c r="X30" s="238">
        <v>43683</v>
      </c>
      <c r="Y30" s="242">
        <v>77.599999999999994</v>
      </c>
      <c r="Z30" s="242"/>
      <c r="AA30" s="239">
        <f t="shared" si="6"/>
        <v>388</v>
      </c>
      <c r="AB30" s="239"/>
      <c r="AC30" s="239"/>
      <c r="AD30" s="238">
        <v>43692</v>
      </c>
      <c r="AE30" s="238">
        <v>43692</v>
      </c>
      <c r="AF30" s="238"/>
      <c r="AG30" s="238"/>
      <c r="AH30" s="1"/>
    </row>
    <row r="31" spans="1:34" x14ac:dyDescent="0.2">
      <c r="A31" s="1"/>
      <c r="B31" s="1"/>
      <c r="C31" s="8"/>
      <c r="D31" s="1"/>
      <c r="E31" s="1"/>
      <c r="F31" s="1"/>
      <c r="G31" s="1"/>
      <c r="H31" s="2"/>
      <c r="I31" s="1"/>
      <c r="J31" s="4"/>
      <c r="K31" s="1"/>
      <c r="L31" s="4"/>
      <c r="M31" s="1"/>
      <c r="N31" s="1"/>
      <c r="O31" s="5"/>
      <c r="P31" s="5"/>
      <c r="Q31" s="5"/>
      <c r="R31" s="7"/>
      <c r="S31" s="7"/>
      <c r="T31" s="5"/>
      <c r="U31" s="7"/>
      <c r="V31" s="5"/>
      <c r="W31" s="7"/>
      <c r="X31" s="7"/>
      <c r="Y31" s="239"/>
      <c r="Z31" s="239"/>
      <c r="AA31" s="239">
        <f t="shared" si="6"/>
        <v>0</v>
      </c>
      <c r="AB31" s="239"/>
      <c r="AC31" s="239"/>
      <c r="AD31" s="238"/>
      <c r="AE31" s="239"/>
      <c r="AF31" s="238"/>
      <c r="AG31" s="238"/>
      <c r="AH31" s="1"/>
    </row>
    <row r="32" spans="1:34" s="230" customFormat="1" x14ac:dyDescent="0.2">
      <c r="A32" s="198" t="s">
        <v>74</v>
      </c>
      <c r="B32" s="198" t="s">
        <v>86</v>
      </c>
      <c r="C32" s="199">
        <v>321</v>
      </c>
      <c r="D32" s="198" t="s">
        <v>4</v>
      </c>
      <c r="E32" s="198" t="s">
        <v>7</v>
      </c>
      <c r="F32" s="198" t="s">
        <v>47</v>
      </c>
      <c r="G32" s="198" t="s">
        <v>11</v>
      </c>
      <c r="H32" s="200">
        <v>60</v>
      </c>
      <c r="I32" s="201">
        <v>43656</v>
      </c>
      <c r="J32" s="202">
        <v>2</v>
      </c>
      <c r="K32" s="201">
        <v>43658</v>
      </c>
      <c r="L32" s="202">
        <v>1</v>
      </c>
      <c r="M32" s="198">
        <f>50-5+100-1+50-50</f>
        <v>144</v>
      </c>
      <c r="N32" s="198">
        <v>188</v>
      </c>
      <c r="O32" s="5">
        <f t="shared" si="0"/>
        <v>27072</v>
      </c>
      <c r="P32" s="39">
        <f>O32/1000</f>
        <v>27.071999999999999</v>
      </c>
      <c r="Q32" s="40">
        <f>(P32/1000)/H32</f>
        <v>4.5119999999999996E-4</v>
      </c>
      <c r="R32" s="7">
        <f t="shared" ref="R32:R40" si="18">500/N32</f>
        <v>2.6595744680851063</v>
      </c>
      <c r="S32" s="7">
        <f>5*N32</f>
        <v>940</v>
      </c>
      <c r="T32" s="5">
        <v>50</v>
      </c>
      <c r="U32" s="7">
        <f>T32*N32/1000</f>
        <v>9.4</v>
      </c>
      <c r="V32" s="5">
        <v>4</v>
      </c>
      <c r="W32" s="7"/>
      <c r="X32" s="238">
        <v>43683</v>
      </c>
      <c r="Y32" s="239">
        <v>148</v>
      </c>
      <c r="Z32" s="239"/>
      <c r="AA32" s="239">
        <f t="shared" si="6"/>
        <v>740</v>
      </c>
      <c r="AB32" s="239"/>
      <c r="AC32" s="239"/>
      <c r="AD32" s="238"/>
      <c r="AE32" s="238">
        <v>43692</v>
      </c>
      <c r="AF32" s="238"/>
      <c r="AG32" s="238"/>
      <c r="AH32" s="198" t="s">
        <v>298</v>
      </c>
    </row>
    <row r="33" spans="1:34" x14ac:dyDescent="0.2">
      <c r="A33" s="1" t="s">
        <v>74</v>
      </c>
      <c r="B33" s="1" t="s">
        <v>86</v>
      </c>
      <c r="C33" s="8">
        <v>322</v>
      </c>
      <c r="D33" s="1" t="s">
        <v>4</v>
      </c>
      <c r="E33" s="1" t="s">
        <v>7</v>
      </c>
      <c r="F33" s="1" t="s">
        <v>48</v>
      </c>
      <c r="G33" s="1" t="s">
        <v>11</v>
      </c>
      <c r="H33" s="38">
        <v>20</v>
      </c>
      <c r="I33" s="3">
        <v>43656</v>
      </c>
      <c r="J33" s="4">
        <v>2</v>
      </c>
      <c r="K33" s="3">
        <v>43661</v>
      </c>
      <c r="L33" s="4">
        <v>2</v>
      </c>
      <c r="M33" s="1">
        <f>50-5+100-1-50</f>
        <v>94</v>
      </c>
      <c r="N33" s="1">
        <v>63.4</v>
      </c>
      <c r="O33" s="5">
        <f t="shared" si="0"/>
        <v>5959.5999999999995</v>
      </c>
      <c r="P33" s="39">
        <f t="shared" ref="P33:P39" si="19">O33/1000</f>
        <v>5.9595999999999991</v>
      </c>
      <c r="Q33" s="40">
        <f t="shared" ref="Q33:Q39" si="20">P33/1000/H33</f>
        <v>2.9797999999999994E-4</v>
      </c>
      <c r="R33" s="7">
        <f t="shared" si="18"/>
        <v>7.8864353312302837</v>
      </c>
      <c r="S33" s="7">
        <f t="shared" ref="S33:S39" si="21">5*N33</f>
        <v>317</v>
      </c>
      <c r="T33" s="5">
        <v>50</v>
      </c>
      <c r="U33" s="7">
        <f t="shared" ref="U33:U39" si="22">T33*N33/1000</f>
        <v>3.17</v>
      </c>
      <c r="V33" s="5">
        <v>2</v>
      </c>
      <c r="W33" s="238">
        <v>43682</v>
      </c>
      <c r="X33" s="238">
        <v>43683</v>
      </c>
      <c r="Y33" s="239">
        <v>44.6</v>
      </c>
      <c r="Z33" s="239"/>
      <c r="AA33" s="239">
        <f t="shared" si="6"/>
        <v>223</v>
      </c>
      <c r="AB33" s="239"/>
      <c r="AC33" s="239"/>
      <c r="AD33" s="238"/>
      <c r="AE33" s="239"/>
      <c r="AF33" s="238"/>
      <c r="AG33" s="238"/>
      <c r="AH33" s="1"/>
    </row>
    <row r="34" spans="1:34" x14ac:dyDescent="0.2">
      <c r="A34" s="1" t="s">
        <v>74</v>
      </c>
      <c r="B34" s="1" t="s">
        <v>86</v>
      </c>
      <c r="C34" s="8">
        <v>323</v>
      </c>
      <c r="D34" s="1" t="s">
        <v>4</v>
      </c>
      <c r="E34" s="1" t="s">
        <v>7</v>
      </c>
      <c r="F34" s="1" t="s">
        <v>49</v>
      </c>
      <c r="G34" s="1" t="s">
        <v>11</v>
      </c>
      <c r="H34" s="38">
        <v>20</v>
      </c>
      <c r="I34" s="3">
        <v>43656</v>
      </c>
      <c r="J34" s="4">
        <v>3</v>
      </c>
      <c r="K34" s="3">
        <v>43661</v>
      </c>
      <c r="L34" s="4">
        <v>2</v>
      </c>
      <c r="M34" s="1">
        <f>50-5+100-1-50</f>
        <v>94</v>
      </c>
      <c r="N34" s="1">
        <v>110</v>
      </c>
      <c r="O34" s="5">
        <f t="shared" si="0"/>
        <v>10340</v>
      </c>
      <c r="P34" s="39">
        <f t="shared" si="19"/>
        <v>10.34</v>
      </c>
      <c r="Q34" s="40">
        <f t="shared" si="20"/>
        <v>5.1699999999999999E-4</v>
      </c>
      <c r="R34" s="7">
        <f t="shared" si="18"/>
        <v>4.5454545454545459</v>
      </c>
      <c r="S34" s="7">
        <f t="shared" si="21"/>
        <v>550</v>
      </c>
      <c r="T34" s="5">
        <v>50</v>
      </c>
      <c r="U34" s="7">
        <f t="shared" si="22"/>
        <v>5.5</v>
      </c>
      <c r="V34" s="5">
        <v>2</v>
      </c>
      <c r="W34" s="238">
        <v>43682</v>
      </c>
      <c r="X34" s="238">
        <v>43683</v>
      </c>
      <c r="Y34" s="239">
        <v>102</v>
      </c>
      <c r="Z34" s="239">
        <f>6390/1000*6</f>
        <v>38.339999999999996</v>
      </c>
      <c r="AA34" s="239">
        <f t="shared" si="6"/>
        <v>510</v>
      </c>
      <c r="AB34" s="39">
        <f>500/Y34</f>
        <v>4.9019607843137258</v>
      </c>
      <c r="AC34" s="39">
        <f>5-AB34</f>
        <v>9.8039215686274161E-2</v>
      </c>
      <c r="AD34" s="238"/>
      <c r="AE34" s="239"/>
      <c r="AF34" s="238">
        <v>43697</v>
      </c>
      <c r="AG34" s="238">
        <v>43698</v>
      </c>
      <c r="AH34" s="1"/>
    </row>
    <row r="35" spans="1:34" x14ac:dyDescent="0.2">
      <c r="A35" s="1" t="s">
        <v>74</v>
      </c>
      <c r="B35" s="1" t="s">
        <v>86</v>
      </c>
      <c r="C35" s="8">
        <v>324</v>
      </c>
      <c r="D35" s="1" t="s">
        <v>4</v>
      </c>
      <c r="E35" s="1" t="s">
        <v>7</v>
      </c>
      <c r="F35" s="1" t="s">
        <v>50</v>
      </c>
      <c r="G35" s="1" t="s">
        <v>11</v>
      </c>
      <c r="H35" s="38">
        <v>40</v>
      </c>
      <c r="I35" s="3">
        <v>43656</v>
      </c>
      <c r="J35" s="4">
        <v>3</v>
      </c>
      <c r="K35" s="3">
        <v>43661</v>
      </c>
      <c r="L35" s="4">
        <v>2</v>
      </c>
      <c r="M35" s="1">
        <f>150-1-50</f>
        <v>99</v>
      </c>
      <c r="N35" s="1">
        <v>164</v>
      </c>
      <c r="O35" s="5">
        <f t="shared" si="0"/>
        <v>16236</v>
      </c>
      <c r="P35" s="39">
        <f t="shared" si="19"/>
        <v>16.236000000000001</v>
      </c>
      <c r="Q35" s="40">
        <f t="shared" si="20"/>
        <v>4.059E-4</v>
      </c>
      <c r="R35" s="7">
        <f t="shared" si="18"/>
        <v>3.0487804878048781</v>
      </c>
      <c r="S35" s="7">
        <f t="shared" si="21"/>
        <v>820</v>
      </c>
      <c r="T35" s="5">
        <v>50</v>
      </c>
      <c r="U35" s="7">
        <f t="shared" si="22"/>
        <v>8.1999999999999993</v>
      </c>
      <c r="V35" s="5">
        <v>4</v>
      </c>
      <c r="W35" s="238">
        <v>43682</v>
      </c>
      <c r="X35" s="238">
        <v>43683</v>
      </c>
      <c r="Y35" s="239">
        <v>172</v>
      </c>
      <c r="Z35" s="239"/>
      <c r="AA35" s="239">
        <f t="shared" si="6"/>
        <v>860</v>
      </c>
      <c r="AB35" s="239"/>
      <c r="AC35" s="239"/>
      <c r="AD35" s="238"/>
      <c r="AE35" s="238">
        <v>43692</v>
      </c>
      <c r="AF35" s="238"/>
      <c r="AG35" s="238"/>
      <c r="AH35" s="1"/>
    </row>
    <row r="36" spans="1:34" x14ac:dyDescent="0.2">
      <c r="A36" s="1" t="s">
        <v>74</v>
      </c>
      <c r="B36" s="1" t="s">
        <v>86</v>
      </c>
      <c r="C36" s="8">
        <v>325</v>
      </c>
      <c r="D36" s="1" t="s">
        <v>4</v>
      </c>
      <c r="E36" s="1" t="s">
        <v>7</v>
      </c>
      <c r="F36" s="1" t="s">
        <v>51</v>
      </c>
      <c r="G36" s="1" t="s">
        <v>11</v>
      </c>
      <c r="H36" s="38">
        <v>70</v>
      </c>
      <c r="I36" s="3">
        <v>43656</v>
      </c>
      <c r="J36" s="4">
        <v>5</v>
      </c>
      <c r="K36" s="3">
        <v>43661</v>
      </c>
      <c r="L36" s="4">
        <v>2</v>
      </c>
      <c r="M36" s="1">
        <f>150-1+50-50</f>
        <v>149</v>
      </c>
      <c r="N36" s="1">
        <v>200</v>
      </c>
      <c r="O36" s="5">
        <f t="shared" si="0"/>
        <v>29800</v>
      </c>
      <c r="P36" s="39">
        <f t="shared" si="19"/>
        <v>29.8</v>
      </c>
      <c r="Q36" s="40">
        <f t="shared" si="20"/>
        <v>4.2571428571428572E-4</v>
      </c>
      <c r="R36" s="7">
        <f t="shared" si="18"/>
        <v>2.5</v>
      </c>
      <c r="S36" s="7">
        <f t="shared" si="21"/>
        <v>1000</v>
      </c>
      <c r="T36" s="5">
        <v>50</v>
      </c>
      <c r="U36" s="7">
        <f t="shared" si="22"/>
        <v>10</v>
      </c>
      <c r="V36" s="5">
        <v>4</v>
      </c>
      <c r="W36" s="238">
        <v>43682</v>
      </c>
      <c r="X36" s="238">
        <v>43683</v>
      </c>
      <c r="Y36" s="239">
        <v>180</v>
      </c>
      <c r="Z36" s="239"/>
      <c r="AA36" s="239">
        <f t="shared" si="6"/>
        <v>900</v>
      </c>
      <c r="AB36" s="239"/>
      <c r="AC36" s="239"/>
      <c r="AD36" s="238">
        <v>43692</v>
      </c>
      <c r="AE36" s="238">
        <v>43692</v>
      </c>
      <c r="AF36" s="238"/>
      <c r="AG36" s="238"/>
      <c r="AH36" s="1" t="s">
        <v>298</v>
      </c>
    </row>
    <row r="37" spans="1:34" x14ac:dyDescent="0.2">
      <c r="A37" s="1" t="s">
        <v>74</v>
      </c>
      <c r="B37" s="1" t="s">
        <v>86</v>
      </c>
      <c r="C37" s="8">
        <v>326</v>
      </c>
      <c r="D37" s="1" t="s">
        <v>4</v>
      </c>
      <c r="E37" s="1" t="s">
        <v>7</v>
      </c>
      <c r="F37" s="1" t="s">
        <v>52</v>
      </c>
      <c r="G37" s="1" t="s">
        <v>11</v>
      </c>
      <c r="H37" s="38">
        <v>70</v>
      </c>
      <c r="I37" s="3">
        <v>43658</v>
      </c>
      <c r="J37" s="4">
        <v>5</v>
      </c>
      <c r="K37" s="3">
        <v>43662</v>
      </c>
      <c r="L37" s="4">
        <v>3</v>
      </c>
      <c r="M37" s="1">
        <f>150-1-50</f>
        <v>99</v>
      </c>
      <c r="N37" s="1">
        <v>168</v>
      </c>
      <c r="O37" s="5">
        <f t="shared" si="0"/>
        <v>16632</v>
      </c>
      <c r="P37" s="39">
        <f t="shared" si="19"/>
        <v>16.632000000000001</v>
      </c>
      <c r="Q37" s="40">
        <f t="shared" si="20"/>
        <v>2.376E-4</v>
      </c>
      <c r="R37" s="7">
        <f t="shared" si="18"/>
        <v>2.9761904761904763</v>
      </c>
      <c r="S37" s="7">
        <f t="shared" si="21"/>
        <v>840</v>
      </c>
      <c r="T37" s="5">
        <v>50</v>
      </c>
      <c r="U37" s="7">
        <f t="shared" si="22"/>
        <v>8.4</v>
      </c>
      <c r="V37" s="5">
        <v>2</v>
      </c>
      <c r="W37" s="238">
        <v>43682</v>
      </c>
      <c r="X37" s="238">
        <v>43683</v>
      </c>
      <c r="Y37" s="239">
        <v>130</v>
      </c>
      <c r="Z37" s="239"/>
      <c r="AA37" s="239">
        <f t="shared" si="6"/>
        <v>650</v>
      </c>
      <c r="AB37" s="239"/>
      <c r="AC37" s="239"/>
      <c r="AD37" s="238"/>
      <c r="AE37" s="239"/>
      <c r="AF37" s="238"/>
      <c r="AG37" s="238"/>
      <c r="AH37" s="1"/>
    </row>
    <row r="38" spans="1:34" x14ac:dyDescent="0.2">
      <c r="A38" s="1" t="s">
        <v>74</v>
      </c>
      <c r="B38" s="1" t="s">
        <v>86</v>
      </c>
      <c r="C38" s="8">
        <v>327</v>
      </c>
      <c r="D38" s="1" t="s">
        <v>4</v>
      </c>
      <c r="E38" s="1" t="s">
        <v>7</v>
      </c>
      <c r="F38" s="1" t="s">
        <v>53</v>
      </c>
      <c r="G38" s="1" t="s">
        <v>11</v>
      </c>
      <c r="H38" s="38">
        <v>40</v>
      </c>
      <c r="I38" s="3">
        <v>43658</v>
      </c>
      <c r="J38" s="4">
        <v>6</v>
      </c>
      <c r="K38" s="3">
        <v>43662</v>
      </c>
      <c r="L38" s="4">
        <v>3</v>
      </c>
      <c r="M38" s="1">
        <f>150-1-50</f>
        <v>99</v>
      </c>
      <c r="N38" s="1">
        <v>94.6</v>
      </c>
      <c r="O38" s="5">
        <f t="shared" si="0"/>
        <v>9365.4</v>
      </c>
      <c r="P38" s="39">
        <f t="shared" si="19"/>
        <v>9.3653999999999993</v>
      </c>
      <c r="Q38" s="40">
        <f t="shared" si="20"/>
        <v>2.3413499999999998E-4</v>
      </c>
      <c r="R38" s="7">
        <f t="shared" si="18"/>
        <v>5.2854122621564485</v>
      </c>
      <c r="S38" s="7">
        <f t="shared" si="21"/>
        <v>473</v>
      </c>
      <c r="T38" s="5">
        <v>50</v>
      </c>
      <c r="U38" s="7">
        <f t="shared" si="22"/>
        <v>4.7300000000000004</v>
      </c>
      <c r="V38" s="5">
        <v>2</v>
      </c>
      <c r="W38" s="238">
        <v>43682</v>
      </c>
      <c r="X38" s="238">
        <v>43683</v>
      </c>
      <c r="Y38" s="239">
        <v>85.2</v>
      </c>
      <c r="Z38" s="239"/>
      <c r="AA38" s="239">
        <f t="shared" si="6"/>
        <v>426</v>
      </c>
      <c r="AB38" s="239"/>
      <c r="AC38" s="239"/>
      <c r="AD38" s="238"/>
      <c r="AE38" s="239"/>
      <c r="AF38" s="238"/>
      <c r="AG38" s="238"/>
      <c r="AH38" s="1"/>
    </row>
    <row r="39" spans="1:34" x14ac:dyDescent="0.2">
      <c r="A39" s="1" t="s">
        <v>74</v>
      </c>
      <c r="B39" s="1" t="s">
        <v>86</v>
      </c>
      <c r="C39" s="8">
        <v>328</v>
      </c>
      <c r="D39" s="1" t="s">
        <v>4</v>
      </c>
      <c r="E39" s="1" t="s">
        <v>7</v>
      </c>
      <c r="F39" s="1" t="s">
        <v>54</v>
      </c>
      <c r="G39" s="1" t="s">
        <v>11</v>
      </c>
      <c r="H39" s="38">
        <v>50</v>
      </c>
      <c r="I39" s="3">
        <v>43658</v>
      </c>
      <c r="J39" s="4">
        <v>6</v>
      </c>
      <c r="K39" s="3">
        <v>43662</v>
      </c>
      <c r="L39" s="4">
        <v>4</v>
      </c>
      <c r="M39" s="1">
        <f>150-1-50</f>
        <v>99</v>
      </c>
      <c r="N39" s="1">
        <v>176</v>
      </c>
      <c r="O39" s="5">
        <f t="shared" si="0"/>
        <v>17424</v>
      </c>
      <c r="P39" s="39">
        <f t="shared" si="19"/>
        <v>17.423999999999999</v>
      </c>
      <c r="Q39" s="40">
        <f t="shared" si="20"/>
        <v>3.4847999999999997E-4</v>
      </c>
      <c r="R39" s="7">
        <f t="shared" si="18"/>
        <v>2.8409090909090908</v>
      </c>
      <c r="S39" s="7">
        <f t="shared" si="21"/>
        <v>880</v>
      </c>
      <c r="T39" s="5">
        <v>50</v>
      </c>
      <c r="U39" s="7">
        <f t="shared" si="22"/>
        <v>8.8000000000000007</v>
      </c>
      <c r="V39" s="5">
        <v>2</v>
      </c>
      <c r="W39" s="238">
        <v>43682</v>
      </c>
      <c r="X39" s="238">
        <v>43683</v>
      </c>
      <c r="Y39" s="239">
        <v>156</v>
      </c>
      <c r="Z39" s="239"/>
      <c r="AA39" s="239">
        <f t="shared" si="6"/>
        <v>780</v>
      </c>
      <c r="AB39" s="239"/>
      <c r="AC39" s="239"/>
      <c r="AD39" s="238"/>
      <c r="AE39" s="239"/>
      <c r="AF39" s="238"/>
      <c r="AG39" s="238"/>
      <c r="AH39" s="1"/>
    </row>
    <row r="40" spans="1:34" x14ac:dyDescent="0.2">
      <c r="A40" s="1" t="s">
        <v>74</v>
      </c>
      <c r="B40" s="1" t="s">
        <v>86</v>
      </c>
      <c r="C40" s="8">
        <v>329</v>
      </c>
      <c r="D40" s="1" t="s">
        <v>4</v>
      </c>
      <c r="E40" s="1" t="s">
        <v>7</v>
      </c>
      <c r="F40" s="1" t="s">
        <v>55</v>
      </c>
      <c r="G40" s="1" t="s">
        <v>11</v>
      </c>
      <c r="H40" s="38">
        <v>70</v>
      </c>
      <c r="I40" s="3">
        <v>43658</v>
      </c>
      <c r="J40" s="4">
        <v>7</v>
      </c>
      <c r="K40" s="3">
        <v>43662</v>
      </c>
      <c r="L40" s="4">
        <v>4</v>
      </c>
      <c r="M40" s="1">
        <f>150-1-50</f>
        <v>99</v>
      </c>
      <c r="N40" s="1">
        <v>150</v>
      </c>
      <c r="O40" s="5">
        <f t="shared" si="0"/>
        <v>14850</v>
      </c>
      <c r="P40" s="39">
        <f>O40/1000</f>
        <v>14.85</v>
      </c>
      <c r="Q40" s="40">
        <f>P40/1000/H40</f>
        <v>2.1214285714285714E-4</v>
      </c>
      <c r="R40" s="7">
        <f t="shared" si="18"/>
        <v>3.3333333333333335</v>
      </c>
      <c r="S40" s="7">
        <f>5*N40</f>
        <v>750</v>
      </c>
      <c r="T40" s="5">
        <v>50</v>
      </c>
      <c r="U40" s="7">
        <f>T40*N40/1000</f>
        <v>7.5</v>
      </c>
      <c r="V40" s="5">
        <v>5</v>
      </c>
      <c r="W40" s="238">
        <v>43683</v>
      </c>
      <c r="X40" s="238">
        <v>43683</v>
      </c>
      <c r="Y40" s="239">
        <v>162</v>
      </c>
      <c r="Z40" s="239"/>
      <c r="AA40" s="239">
        <f t="shared" si="6"/>
        <v>810</v>
      </c>
      <c r="AB40" s="239"/>
      <c r="AC40" s="239"/>
      <c r="AD40" s="238">
        <v>43692</v>
      </c>
      <c r="AE40" s="238">
        <v>43692</v>
      </c>
      <c r="AF40" s="238"/>
      <c r="AG40" s="238"/>
      <c r="AH40" s="1"/>
    </row>
    <row r="41" spans="1:34" x14ac:dyDescent="0.2">
      <c r="A41" s="1"/>
      <c r="B41" s="1"/>
      <c r="C41" s="8"/>
      <c r="D41" s="1"/>
      <c r="E41" s="1"/>
      <c r="F41" s="1"/>
      <c r="G41" s="1"/>
      <c r="H41" s="2"/>
      <c r="I41" s="1"/>
      <c r="J41" s="4"/>
      <c r="K41" s="1"/>
      <c r="L41" s="4"/>
      <c r="M41" s="1"/>
      <c r="N41" s="1"/>
      <c r="O41" s="5"/>
      <c r="P41" s="5"/>
      <c r="Q41" s="5"/>
      <c r="R41" s="7"/>
      <c r="S41" s="7"/>
      <c r="T41" s="5"/>
      <c r="U41" s="7"/>
      <c r="V41" s="5"/>
      <c r="W41" s="7"/>
      <c r="X41" s="7"/>
      <c r="Y41" s="239"/>
      <c r="Z41" s="239"/>
      <c r="AA41" s="239">
        <f t="shared" si="6"/>
        <v>0</v>
      </c>
      <c r="AB41" s="239"/>
      <c r="AC41" s="239"/>
      <c r="AD41" s="238"/>
      <c r="AE41" s="239"/>
      <c r="AF41" s="238"/>
      <c r="AG41" s="238"/>
      <c r="AH41" s="1"/>
    </row>
    <row r="42" spans="1:34" s="230" customFormat="1" x14ac:dyDescent="0.2">
      <c r="A42" s="198" t="s">
        <v>75</v>
      </c>
      <c r="B42" s="198" t="s">
        <v>85</v>
      </c>
      <c r="C42" s="199">
        <v>331</v>
      </c>
      <c r="D42" s="198" t="s">
        <v>5</v>
      </c>
      <c r="E42" s="198" t="s">
        <v>7</v>
      </c>
      <c r="F42" s="198" t="s">
        <v>56</v>
      </c>
      <c r="G42" s="198" t="s">
        <v>11</v>
      </c>
      <c r="H42" s="200">
        <v>40</v>
      </c>
      <c r="I42" s="201">
        <v>43656</v>
      </c>
      <c r="J42" s="202">
        <v>2</v>
      </c>
      <c r="K42" s="201">
        <v>43658</v>
      </c>
      <c r="L42" s="202">
        <v>1</v>
      </c>
      <c r="M42" s="198">
        <f>50-5+100-1-50</f>
        <v>94</v>
      </c>
      <c r="N42" s="198">
        <v>56.4</v>
      </c>
      <c r="O42" s="5">
        <f t="shared" si="0"/>
        <v>5301.5999999999995</v>
      </c>
      <c r="P42" s="39">
        <f>O42/1000</f>
        <v>5.3015999999999996</v>
      </c>
      <c r="Q42" s="40">
        <f>(P42/1000)/H42</f>
        <v>1.3254E-4</v>
      </c>
      <c r="R42" s="7">
        <f t="shared" ref="R42:R50" si="23">500/N42</f>
        <v>8.8652482269503547</v>
      </c>
      <c r="S42" s="7">
        <f>5*N42</f>
        <v>282</v>
      </c>
      <c r="T42" s="5">
        <v>50</v>
      </c>
      <c r="U42" s="7">
        <f>T42*N42/1000</f>
        <v>2.82</v>
      </c>
      <c r="V42" s="5">
        <v>2</v>
      </c>
      <c r="W42" s="238">
        <v>43682</v>
      </c>
      <c r="X42" s="238">
        <v>43683</v>
      </c>
      <c r="Y42" s="239">
        <v>42.2</v>
      </c>
      <c r="Z42" s="239"/>
      <c r="AA42" s="239">
        <f t="shared" si="6"/>
        <v>211</v>
      </c>
      <c r="AB42" s="239"/>
      <c r="AC42" s="239"/>
      <c r="AD42" s="238"/>
      <c r="AE42" s="239"/>
      <c r="AF42" s="238"/>
      <c r="AG42" s="238"/>
      <c r="AH42" s="198"/>
    </row>
    <row r="43" spans="1:34" x14ac:dyDescent="0.2">
      <c r="A43" s="1" t="s">
        <v>75</v>
      </c>
      <c r="B43" s="1" t="s">
        <v>85</v>
      </c>
      <c r="C43" s="8">
        <v>332</v>
      </c>
      <c r="D43" s="1" t="s">
        <v>5</v>
      </c>
      <c r="E43" s="1" t="s">
        <v>7</v>
      </c>
      <c r="F43" s="1" t="s">
        <v>57</v>
      </c>
      <c r="G43" s="1" t="s">
        <v>11</v>
      </c>
      <c r="H43" s="38">
        <v>10</v>
      </c>
      <c r="I43" s="3">
        <v>43656</v>
      </c>
      <c r="J43" s="4">
        <v>2</v>
      </c>
      <c r="K43" s="3">
        <v>43661</v>
      </c>
      <c r="L43" s="4">
        <v>2</v>
      </c>
      <c r="M43" s="1">
        <f>50-5+100-1-50</f>
        <v>94</v>
      </c>
      <c r="N43" s="1">
        <v>63.4</v>
      </c>
      <c r="O43" s="5">
        <f t="shared" si="0"/>
        <v>5959.5999999999995</v>
      </c>
      <c r="P43" s="39">
        <f t="shared" ref="P43:P49" si="24">O43/1000</f>
        <v>5.9595999999999991</v>
      </c>
      <c r="Q43" s="40">
        <f t="shared" ref="Q43:Q49" si="25">P43/1000/H43</f>
        <v>5.9595999999999987E-4</v>
      </c>
      <c r="R43" s="7">
        <f t="shared" si="23"/>
        <v>7.8864353312302837</v>
      </c>
      <c r="S43" s="7">
        <f t="shared" ref="S43:S49" si="26">5*N43</f>
        <v>317</v>
      </c>
      <c r="T43" s="5">
        <v>50</v>
      </c>
      <c r="U43" s="7">
        <f t="shared" ref="U43:U49" si="27">T43*N43/1000</f>
        <v>3.17</v>
      </c>
      <c r="V43" s="5">
        <v>2</v>
      </c>
      <c r="W43" s="238">
        <v>43682</v>
      </c>
      <c r="X43" s="238">
        <v>43683</v>
      </c>
      <c r="Y43" s="239">
        <v>65.8</v>
      </c>
      <c r="Z43" s="239"/>
      <c r="AA43" s="239">
        <f t="shared" si="6"/>
        <v>329</v>
      </c>
      <c r="AB43" s="239"/>
      <c r="AC43" s="239"/>
      <c r="AD43" s="238"/>
      <c r="AE43" s="239"/>
      <c r="AF43" s="238"/>
      <c r="AG43" s="238"/>
      <c r="AH43" s="1"/>
    </row>
    <row r="44" spans="1:34" x14ac:dyDescent="0.2">
      <c r="A44" s="1" t="s">
        <v>75</v>
      </c>
      <c r="B44" s="1" t="s">
        <v>85</v>
      </c>
      <c r="C44" s="8">
        <v>333</v>
      </c>
      <c r="D44" s="1" t="s">
        <v>5</v>
      </c>
      <c r="E44" s="1" t="s">
        <v>7</v>
      </c>
      <c r="F44" s="1" t="s">
        <v>58</v>
      </c>
      <c r="G44" s="1" t="s">
        <v>11</v>
      </c>
      <c r="H44" s="38">
        <v>40</v>
      </c>
      <c r="I44" s="3">
        <v>43656</v>
      </c>
      <c r="J44" s="4">
        <v>3</v>
      </c>
      <c r="K44" s="3">
        <v>43661</v>
      </c>
      <c r="L44" s="4">
        <v>2</v>
      </c>
      <c r="M44" s="1">
        <f>50-5+100-1-50</f>
        <v>94</v>
      </c>
      <c r="N44" s="1">
        <v>82.8</v>
      </c>
      <c r="O44" s="5">
        <f t="shared" si="0"/>
        <v>7783.2</v>
      </c>
      <c r="P44" s="39">
        <f t="shared" si="24"/>
        <v>7.7831999999999999</v>
      </c>
      <c r="Q44" s="40">
        <f t="shared" si="25"/>
        <v>1.9458E-4</v>
      </c>
      <c r="R44" s="7">
        <f t="shared" si="23"/>
        <v>6.0386473429951693</v>
      </c>
      <c r="S44" s="7">
        <f t="shared" si="26"/>
        <v>414</v>
      </c>
      <c r="T44" s="5">
        <v>50</v>
      </c>
      <c r="U44" s="7">
        <f t="shared" si="27"/>
        <v>4.1399999999999997</v>
      </c>
      <c r="V44" s="5">
        <v>2</v>
      </c>
      <c r="W44" s="238">
        <v>43682</v>
      </c>
      <c r="X44" s="238">
        <v>43683</v>
      </c>
      <c r="Y44" s="239">
        <v>78.599999999999994</v>
      </c>
      <c r="Z44" s="239"/>
      <c r="AA44" s="239">
        <f t="shared" si="6"/>
        <v>393</v>
      </c>
      <c r="AB44" s="239"/>
      <c r="AC44" s="239"/>
      <c r="AD44" s="238"/>
      <c r="AE44" s="239"/>
      <c r="AF44" s="238"/>
      <c r="AG44" s="238"/>
      <c r="AH44" s="1"/>
    </row>
    <row r="45" spans="1:34" x14ac:dyDescent="0.2">
      <c r="A45" s="1" t="s">
        <v>75</v>
      </c>
      <c r="B45" s="1" t="s">
        <v>85</v>
      </c>
      <c r="C45" s="8">
        <v>334</v>
      </c>
      <c r="D45" s="1" t="s">
        <v>5</v>
      </c>
      <c r="E45" s="1" t="s">
        <v>7</v>
      </c>
      <c r="F45" s="1" t="s">
        <v>59</v>
      </c>
      <c r="G45" s="1" t="s">
        <v>11</v>
      </c>
      <c r="H45" s="38">
        <v>30</v>
      </c>
      <c r="I45" s="3">
        <v>43656</v>
      </c>
      <c r="J45" s="4">
        <v>3</v>
      </c>
      <c r="K45" s="3">
        <v>43661</v>
      </c>
      <c r="L45" s="4">
        <v>2</v>
      </c>
      <c r="M45" s="1">
        <f>150-1-50</f>
        <v>99</v>
      </c>
      <c r="N45" s="1">
        <v>66.2</v>
      </c>
      <c r="O45" s="5">
        <f t="shared" si="0"/>
        <v>6553.8</v>
      </c>
      <c r="P45" s="39">
        <f t="shared" si="24"/>
        <v>6.5537999999999998</v>
      </c>
      <c r="Q45" s="40">
        <f t="shared" si="25"/>
        <v>2.1846000000000002E-4</v>
      </c>
      <c r="R45" s="7">
        <f t="shared" si="23"/>
        <v>7.5528700906344408</v>
      </c>
      <c r="S45" s="7">
        <f t="shared" si="26"/>
        <v>331</v>
      </c>
      <c r="T45" s="5">
        <v>50</v>
      </c>
      <c r="U45" s="7">
        <f t="shared" si="27"/>
        <v>3.31</v>
      </c>
      <c r="V45" s="5">
        <v>4</v>
      </c>
      <c r="W45" s="238">
        <v>43682</v>
      </c>
      <c r="X45" s="238">
        <v>43683</v>
      </c>
      <c r="Y45" s="239">
        <v>64.8</v>
      </c>
      <c r="Z45" s="239"/>
      <c r="AA45" s="239">
        <f t="shared" si="6"/>
        <v>324</v>
      </c>
      <c r="AB45" s="239"/>
      <c r="AC45" s="239"/>
      <c r="AD45" s="238"/>
      <c r="AE45" s="238">
        <v>43692</v>
      </c>
      <c r="AF45" s="238"/>
      <c r="AG45" s="238"/>
      <c r="AH45" s="1"/>
    </row>
    <row r="46" spans="1:34" x14ac:dyDescent="0.2">
      <c r="A46" s="1" t="s">
        <v>75</v>
      </c>
      <c r="B46" s="1" t="s">
        <v>85</v>
      </c>
      <c r="C46" s="8">
        <v>335</v>
      </c>
      <c r="D46" s="1" t="s">
        <v>5</v>
      </c>
      <c r="E46" s="1" t="s">
        <v>7</v>
      </c>
      <c r="F46" s="1" t="s">
        <v>60</v>
      </c>
      <c r="G46" s="1" t="s">
        <v>11</v>
      </c>
      <c r="H46" s="38">
        <v>90</v>
      </c>
      <c r="I46" s="3">
        <v>43656</v>
      </c>
      <c r="J46" s="4">
        <v>4</v>
      </c>
      <c r="K46" s="3">
        <v>43661</v>
      </c>
      <c r="L46" s="4">
        <v>2</v>
      </c>
      <c r="M46" s="1">
        <f>150-1+50-50</f>
        <v>149</v>
      </c>
      <c r="N46" s="1" t="s">
        <v>81</v>
      </c>
      <c r="O46" s="6" t="s">
        <v>82</v>
      </c>
      <c r="P46" s="39" t="e">
        <f t="shared" si="24"/>
        <v>#VALUE!</v>
      </c>
      <c r="Q46" s="40" t="e">
        <f t="shared" si="25"/>
        <v>#VALUE!</v>
      </c>
      <c r="R46" s="7" t="e">
        <f t="shared" si="23"/>
        <v>#VALUE!</v>
      </c>
      <c r="S46" s="7" t="e">
        <f t="shared" si="26"/>
        <v>#VALUE!</v>
      </c>
      <c r="T46" s="5">
        <v>50</v>
      </c>
      <c r="U46" s="7" t="e">
        <f t="shared" si="27"/>
        <v>#VALUE!</v>
      </c>
      <c r="V46" s="5">
        <v>4</v>
      </c>
      <c r="W46" s="238">
        <v>43682</v>
      </c>
      <c r="X46" s="238">
        <v>43683</v>
      </c>
      <c r="Y46" s="239">
        <v>180</v>
      </c>
      <c r="Z46" s="239"/>
      <c r="AA46" s="239">
        <f t="shared" si="6"/>
        <v>900</v>
      </c>
      <c r="AB46" s="239"/>
      <c r="AC46" s="239"/>
      <c r="AD46" s="238"/>
      <c r="AE46" s="238">
        <v>43692</v>
      </c>
      <c r="AF46" s="238"/>
      <c r="AG46" s="238"/>
      <c r="AH46" s="1" t="s">
        <v>445</v>
      </c>
    </row>
    <row r="47" spans="1:34" x14ac:dyDescent="0.2">
      <c r="A47" s="1" t="s">
        <v>75</v>
      </c>
      <c r="B47" s="1" t="s">
        <v>85</v>
      </c>
      <c r="C47" s="8">
        <v>336</v>
      </c>
      <c r="D47" s="1" t="s">
        <v>5</v>
      </c>
      <c r="E47" s="1" t="s">
        <v>7</v>
      </c>
      <c r="F47" s="1" t="s">
        <v>61</v>
      </c>
      <c r="G47" s="1" t="s">
        <v>11</v>
      </c>
      <c r="H47" s="38">
        <v>90</v>
      </c>
      <c r="I47" s="3">
        <v>43658</v>
      </c>
      <c r="J47" s="4">
        <v>4</v>
      </c>
      <c r="K47" s="3">
        <v>43662</v>
      </c>
      <c r="L47" s="4">
        <v>3</v>
      </c>
      <c r="M47" s="1">
        <f>150-1-50</f>
        <v>99</v>
      </c>
      <c r="N47" s="1">
        <v>130</v>
      </c>
      <c r="O47" s="5">
        <f t="shared" si="0"/>
        <v>12870</v>
      </c>
      <c r="P47" s="39">
        <f t="shared" si="24"/>
        <v>12.87</v>
      </c>
      <c r="Q47" s="40">
        <f t="shared" si="25"/>
        <v>1.4300000000000001E-4</v>
      </c>
      <c r="R47" s="7">
        <f t="shared" si="23"/>
        <v>3.8461538461538463</v>
      </c>
      <c r="S47" s="7">
        <f t="shared" si="26"/>
        <v>650</v>
      </c>
      <c r="T47" s="5">
        <v>50</v>
      </c>
      <c r="U47" s="7">
        <f t="shared" si="27"/>
        <v>6.5</v>
      </c>
      <c r="V47" s="5">
        <v>2</v>
      </c>
      <c r="W47" s="238">
        <v>43682</v>
      </c>
      <c r="X47" s="238">
        <v>43683</v>
      </c>
      <c r="Y47" s="239">
        <v>94.8</v>
      </c>
      <c r="Z47" s="239"/>
      <c r="AA47" s="239">
        <f t="shared" si="6"/>
        <v>474</v>
      </c>
      <c r="AB47" s="239"/>
      <c r="AC47" s="239"/>
      <c r="AD47" s="238"/>
      <c r="AE47" s="239"/>
      <c r="AF47" s="238"/>
      <c r="AG47" s="238"/>
      <c r="AH47" s="1"/>
    </row>
    <row r="48" spans="1:34" x14ac:dyDescent="0.2">
      <c r="A48" s="1" t="s">
        <v>75</v>
      </c>
      <c r="B48" s="1" t="s">
        <v>85</v>
      </c>
      <c r="C48" s="8">
        <v>337</v>
      </c>
      <c r="D48" s="1" t="s">
        <v>5</v>
      </c>
      <c r="E48" s="1" t="s">
        <v>7</v>
      </c>
      <c r="F48" s="1" t="s">
        <v>62</v>
      </c>
      <c r="G48" s="1" t="s">
        <v>11</v>
      </c>
      <c r="H48" s="38">
        <v>100</v>
      </c>
      <c r="I48" s="3">
        <v>43658</v>
      </c>
      <c r="J48" s="4">
        <v>6</v>
      </c>
      <c r="K48" s="3">
        <v>43662</v>
      </c>
      <c r="L48" s="4">
        <v>3</v>
      </c>
      <c r="M48" s="1">
        <f>150-1-50</f>
        <v>99</v>
      </c>
      <c r="N48" s="1">
        <v>198</v>
      </c>
      <c r="O48" s="5">
        <f t="shared" si="0"/>
        <v>19602</v>
      </c>
      <c r="P48" s="39">
        <f t="shared" si="24"/>
        <v>19.602</v>
      </c>
      <c r="Q48" s="40">
        <f t="shared" si="25"/>
        <v>1.9602000000000001E-4</v>
      </c>
      <c r="R48" s="7">
        <f t="shared" si="23"/>
        <v>2.5252525252525251</v>
      </c>
      <c r="S48" s="7">
        <f t="shared" si="26"/>
        <v>990</v>
      </c>
      <c r="T48" s="5">
        <v>50</v>
      </c>
      <c r="U48" s="7">
        <f t="shared" si="27"/>
        <v>9.9</v>
      </c>
      <c r="V48" s="5">
        <v>2</v>
      </c>
      <c r="W48" s="238">
        <v>43682</v>
      </c>
      <c r="X48" s="238">
        <v>43683</v>
      </c>
      <c r="Y48" s="239">
        <v>194</v>
      </c>
      <c r="Z48" s="239"/>
      <c r="AA48" s="239">
        <f t="shared" si="6"/>
        <v>970</v>
      </c>
      <c r="AB48" s="239"/>
      <c r="AC48" s="239"/>
      <c r="AD48" s="238">
        <v>43692</v>
      </c>
      <c r="AE48" s="239"/>
      <c r="AF48" s="238"/>
      <c r="AG48" s="238"/>
      <c r="AH48" s="1"/>
    </row>
    <row r="49" spans="1:34" x14ac:dyDescent="0.2">
      <c r="A49" s="1" t="s">
        <v>75</v>
      </c>
      <c r="B49" s="1" t="s">
        <v>85</v>
      </c>
      <c r="C49" s="8">
        <v>338</v>
      </c>
      <c r="D49" s="1" t="s">
        <v>5</v>
      </c>
      <c r="E49" s="1" t="s">
        <v>7</v>
      </c>
      <c r="F49" s="1" t="s">
        <v>63</v>
      </c>
      <c r="G49" s="1" t="s">
        <v>11</v>
      </c>
      <c r="H49" s="38">
        <v>20</v>
      </c>
      <c r="I49" s="3">
        <v>43658</v>
      </c>
      <c r="J49" s="4">
        <v>6</v>
      </c>
      <c r="K49" s="3">
        <v>43662</v>
      </c>
      <c r="L49" s="4">
        <v>4</v>
      </c>
      <c r="M49" s="1">
        <f>150-1-50</f>
        <v>99</v>
      </c>
      <c r="N49" s="1">
        <v>83.8</v>
      </c>
      <c r="O49" s="5">
        <f t="shared" si="0"/>
        <v>8296.1999999999989</v>
      </c>
      <c r="P49" s="39">
        <f t="shared" si="24"/>
        <v>8.2961999999999989</v>
      </c>
      <c r="Q49" s="40">
        <f t="shared" si="25"/>
        <v>4.1480999999999994E-4</v>
      </c>
      <c r="R49" s="7">
        <f t="shared" si="23"/>
        <v>5.9665871121718377</v>
      </c>
      <c r="S49" s="7">
        <f t="shared" si="26"/>
        <v>419</v>
      </c>
      <c r="T49" s="5">
        <v>50</v>
      </c>
      <c r="U49" s="7">
        <f t="shared" si="27"/>
        <v>4.1900000000000004</v>
      </c>
      <c r="V49" s="5">
        <v>4</v>
      </c>
      <c r="W49" s="238">
        <v>43682</v>
      </c>
      <c r="X49" s="238">
        <v>43683</v>
      </c>
      <c r="Y49" s="239">
        <v>81.599999999999994</v>
      </c>
      <c r="Z49" s="239"/>
      <c r="AA49" s="239">
        <f t="shared" si="6"/>
        <v>408</v>
      </c>
      <c r="AB49" s="239"/>
      <c r="AC49" s="239"/>
      <c r="AD49" s="238"/>
      <c r="AE49" s="238">
        <v>43692</v>
      </c>
      <c r="AF49" s="238"/>
      <c r="AG49" s="238"/>
      <c r="AH49" s="1"/>
    </row>
    <row r="50" spans="1:34" x14ac:dyDescent="0.2">
      <c r="A50" s="1" t="s">
        <v>75</v>
      </c>
      <c r="B50" s="1" t="s">
        <v>85</v>
      </c>
      <c r="C50" s="8">
        <v>339</v>
      </c>
      <c r="D50" s="1" t="s">
        <v>5</v>
      </c>
      <c r="E50" s="1" t="s">
        <v>7</v>
      </c>
      <c r="F50" s="1" t="s">
        <v>64</v>
      </c>
      <c r="G50" s="1" t="s">
        <v>11</v>
      </c>
      <c r="H50" s="38">
        <v>10</v>
      </c>
      <c r="I50" s="3">
        <v>43658</v>
      </c>
      <c r="J50" s="4">
        <v>7</v>
      </c>
      <c r="K50" s="3">
        <v>43662</v>
      </c>
      <c r="L50" s="4">
        <v>4</v>
      </c>
      <c r="M50" s="1">
        <f>150-1-50</f>
        <v>99</v>
      </c>
      <c r="N50" s="1">
        <v>78.599999999999994</v>
      </c>
      <c r="O50" s="5">
        <f t="shared" si="0"/>
        <v>7781.4</v>
      </c>
      <c r="P50" s="39">
        <f>O50/1000</f>
        <v>7.7813999999999997</v>
      </c>
      <c r="Q50" s="40">
        <f>P50/1000/H50</f>
        <v>7.7813999999999997E-4</v>
      </c>
      <c r="R50" s="7">
        <f t="shared" si="23"/>
        <v>6.3613231552162857</v>
      </c>
      <c r="S50" s="7">
        <f>5*N50</f>
        <v>393</v>
      </c>
      <c r="T50" s="5">
        <v>50</v>
      </c>
      <c r="U50" s="7">
        <f>T50*N50/1000</f>
        <v>3.9299999999999997</v>
      </c>
      <c r="V50" s="5">
        <v>5</v>
      </c>
      <c r="W50" s="238">
        <v>43683</v>
      </c>
      <c r="X50" s="238">
        <v>43683</v>
      </c>
      <c r="Y50" s="239">
        <v>77.2</v>
      </c>
      <c r="Z50" s="239"/>
      <c r="AA50" s="239">
        <f t="shared" si="6"/>
        <v>386</v>
      </c>
      <c r="AB50" s="239"/>
      <c r="AC50" s="239"/>
      <c r="AD50" s="238">
        <v>43692</v>
      </c>
      <c r="AE50" s="238">
        <v>43692</v>
      </c>
      <c r="AF50" s="238"/>
      <c r="AG50" s="238"/>
      <c r="AH50" s="1"/>
    </row>
    <row r="51" spans="1:34" x14ac:dyDescent="0.2">
      <c r="A51" s="1"/>
      <c r="B51" s="1"/>
      <c r="C51" s="8"/>
      <c r="D51" s="1"/>
      <c r="E51" s="1"/>
      <c r="F51" s="1"/>
      <c r="G51" s="1"/>
      <c r="H51" s="2"/>
      <c r="I51" s="1"/>
      <c r="J51" s="4"/>
      <c r="K51" s="1"/>
      <c r="L51" s="4"/>
      <c r="M51" s="1"/>
      <c r="N51" s="1"/>
      <c r="O51" s="5"/>
      <c r="P51" s="5"/>
      <c r="Q51" s="5"/>
      <c r="R51" s="7"/>
      <c r="S51" s="7"/>
      <c r="T51" s="5"/>
      <c r="U51" s="7"/>
      <c r="V51" s="5"/>
      <c r="W51" s="7"/>
      <c r="X51" s="7"/>
      <c r="Y51" s="239"/>
      <c r="Z51" s="239"/>
      <c r="AA51" s="239">
        <f t="shared" si="6"/>
        <v>0</v>
      </c>
      <c r="AB51" s="239"/>
      <c r="AC51" s="239"/>
      <c r="AD51" s="238"/>
      <c r="AE51" s="239"/>
      <c r="AF51" s="238"/>
      <c r="AG51" s="238"/>
      <c r="AH51" s="1"/>
    </row>
    <row r="52" spans="1:34" s="230" customFormat="1" x14ac:dyDescent="0.2">
      <c r="A52" s="198" t="s">
        <v>75</v>
      </c>
      <c r="B52" s="198" t="s">
        <v>86</v>
      </c>
      <c r="C52" s="199">
        <v>341</v>
      </c>
      <c r="D52" s="198" t="s">
        <v>6</v>
      </c>
      <c r="E52" s="198" t="s">
        <v>7</v>
      </c>
      <c r="F52" s="198" t="s">
        <v>65</v>
      </c>
      <c r="G52" s="198" t="s">
        <v>11</v>
      </c>
      <c r="H52" s="200">
        <v>20</v>
      </c>
      <c r="I52" s="201">
        <v>43656</v>
      </c>
      <c r="J52" s="202">
        <v>2</v>
      </c>
      <c r="K52" s="201">
        <v>43658</v>
      </c>
      <c r="L52" s="202">
        <v>1</v>
      </c>
      <c r="M52" s="198">
        <f>50-5+100-1-50</f>
        <v>94</v>
      </c>
      <c r="N52" s="198">
        <v>92.4</v>
      </c>
      <c r="O52" s="5">
        <f t="shared" si="0"/>
        <v>8685.6</v>
      </c>
      <c r="P52" s="39">
        <f>O52/1000</f>
        <v>8.6856000000000009</v>
      </c>
      <c r="Q52" s="40">
        <f>(P52/1000)/H52</f>
        <v>4.342800000000001E-4</v>
      </c>
      <c r="R52" s="7">
        <f t="shared" ref="R52:R60" si="28">500/N52</f>
        <v>5.4112554112554108</v>
      </c>
      <c r="S52" s="7">
        <f>5*N52</f>
        <v>462</v>
      </c>
      <c r="T52" s="5">
        <v>50</v>
      </c>
      <c r="U52" s="7">
        <f>T52*N52/1000</f>
        <v>4.62</v>
      </c>
      <c r="V52" s="5">
        <v>2</v>
      </c>
      <c r="W52" s="238">
        <v>43682</v>
      </c>
      <c r="X52" s="238">
        <v>43683</v>
      </c>
      <c r="Y52" s="239">
        <v>89.6</v>
      </c>
      <c r="Z52" s="239">
        <f>4584/1000*6</f>
        <v>27.503999999999998</v>
      </c>
      <c r="AA52" s="239">
        <f t="shared" si="6"/>
        <v>448</v>
      </c>
      <c r="AB52" s="39">
        <f>500/Y52</f>
        <v>5.5803571428571432</v>
      </c>
      <c r="AC52" s="39">
        <v>0</v>
      </c>
      <c r="AD52" s="238"/>
      <c r="AE52" s="239"/>
      <c r="AF52" s="238">
        <v>43697</v>
      </c>
      <c r="AG52" s="238">
        <v>43698</v>
      </c>
      <c r="AH52" s="198"/>
    </row>
    <row r="53" spans="1:34" x14ac:dyDescent="0.2">
      <c r="A53" s="1" t="s">
        <v>75</v>
      </c>
      <c r="B53" s="1" t="s">
        <v>86</v>
      </c>
      <c r="C53" s="8">
        <v>342</v>
      </c>
      <c r="D53" s="1" t="s">
        <v>6</v>
      </c>
      <c r="E53" s="1" t="s">
        <v>7</v>
      </c>
      <c r="F53" s="1" t="s">
        <v>66</v>
      </c>
      <c r="G53" s="1" t="s">
        <v>11</v>
      </c>
      <c r="H53" s="38">
        <v>80</v>
      </c>
      <c r="I53" s="3">
        <v>43656</v>
      </c>
      <c r="J53" s="4">
        <v>3</v>
      </c>
      <c r="K53" s="3">
        <v>43661</v>
      </c>
      <c r="L53" s="4">
        <v>2</v>
      </c>
      <c r="M53" s="1">
        <f>50-5+100-1-50</f>
        <v>94</v>
      </c>
      <c r="N53" s="1">
        <v>178</v>
      </c>
      <c r="O53" s="5">
        <f t="shared" si="0"/>
        <v>16732</v>
      </c>
      <c r="P53" s="39">
        <f t="shared" ref="P53:P59" si="29">O53/1000</f>
        <v>16.731999999999999</v>
      </c>
      <c r="Q53" s="40">
        <f t="shared" ref="Q53:Q59" si="30">P53/1000/H53</f>
        <v>2.0915000000000002E-4</v>
      </c>
      <c r="R53" s="7">
        <f t="shared" si="28"/>
        <v>2.808988764044944</v>
      </c>
      <c r="S53" s="7">
        <f t="shared" ref="S53:S59" si="31">5*N53</f>
        <v>890</v>
      </c>
      <c r="T53" s="5">
        <v>50</v>
      </c>
      <c r="U53" s="7">
        <f t="shared" ref="U53:U59" si="32">T53*N53/1000</f>
        <v>8.9</v>
      </c>
      <c r="V53" s="5">
        <v>2</v>
      </c>
      <c r="W53" s="238">
        <v>43682</v>
      </c>
      <c r="X53" s="238">
        <v>43683</v>
      </c>
      <c r="Y53" s="239">
        <v>162</v>
      </c>
      <c r="Z53" s="239"/>
      <c r="AA53" s="239">
        <f t="shared" si="6"/>
        <v>810</v>
      </c>
      <c r="AB53" s="239"/>
      <c r="AC53" s="239"/>
      <c r="AD53" s="238">
        <v>43692</v>
      </c>
      <c r="AE53" s="239"/>
      <c r="AF53" s="238"/>
      <c r="AG53" s="238"/>
      <c r="AH53" s="1"/>
    </row>
    <row r="54" spans="1:34" x14ac:dyDescent="0.2">
      <c r="A54" s="1" t="s">
        <v>75</v>
      </c>
      <c r="B54" s="1" t="s">
        <v>86</v>
      </c>
      <c r="C54" s="8">
        <v>343</v>
      </c>
      <c r="D54" s="1" t="s">
        <v>6</v>
      </c>
      <c r="E54" s="1" t="s">
        <v>7</v>
      </c>
      <c r="F54" s="1" t="s">
        <v>67</v>
      </c>
      <c r="G54" s="1" t="s">
        <v>11</v>
      </c>
      <c r="H54" s="38">
        <v>50</v>
      </c>
      <c r="I54" s="3">
        <v>43656</v>
      </c>
      <c r="J54" s="4">
        <v>3</v>
      </c>
      <c r="K54" s="3">
        <v>43661</v>
      </c>
      <c r="L54" s="4">
        <v>2</v>
      </c>
      <c r="M54" s="1">
        <f>50-5+100-1-50</f>
        <v>94</v>
      </c>
      <c r="N54" s="1">
        <v>146</v>
      </c>
      <c r="O54" s="5">
        <f t="shared" si="0"/>
        <v>13724</v>
      </c>
      <c r="P54" s="39">
        <f t="shared" si="29"/>
        <v>13.724</v>
      </c>
      <c r="Q54" s="40">
        <f t="shared" si="30"/>
        <v>2.7448000000000001E-4</v>
      </c>
      <c r="R54" s="7">
        <f t="shared" si="28"/>
        <v>3.4246575342465753</v>
      </c>
      <c r="S54" s="7">
        <f t="shared" si="31"/>
        <v>730</v>
      </c>
      <c r="T54" s="5">
        <v>50</v>
      </c>
      <c r="U54" s="7">
        <f t="shared" si="32"/>
        <v>7.3</v>
      </c>
      <c r="V54" s="5">
        <v>2</v>
      </c>
      <c r="W54" s="238">
        <v>43682</v>
      </c>
      <c r="X54" s="238">
        <v>43683</v>
      </c>
      <c r="Y54" s="239">
        <v>114</v>
      </c>
      <c r="Z54" s="239"/>
      <c r="AA54" s="239">
        <f t="shared" si="6"/>
        <v>570</v>
      </c>
      <c r="AB54" s="239"/>
      <c r="AC54" s="239"/>
      <c r="AD54" s="238"/>
      <c r="AE54" s="239"/>
      <c r="AF54" s="238"/>
      <c r="AG54" s="238"/>
      <c r="AH54" s="1"/>
    </row>
    <row r="55" spans="1:34" x14ac:dyDescent="0.2">
      <c r="A55" s="1" t="s">
        <v>75</v>
      </c>
      <c r="B55" s="1" t="s">
        <v>86</v>
      </c>
      <c r="C55" s="8">
        <v>344</v>
      </c>
      <c r="D55" s="1" t="s">
        <v>6</v>
      </c>
      <c r="E55" s="1" t="s">
        <v>7</v>
      </c>
      <c r="F55" s="1" t="s">
        <v>68</v>
      </c>
      <c r="G55" s="1" t="s">
        <v>11</v>
      </c>
      <c r="H55" s="38">
        <v>40</v>
      </c>
      <c r="I55" s="3">
        <v>43656</v>
      </c>
      <c r="J55" s="4">
        <v>5</v>
      </c>
      <c r="K55" s="3">
        <v>43661</v>
      </c>
      <c r="L55" s="4">
        <v>2</v>
      </c>
      <c r="M55" s="1">
        <f>150-1-50</f>
        <v>99</v>
      </c>
      <c r="N55" s="1">
        <v>28.4</v>
      </c>
      <c r="O55" s="5">
        <f t="shared" si="0"/>
        <v>2811.6</v>
      </c>
      <c r="P55" s="39">
        <f t="shared" si="29"/>
        <v>2.8115999999999999</v>
      </c>
      <c r="Q55" s="40">
        <f t="shared" si="30"/>
        <v>7.0290000000000006E-5</v>
      </c>
      <c r="R55" s="7">
        <f t="shared" si="28"/>
        <v>17.605633802816904</v>
      </c>
      <c r="S55" s="7">
        <f t="shared" si="31"/>
        <v>142</v>
      </c>
      <c r="T55" s="5">
        <v>50</v>
      </c>
      <c r="U55" s="7">
        <f t="shared" si="32"/>
        <v>1.42</v>
      </c>
      <c r="V55" s="5">
        <v>4</v>
      </c>
      <c r="W55" s="238">
        <v>43682</v>
      </c>
      <c r="X55" s="238">
        <v>43683</v>
      </c>
      <c r="Y55" s="239">
        <v>25</v>
      </c>
      <c r="Z55" s="239"/>
      <c r="AA55" s="239">
        <f t="shared" si="6"/>
        <v>125</v>
      </c>
      <c r="AB55" s="239"/>
      <c r="AC55" s="239"/>
      <c r="AD55" s="238"/>
      <c r="AE55" s="238">
        <v>43692</v>
      </c>
      <c r="AF55" s="238"/>
      <c r="AG55" s="238"/>
      <c r="AH55" s="1"/>
    </row>
    <row r="56" spans="1:34" x14ac:dyDescent="0.2">
      <c r="A56" s="1" t="s">
        <v>75</v>
      </c>
      <c r="B56" s="1" t="s">
        <v>86</v>
      </c>
      <c r="C56" s="8">
        <v>345</v>
      </c>
      <c r="D56" s="1" t="s">
        <v>6</v>
      </c>
      <c r="E56" s="1" t="s">
        <v>7</v>
      </c>
      <c r="F56" s="1" t="s">
        <v>69</v>
      </c>
      <c r="G56" s="1" t="s">
        <v>11</v>
      </c>
      <c r="H56" s="38">
        <v>70</v>
      </c>
      <c r="I56" s="3">
        <v>43656</v>
      </c>
      <c r="J56" s="4">
        <v>5</v>
      </c>
      <c r="K56" s="3">
        <v>43661</v>
      </c>
      <c r="L56" s="4">
        <v>2</v>
      </c>
      <c r="M56" s="1">
        <f>150-1+50-50</f>
        <v>149</v>
      </c>
      <c r="N56" s="1" t="s">
        <v>81</v>
      </c>
      <c r="O56" s="6" t="s">
        <v>82</v>
      </c>
      <c r="P56" s="39" t="e">
        <f t="shared" si="29"/>
        <v>#VALUE!</v>
      </c>
      <c r="Q56" s="40" t="e">
        <f t="shared" si="30"/>
        <v>#VALUE!</v>
      </c>
      <c r="R56" s="7" t="e">
        <f t="shared" si="28"/>
        <v>#VALUE!</v>
      </c>
      <c r="S56" s="7" t="e">
        <f t="shared" si="31"/>
        <v>#VALUE!</v>
      </c>
      <c r="T56" s="5">
        <v>50</v>
      </c>
      <c r="U56" s="7" t="e">
        <f t="shared" si="32"/>
        <v>#VALUE!</v>
      </c>
      <c r="V56" s="5">
        <v>4</v>
      </c>
      <c r="W56" s="238">
        <v>43682</v>
      </c>
      <c r="X56" s="238"/>
      <c r="Y56" s="239">
        <v>190</v>
      </c>
      <c r="Z56" s="239"/>
      <c r="AA56" s="239">
        <f t="shared" si="6"/>
        <v>950</v>
      </c>
      <c r="AB56" s="239"/>
      <c r="AC56" s="239"/>
      <c r="AD56" s="238">
        <v>43692</v>
      </c>
      <c r="AE56" s="238">
        <v>43692</v>
      </c>
      <c r="AF56" s="238"/>
      <c r="AG56" s="238"/>
      <c r="AH56" s="1" t="s">
        <v>298</v>
      </c>
    </row>
    <row r="57" spans="1:34" x14ac:dyDescent="0.2">
      <c r="A57" s="1" t="s">
        <v>75</v>
      </c>
      <c r="B57" s="1" t="s">
        <v>86</v>
      </c>
      <c r="C57" s="8">
        <v>346</v>
      </c>
      <c r="D57" s="1" t="s">
        <v>6</v>
      </c>
      <c r="E57" s="1" t="s">
        <v>7</v>
      </c>
      <c r="F57" s="1" t="s">
        <v>70</v>
      </c>
      <c r="G57" s="1" t="s">
        <v>11</v>
      </c>
      <c r="H57" s="38">
        <v>20</v>
      </c>
      <c r="I57" s="3">
        <v>43658</v>
      </c>
      <c r="J57" s="4">
        <v>5</v>
      </c>
      <c r="K57" s="3">
        <v>43662</v>
      </c>
      <c r="L57" s="4">
        <v>3</v>
      </c>
      <c r="M57" s="1">
        <f>150-1-50</f>
        <v>99</v>
      </c>
      <c r="N57" s="1">
        <v>74</v>
      </c>
      <c r="O57" s="5">
        <f t="shared" si="0"/>
        <v>7326</v>
      </c>
      <c r="P57" s="39">
        <f t="shared" si="29"/>
        <v>7.3259999999999996</v>
      </c>
      <c r="Q57" s="40">
        <f t="shared" si="30"/>
        <v>3.6630000000000001E-4</v>
      </c>
      <c r="R57" s="7">
        <f t="shared" si="28"/>
        <v>6.756756756756757</v>
      </c>
      <c r="S57" s="7">
        <f t="shared" si="31"/>
        <v>370</v>
      </c>
      <c r="T57" s="5">
        <v>50</v>
      </c>
      <c r="U57" s="7">
        <f t="shared" si="32"/>
        <v>3.7</v>
      </c>
      <c r="V57" s="5">
        <v>2</v>
      </c>
      <c r="W57" s="238">
        <v>43682</v>
      </c>
      <c r="X57" s="238">
        <v>43683</v>
      </c>
      <c r="Y57" s="239">
        <v>43.6</v>
      </c>
      <c r="Z57" s="239"/>
      <c r="AA57" s="239">
        <f t="shared" si="6"/>
        <v>218</v>
      </c>
      <c r="AB57" s="239"/>
      <c r="AC57" s="239"/>
      <c r="AD57" s="238"/>
      <c r="AE57" s="239"/>
      <c r="AF57" s="238"/>
      <c r="AG57" s="238"/>
      <c r="AH57" s="1"/>
    </row>
    <row r="58" spans="1:34" x14ac:dyDescent="0.2">
      <c r="A58" s="1" t="s">
        <v>75</v>
      </c>
      <c r="B58" s="1" t="s">
        <v>86</v>
      </c>
      <c r="C58" s="8">
        <v>347</v>
      </c>
      <c r="D58" s="1" t="s">
        <v>6</v>
      </c>
      <c r="E58" s="1" t="s">
        <v>7</v>
      </c>
      <c r="F58" s="1" t="s">
        <v>71</v>
      </c>
      <c r="G58" s="1" t="s">
        <v>11</v>
      </c>
      <c r="H58" s="38">
        <v>10</v>
      </c>
      <c r="I58" s="3">
        <v>43658</v>
      </c>
      <c r="J58" s="4">
        <v>6</v>
      </c>
      <c r="K58" s="3">
        <v>43662</v>
      </c>
      <c r="L58" s="4">
        <v>3</v>
      </c>
      <c r="M58" s="1">
        <f>150-1-50</f>
        <v>99</v>
      </c>
      <c r="N58" s="1">
        <v>89.8</v>
      </c>
      <c r="O58" s="5">
        <f t="shared" si="0"/>
        <v>8890.1999999999989</v>
      </c>
      <c r="P58" s="39">
        <f t="shared" si="29"/>
        <v>8.8901999999999983</v>
      </c>
      <c r="Q58" s="40">
        <f t="shared" si="30"/>
        <v>8.8901999999999991E-4</v>
      </c>
      <c r="R58" s="7">
        <f t="shared" si="28"/>
        <v>5.56792873051225</v>
      </c>
      <c r="S58" s="7">
        <f t="shared" si="31"/>
        <v>449</v>
      </c>
      <c r="T58" s="5">
        <v>50</v>
      </c>
      <c r="U58" s="7">
        <f t="shared" si="32"/>
        <v>4.49</v>
      </c>
      <c r="V58" s="5">
        <v>2</v>
      </c>
      <c r="W58" s="238">
        <v>43682</v>
      </c>
      <c r="X58" s="238">
        <v>43683</v>
      </c>
      <c r="Y58" s="239">
        <v>69</v>
      </c>
      <c r="Z58" s="239"/>
      <c r="AA58" s="239">
        <f t="shared" si="6"/>
        <v>345</v>
      </c>
      <c r="AB58" s="239"/>
      <c r="AC58" s="239"/>
      <c r="AD58" s="238"/>
      <c r="AE58" s="239"/>
      <c r="AF58" s="238"/>
      <c r="AG58" s="238"/>
      <c r="AH58" s="1"/>
    </row>
    <row r="59" spans="1:34" x14ac:dyDescent="0.2">
      <c r="A59" s="1" t="s">
        <v>75</v>
      </c>
      <c r="B59" s="1" t="s">
        <v>86</v>
      </c>
      <c r="C59" s="8">
        <v>348</v>
      </c>
      <c r="D59" s="1" t="s">
        <v>6</v>
      </c>
      <c r="E59" s="1" t="s">
        <v>7</v>
      </c>
      <c r="F59" s="1" t="s">
        <v>72</v>
      </c>
      <c r="G59" s="1" t="s">
        <v>11</v>
      </c>
      <c r="H59" s="38">
        <v>50</v>
      </c>
      <c r="I59" s="3">
        <v>43658</v>
      </c>
      <c r="J59" s="4">
        <v>6</v>
      </c>
      <c r="K59" s="3">
        <v>43662</v>
      </c>
      <c r="L59" s="4">
        <v>4</v>
      </c>
      <c r="M59" s="1">
        <f>150-1-50</f>
        <v>99</v>
      </c>
      <c r="N59" s="1">
        <v>51.4</v>
      </c>
      <c r="O59" s="5">
        <f t="shared" si="0"/>
        <v>5088.5999999999995</v>
      </c>
      <c r="P59" s="39">
        <f t="shared" si="29"/>
        <v>5.0885999999999996</v>
      </c>
      <c r="Q59" s="40">
        <f t="shared" si="30"/>
        <v>1.0177199999999999E-4</v>
      </c>
      <c r="R59" s="7">
        <f t="shared" si="28"/>
        <v>9.7276264591439698</v>
      </c>
      <c r="S59" s="7">
        <f t="shared" si="31"/>
        <v>257</v>
      </c>
      <c r="T59" s="5">
        <v>50</v>
      </c>
      <c r="U59" s="7">
        <f t="shared" si="32"/>
        <v>2.57</v>
      </c>
      <c r="V59" s="5">
        <v>4</v>
      </c>
      <c r="W59" s="238">
        <v>43682</v>
      </c>
      <c r="X59" s="238">
        <v>43683</v>
      </c>
      <c r="Y59" s="239">
        <v>54.4</v>
      </c>
      <c r="Z59" s="239"/>
      <c r="AA59" s="239">
        <f t="shared" si="6"/>
        <v>272</v>
      </c>
      <c r="AB59" s="239"/>
      <c r="AC59" s="239"/>
      <c r="AD59" s="238">
        <v>43692</v>
      </c>
      <c r="AE59" s="238">
        <v>43692</v>
      </c>
      <c r="AF59" s="238"/>
      <c r="AG59" s="238"/>
      <c r="AH59" s="1"/>
    </row>
    <row r="60" spans="1:34" x14ac:dyDescent="0.2">
      <c r="A60" s="1" t="s">
        <v>75</v>
      </c>
      <c r="B60" s="1" t="s">
        <v>86</v>
      </c>
      <c r="C60" s="8">
        <v>349</v>
      </c>
      <c r="D60" s="1" t="s">
        <v>6</v>
      </c>
      <c r="E60" s="1" t="s">
        <v>7</v>
      </c>
      <c r="F60" s="1" t="s">
        <v>73</v>
      </c>
      <c r="G60" s="1" t="s">
        <v>11</v>
      </c>
      <c r="H60" s="38">
        <v>10</v>
      </c>
      <c r="I60" s="3">
        <v>43658</v>
      </c>
      <c r="J60" s="4">
        <v>7</v>
      </c>
      <c r="K60" s="3">
        <v>43662</v>
      </c>
      <c r="L60" s="4">
        <v>4</v>
      </c>
      <c r="M60" s="1">
        <f>150-1-50</f>
        <v>99</v>
      </c>
      <c r="N60" s="1">
        <v>55.4</v>
      </c>
      <c r="O60" s="5">
        <f t="shared" si="0"/>
        <v>5484.5999999999995</v>
      </c>
      <c r="P60" s="39">
        <f>O60/1000</f>
        <v>5.4845999999999995</v>
      </c>
      <c r="Q60" s="40">
        <f>P60/1000/H60</f>
        <v>5.4845999999999996E-4</v>
      </c>
      <c r="R60" s="7">
        <f t="shared" si="28"/>
        <v>9.025270758122744</v>
      </c>
      <c r="S60" s="7">
        <f>5*N60</f>
        <v>277</v>
      </c>
      <c r="T60" s="5">
        <v>50</v>
      </c>
      <c r="U60" s="7">
        <f>T60*N60/1000</f>
        <v>2.77</v>
      </c>
      <c r="V60" s="5">
        <v>5</v>
      </c>
      <c r="W60" s="238">
        <v>43683</v>
      </c>
      <c r="X60" s="238">
        <v>43683</v>
      </c>
      <c r="Y60" s="239">
        <v>82</v>
      </c>
      <c r="Z60" s="239"/>
      <c r="AA60" s="239">
        <f t="shared" si="6"/>
        <v>410</v>
      </c>
      <c r="AB60" s="239"/>
      <c r="AC60" s="239"/>
      <c r="AD60" s="238">
        <v>43692</v>
      </c>
      <c r="AE60" s="238">
        <v>43692</v>
      </c>
      <c r="AF60" s="238"/>
      <c r="AG60" s="238"/>
      <c r="AH60" s="1"/>
    </row>
    <row r="61" spans="1:34" x14ac:dyDescent="0.2">
      <c r="O61" s="231"/>
      <c r="P61" s="231"/>
      <c r="Q61" s="231"/>
    </row>
    <row r="62" spans="1:34" x14ac:dyDescent="0.2">
      <c r="Q62" s="233">
        <f>AVERAGE(Q2:Q7,Q9:Q10,Q12:Q14,Q16:Q20,Q22:Q23,Q29:Q30,Q32:Q40,Q42:Q45,Q47:Q55,Q57:Q60)</f>
        <v>3.2605479047619052E-4</v>
      </c>
      <c r="U62" s="9">
        <f>74+52</f>
        <v>126</v>
      </c>
      <c r="W62" s="9">
        <f>COUNTA(W2:W60)</f>
        <v>52</v>
      </c>
    </row>
  </sheetData>
  <conditionalFormatting sqref="AA2:AA10 AA12:AA20 AA22:AA30 AA32:AA40 AA42:AA50 AA52:AA60">
    <cfRule type="cellIs" dxfId="2" priority="1" operator="lessThan">
      <formula>200</formula>
    </cfRule>
  </conditionalFormatting>
  <pageMargins left="0.7" right="0.7" top="0.75" bottom="0.75" header="0.3" footer="0.3"/>
  <pageSetup scale="41" fitToHeight="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F2D4-8A42-C84A-86DB-831D85844635}">
  <sheetPr>
    <pageSetUpPr fitToPage="1"/>
  </sheetPr>
  <dimension ref="A1:AO115"/>
  <sheetViews>
    <sheetView topLeftCell="B1" zoomScale="70" zoomScaleNormal="70" workbookViewId="0">
      <pane ySplit="1160" topLeftCell="A18"/>
      <selection activeCell="B1" sqref="B1:K1048576"/>
      <selection pane="bottomLeft" activeCell="AA73" sqref="AA73"/>
    </sheetView>
  </sheetViews>
  <sheetFormatPr baseColWidth="10" defaultRowHeight="16" x14ac:dyDescent="0.2"/>
  <cols>
    <col min="1" max="1" width="18.6640625" style="115" hidden="1" customWidth="1"/>
    <col min="2" max="2" width="10.83203125" style="115"/>
    <col min="3" max="3" width="16.5" style="115" customWidth="1"/>
    <col min="4" max="4" width="26.1640625" style="115" customWidth="1"/>
    <col min="5" max="5" width="12.6640625" style="115" customWidth="1"/>
    <col min="6" max="6" width="16.6640625" style="119" customWidth="1"/>
    <col min="7" max="7" width="16.1640625" style="115" hidden="1" customWidth="1"/>
    <col min="8" max="8" width="16" style="119" hidden="1" customWidth="1"/>
    <col min="9" max="9" width="10.83203125" style="119" hidden="1" customWidth="1"/>
    <col min="10" max="10" width="11.33203125" style="115" hidden="1" customWidth="1"/>
    <col min="11" max="11" width="12.83203125" style="119" customWidth="1"/>
    <col min="12" max="12" width="10.83203125" style="119" hidden="1" customWidth="1"/>
    <col min="13" max="13" width="12" style="115" hidden="1" customWidth="1"/>
    <col min="14" max="14" width="10.5" style="146" customWidth="1"/>
    <col min="15" max="15" width="9.83203125" style="115" hidden="1" customWidth="1"/>
    <col min="16" max="16" width="12.83203125" style="115" customWidth="1"/>
    <col min="17" max="17" width="12.33203125" style="115" customWidth="1"/>
    <col min="18" max="18" width="12.6640625" style="115" customWidth="1"/>
    <col min="19" max="19" width="17.6640625" style="115" customWidth="1"/>
    <col min="20" max="20" width="14.33203125" style="115" hidden="1" customWidth="1"/>
    <col min="21" max="21" width="13.1640625" style="59" hidden="1" customWidth="1"/>
    <col min="22" max="22" width="15.5" style="43" hidden="1" customWidth="1"/>
    <col min="23" max="23" width="15.5" style="59" hidden="1" customWidth="1"/>
    <col min="24" max="24" width="15.5" style="43" customWidth="1"/>
    <col min="25" max="25" width="15.5" style="59" hidden="1" customWidth="1"/>
    <col min="26" max="26" width="15.5" style="43" customWidth="1"/>
    <col min="27" max="27" width="18.1640625" style="52" customWidth="1"/>
    <col min="28" max="28" width="18.1640625" style="52" hidden="1" customWidth="1"/>
    <col min="29" max="31" width="18.1640625" style="59" customWidth="1"/>
    <col min="32" max="35" width="18.1640625" style="254" customWidth="1"/>
    <col min="36" max="36" width="18.1640625" style="264" customWidth="1"/>
    <col min="37" max="37" width="18.1640625" style="52" customWidth="1"/>
    <col min="38" max="38" width="51.83203125" style="115" customWidth="1"/>
    <col min="39" max="39" width="12" style="115" customWidth="1"/>
    <col min="40" max="16384" width="10.83203125" style="115"/>
  </cols>
  <sheetData>
    <row r="1" spans="1:38" s="10" customFormat="1" ht="61" customHeight="1" thickBot="1" x14ac:dyDescent="0.3">
      <c r="A1" s="11" t="s">
        <v>226</v>
      </c>
      <c r="B1" s="12" t="s">
        <v>243</v>
      </c>
      <c r="C1" s="12" t="s">
        <v>89</v>
      </c>
      <c r="D1" s="12" t="s">
        <v>18</v>
      </c>
      <c r="E1" s="12" t="s">
        <v>90</v>
      </c>
      <c r="F1" s="12" t="e">
        <f>4584/1000*w</f>
        <v>#NAME?</v>
      </c>
      <c r="G1" s="13" t="s">
        <v>198</v>
      </c>
      <c r="H1" s="12" t="s">
        <v>199</v>
      </c>
      <c r="I1" s="12" t="s">
        <v>200</v>
      </c>
      <c r="J1" s="12" t="s">
        <v>269</v>
      </c>
      <c r="K1" s="12" t="s">
        <v>254</v>
      </c>
      <c r="L1" s="12" t="s">
        <v>241</v>
      </c>
      <c r="M1" s="12" t="s">
        <v>10</v>
      </c>
      <c r="N1" s="139" t="s">
        <v>230</v>
      </c>
      <c r="O1" s="12" t="s">
        <v>231</v>
      </c>
      <c r="P1" s="12" t="s">
        <v>229</v>
      </c>
      <c r="Q1" s="12" t="s">
        <v>228</v>
      </c>
      <c r="R1" s="12" t="s">
        <v>246</v>
      </c>
      <c r="S1" s="12" t="s">
        <v>245</v>
      </c>
      <c r="T1" s="12" t="s">
        <v>457</v>
      </c>
      <c r="U1" s="87" t="s">
        <v>252</v>
      </c>
      <c r="V1" s="71" t="s">
        <v>277</v>
      </c>
      <c r="W1" s="87" t="s">
        <v>293</v>
      </c>
      <c r="X1" s="71" t="s">
        <v>278</v>
      </c>
      <c r="Y1" s="87" t="s">
        <v>300</v>
      </c>
      <c r="Z1" s="71" t="s">
        <v>437</v>
      </c>
      <c r="AA1" s="79" t="s">
        <v>314</v>
      </c>
      <c r="AB1" s="79" t="s">
        <v>466</v>
      </c>
      <c r="AC1" s="87" t="s">
        <v>436</v>
      </c>
      <c r="AD1" s="87" t="s">
        <v>463</v>
      </c>
      <c r="AE1" s="87" t="s">
        <v>464</v>
      </c>
      <c r="AF1" s="252" t="s">
        <v>458</v>
      </c>
      <c r="AG1" s="252" t="s">
        <v>460</v>
      </c>
      <c r="AH1" s="252" t="s">
        <v>462</v>
      </c>
      <c r="AI1" s="252" t="s">
        <v>467</v>
      </c>
      <c r="AJ1" s="87" t="s">
        <v>459</v>
      </c>
      <c r="AK1" s="79" t="s">
        <v>456</v>
      </c>
      <c r="AL1" s="12" t="s">
        <v>16</v>
      </c>
    </row>
    <row r="2" spans="1:38" ht="17" x14ac:dyDescent="0.2">
      <c r="A2" s="114" t="s">
        <v>227</v>
      </c>
      <c r="B2" s="14">
        <v>42879</v>
      </c>
      <c r="C2" s="15" t="s">
        <v>105</v>
      </c>
      <c r="D2" s="15" t="s">
        <v>37</v>
      </c>
      <c r="E2" s="15" t="s">
        <v>96</v>
      </c>
      <c r="F2" s="17" t="s">
        <v>130</v>
      </c>
      <c r="G2" s="15"/>
      <c r="H2" s="17"/>
      <c r="I2" s="17"/>
      <c r="J2" s="36">
        <v>43665</v>
      </c>
      <c r="K2" s="17">
        <v>401</v>
      </c>
      <c r="L2" s="17">
        <v>1</v>
      </c>
      <c r="M2" s="16">
        <v>100</v>
      </c>
      <c r="N2" s="140">
        <v>43665</v>
      </c>
      <c r="O2" s="16">
        <v>1</v>
      </c>
      <c r="P2" s="36">
        <v>43670</v>
      </c>
      <c r="Q2" s="16">
        <v>1</v>
      </c>
      <c r="R2" s="16">
        <f>1000-500</f>
        <v>500</v>
      </c>
      <c r="S2" s="16">
        <f>100-1-50</f>
        <v>49</v>
      </c>
      <c r="T2" s="48">
        <v>52</v>
      </c>
      <c r="U2" s="88">
        <v>50</v>
      </c>
      <c r="V2" s="72">
        <f t="shared" ref="V2:V14" si="0">U2*T2/1000</f>
        <v>2.6</v>
      </c>
      <c r="W2" s="88">
        <v>1</v>
      </c>
      <c r="X2" s="154">
        <v>43677</v>
      </c>
      <c r="Y2" s="88">
        <v>50</v>
      </c>
      <c r="Z2" s="154">
        <v>43677</v>
      </c>
      <c r="AA2" s="80">
        <v>93.4</v>
      </c>
      <c r="AB2" s="80"/>
      <c r="AC2" s="88">
        <f>AA2*5</f>
        <v>467</v>
      </c>
      <c r="AD2" s="88"/>
      <c r="AE2" s="88"/>
      <c r="AF2" s="154"/>
      <c r="AG2" s="154"/>
      <c r="AH2" s="154"/>
      <c r="AI2" s="154"/>
      <c r="AJ2" s="257">
        <v>1</v>
      </c>
      <c r="AK2" s="80"/>
      <c r="AL2" s="18"/>
    </row>
    <row r="3" spans="1:38" ht="17" x14ac:dyDescent="0.2">
      <c r="A3" s="114" t="s">
        <v>227</v>
      </c>
      <c r="B3" s="19">
        <v>42886</v>
      </c>
      <c r="C3" s="20" t="s">
        <v>105</v>
      </c>
      <c r="D3" s="20" t="s">
        <v>37</v>
      </c>
      <c r="E3" s="20" t="s">
        <v>96</v>
      </c>
      <c r="F3" s="22" t="s">
        <v>147</v>
      </c>
      <c r="G3" s="20"/>
      <c r="H3" s="22"/>
      <c r="I3" s="22"/>
      <c r="J3" s="21"/>
      <c r="K3" s="22">
        <v>402</v>
      </c>
      <c r="L3" s="22">
        <v>1</v>
      </c>
      <c r="M3" s="21">
        <v>10</v>
      </c>
      <c r="N3" s="140">
        <v>43666</v>
      </c>
      <c r="O3" s="21">
        <v>3</v>
      </c>
      <c r="P3" s="34">
        <v>43672</v>
      </c>
      <c r="Q3" s="21">
        <v>2</v>
      </c>
      <c r="R3" s="21">
        <f>1000-500</f>
        <v>500</v>
      </c>
      <c r="S3" s="21">
        <f>75-1-50</f>
        <v>24</v>
      </c>
      <c r="T3" s="49">
        <v>140</v>
      </c>
      <c r="U3" s="89">
        <v>50</v>
      </c>
      <c r="V3" s="73">
        <f t="shared" si="0"/>
        <v>7</v>
      </c>
      <c r="W3" s="89">
        <v>1</v>
      </c>
      <c r="X3" s="155">
        <v>43677</v>
      </c>
      <c r="Y3" s="89">
        <v>50</v>
      </c>
      <c r="Z3" s="155">
        <v>43677</v>
      </c>
      <c r="AA3" s="81">
        <v>114</v>
      </c>
      <c r="AB3" s="81"/>
      <c r="AC3" s="89">
        <f>AA3*5</f>
        <v>570</v>
      </c>
      <c r="AD3" s="89"/>
      <c r="AE3" s="89"/>
      <c r="AF3" s="155">
        <v>43692</v>
      </c>
      <c r="AG3" s="155"/>
      <c r="AH3" s="155"/>
      <c r="AI3" s="155"/>
      <c r="AJ3" s="258">
        <v>2</v>
      </c>
      <c r="AK3" s="81"/>
      <c r="AL3" s="23"/>
    </row>
    <row r="4" spans="1:38" ht="17" x14ac:dyDescent="0.2">
      <c r="A4" s="114" t="s">
        <v>227</v>
      </c>
      <c r="B4" s="19">
        <v>42905</v>
      </c>
      <c r="C4" s="20" t="s">
        <v>105</v>
      </c>
      <c r="D4" s="20" t="s">
        <v>37</v>
      </c>
      <c r="E4" s="20" t="s">
        <v>96</v>
      </c>
      <c r="F4" s="22" t="s">
        <v>191</v>
      </c>
      <c r="G4" s="20"/>
      <c r="H4" s="22"/>
      <c r="I4" s="22"/>
      <c r="J4" s="21"/>
      <c r="K4" s="22">
        <v>403</v>
      </c>
      <c r="L4" s="22">
        <v>1</v>
      </c>
      <c r="M4" s="21">
        <v>40</v>
      </c>
      <c r="N4" s="140">
        <v>43668</v>
      </c>
      <c r="O4" s="21">
        <v>5</v>
      </c>
      <c r="P4" s="34">
        <v>43672</v>
      </c>
      <c r="Q4" s="21">
        <v>3</v>
      </c>
      <c r="R4" s="21">
        <f t="shared" ref="R4:R11" si="1">1000-500</f>
        <v>500</v>
      </c>
      <c r="S4" s="21">
        <f>75-1-50</f>
        <v>24</v>
      </c>
      <c r="T4" s="49">
        <v>148</v>
      </c>
      <c r="U4" s="89">
        <v>50</v>
      </c>
      <c r="V4" s="73">
        <f t="shared" si="0"/>
        <v>7.4</v>
      </c>
      <c r="W4" s="89">
        <v>3</v>
      </c>
      <c r="X4" s="155">
        <v>43682</v>
      </c>
      <c r="Y4" s="89">
        <v>50</v>
      </c>
      <c r="Z4" s="185">
        <v>43683</v>
      </c>
      <c r="AA4" s="81">
        <v>136</v>
      </c>
      <c r="AB4" s="81">
        <f>9438/1000*6</f>
        <v>56.628</v>
      </c>
      <c r="AC4" s="89">
        <f t="shared" ref="AC4:AC17" si="2">AA4*5</f>
        <v>680</v>
      </c>
      <c r="AD4" s="70">
        <f>500/AA4</f>
        <v>3.6764705882352939</v>
      </c>
      <c r="AE4" s="70">
        <f>5-AD4</f>
        <v>1.3235294117647061</v>
      </c>
      <c r="AF4" s="155"/>
      <c r="AG4" s="155"/>
      <c r="AH4" s="155">
        <v>43697</v>
      </c>
      <c r="AI4" s="155">
        <v>43698</v>
      </c>
      <c r="AJ4" s="258">
        <v>2</v>
      </c>
      <c r="AK4" s="81"/>
      <c r="AL4" s="23"/>
    </row>
    <row r="5" spans="1:38" ht="17" x14ac:dyDescent="0.2">
      <c r="A5" s="114" t="s">
        <v>227</v>
      </c>
      <c r="B5" s="19">
        <v>42915</v>
      </c>
      <c r="C5" s="20" t="s">
        <v>105</v>
      </c>
      <c r="D5" s="20" t="s">
        <v>37</v>
      </c>
      <c r="E5" s="20" t="s">
        <v>96</v>
      </c>
      <c r="F5" s="22" t="s">
        <v>196</v>
      </c>
      <c r="G5" s="20"/>
      <c r="H5" s="22"/>
      <c r="I5" s="22"/>
      <c r="J5" s="21"/>
      <c r="K5" s="22">
        <v>404</v>
      </c>
      <c r="L5" s="22">
        <v>1</v>
      </c>
      <c r="M5" s="21">
        <v>110</v>
      </c>
      <c r="N5" s="140">
        <v>43668</v>
      </c>
      <c r="O5" s="21">
        <v>6</v>
      </c>
      <c r="P5" s="34">
        <v>43672</v>
      </c>
      <c r="Q5" s="21">
        <v>3</v>
      </c>
      <c r="R5" s="21">
        <f>1000-500-250</f>
        <v>250</v>
      </c>
      <c r="S5" s="21">
        <f>75-1-50</f>
        <v>24</v>
      </c>
      <c r="T5" s="49">
        <v>95.2</v>
      </c>
      <c r="U5" s="89">
        <v>50</v>
      </c>
      <c r="V5" s="73">
        <f t="shared" si="0"/>
        <v>4.76</v>
      </c>
      <c r="W5" s="89">
        <v>3</v>
      </c>
      <c r="X5" s="155">
        <v>43682</v>
      </c>
      <c r="Y5" s="89">
        <v>50</v>
      </c>
      <c r="Z5" s="185">
        <v>43683</v>
      </c>
      <c r="AA5" s="81">
        <v>112</v>
      </c>
      <c r="AB5" s="81"/>
      <c r="AC5" s="89">
        <f t="shared" si="2"/>
        <v>560</v>
      </c>
      <c r="AD5" s="89"/>
      <c r="AE5" s="89"/>
      <c r="AF5" s="155"/>
      <c r="AG5" s="155"/>
      <c r="AH5" s="155"/>
      <c r="AI5" s="155"/>
      <c r="AJ5" s="258">
        <v>2</v>
      </c>
      <c r="AK5" s="81"/>
      <c r="AL5" s="23"/>
    </row>
    <row r="6" spans="1:38" ht="17" hidden="1" x14ac:dyDescent="0.2">
      <c r="A6" s="114"/>
      <c r="B6" s="19">
        <v>42915</v>
      </c>
      <c r="C6" s="20" t="s">
        <v>105</v>
      </c>
      <c r="D6" s="20" t="s">
        <v>37</v>
      </c>
      <c r="E6" s="20" t="s">
        <v>96</v>
      </c>
      <c r="F6" s="22" t="s">
        <v>196</v>
      </c>
      <c r="G6" s="20"/>
      <c r="H6" s="22"/>
      <c r="I6" s="22"/>
      <c r="J6" s="21"/>
      <c r="K6" s="22" t="s">
        <v>253</v>
      </c>
      <c r="L6" s="22">
        <v>1</v>
      </c>
      <c r="M6" s="21">
        <v>110</v>
      </c>
      <c r="N6" s="140">
        <v>43668</v>
      </c>
      <c r="O6" s="21">
        <v>6</v>
      </c>
      <c r="P6" s="34">
        <v>43675</v>
      </c>
      <c r="Q6" s="21">
        <v>7</v>
      </c>
      <c r="R6" s="21">
        <f>1000-500-250</f>
        <v>250</v>
      </c>
      <c r="S6" s="21">
        <f>60-1</f>
        <v>59</v>
      </c>
      <c r="T6" s="49">
        <v>48.6</v>
      </c>
      <c r="U6" s="89">
        <v>50</v>
      </c>
      <c r="V6" s="73">
        <f t="shared" si="0"/>
        <v>2.4300000000000002</v>
      </c>
      <c r="W6" s="89"/>
      <c r="X6" s="73"/>
      <c r="Y6" s="89">
        <v>50</v>
      </c>
      <c r="Z6" s="73"/>
      <c r="AA6" s="81"/>
      <c r="AB6" s="81"/>
      <c r="AC6" s="89">
        <f t="shared" si="2"/>
        <v>0</v>
      </c>
      <c r="AD6" s="89"/>
      <c r="AE6" s="89"/>
      <c r="AF6" s="155"/>
      <c r="AG6" s="155"/>
      <c r="AH6" s="155"/>
      <c r="AI6" s="155"/>
      <c r="AJ6" s="258"/>
      <c r="AK6" s="81"/>
      <c r="AL6" s="23"/>
    </row>
    <row r="7" spans="1:38" ht="17" x14ac:dyDescent="0.2">
      <c r="A7" s="114" t="s">
        <v>227</v>
      </c>
      <c r="B7" s="19">
        <v>42881</v>
      </c>
      <c r="C7" s="20" t="s">
        <v>112</v>
      </c>
      <c r="D7" s="20" t="s">
        <v>37</v>
      </c>
      <c r="E7" s="20" t="s">
        <v>101</v>
      </c>
      <c r="F7" s="22" t="s">
        <v>139</v>
      </c>
      <c r="G7" s="20"/>
      <c r="H7" s="22"/>
      <c r="I7" s="22"/>
      <c r="J7" s="34">
        <v>43665</v>
      </c>
      <c r="K7" s="22">
        <v>411</v>
      </c>
      <c r="L7" s="22">
        <v>1</v>
      </c>
      <c r="M7" s="21">
        <v>10</v>
      </c>
      <c r="N7" s="140">
        <v>43665</v>
      </c>
      <c r="O7" s="21">
        <v>1</v>
      </c>
      <c r="P7" s="34">
        <v>43670</v>
      </c>
      <c r="Q7" s="21">
        <v>1</v>
      </c>
      <c r="R7" s="21">
        <f t="shared" si="1"/>
        <v>500</v>
      </c>
      <c r="S7" s="21">
        <f>100-1-50</f>
        <v>49</v>
      </c>
      <c r="T7" s="49">
        <v>57.2</v>
      </c>
      <c r="U7" s="89">
        <v>50</v>
      </c>
      <c r="V7" s="73">
        <f t="shared" si="0"/>
        <v>2.86</v>
      </c>
      <c r="W7" s="89">
        <v>1</v>
      </c>
      <c r="X7" s="155">
        <v>43677</v>
      </c>
      <c r="Y7" s="89">
        <v>50</v>
      </c>
      <c r="Z7" s="155">
        <v>43677</v>
      </c>
      <c r="AA7" s="81">
        <v>72.599999999999994</v>
      </c>
      <c r="AB7" s="81"/>
      <c r="AC7" s="89">
        <f t="shared" si="2"/>
        <v>363</v>
      </c>
      <c r="AD7" s="89"/>
      <c r="AE7" s="89"/>
      <c r="AF7" s="155"/>
      <c r="AG7" s="155"/>
      <c r="AH7" s="155"/>
      <c r="AI7" s="155"/>
      <c r="AJ7" s="258">
        <v>1</v>
      </c>
      <c r="AK7" s="81"/>
      <c r="AL7" s="23"/>
    </row>
    <row r="8" spans="1:38" ht="17" x14ac:dyDescent="0.2">
      <c r="A8" s="114" t="s">
        <v>227</v>
      </c>
      <c r="B8" s="19">
        <v>42882</v>
      </c>
      <c r="C8" s="20" t="s">
        <v>112</v>
      </c>
      <c r="D8" s="20" t="s">
        <v>37</v>
      </c>
      <c r="E8" s="20" t="s">
        <v>101</v>
      </c>
      <c r="F8" s="22" t="s">
        <v>143</v>
      </c>
      <c r="G8" s="20" t="s">
        <v>211</v>
      </c>
      <c r="H8" s="22"/>
      <c r="I8" s="22"/>
      <c r="J8" s="21"/>
      <c r="K8" s="22">
        <v>412</v>
      </c>
      <c r="L8" s="22">
        <v>1</v>
      </c>
      <c r="M8" s="21">
        <v>10</v>
      </c>
      <c r="N8" s="140">
        <v>43666</v>
      </c>
      <c r="O8" s="21">
        <v>3</v>
      </c>
      <c r="P8" s="34">
        <v>43672</v>
      </c>
      <c r="Q8" s="21">
        <v>2</v>
      </c>
      <c r="R8" s="21">
        <f t="shared" si="1"/>
        <v>500</v>
      </c>
      <c r="S8" s="21">
        <f>75-1-50</f>
        <v>24</v>
      </c>
      <c r="T8" s="49">
        <v>60.8</v>
      </c>
      <c r="U8" s="89">
        <v>50</v>
      </c>
      <c r="V8" s="73">
        <f t="shared" si="0"/>
        <v>3.04</v>
      </c>
      <c r="W8" s="89">
        <v>1</v>
      </c>
      <c r="X8" s="155">
        <v>43677</v>
      </c>
      <c r="Y8" s="89">
        <v>50</v>
      </c>
      <c r="Z8" s="155">
        <v>43677</v>
      </c>
      <c r="AA8" s="81">
        <v>31.2</v>
      </c>
      <c r="AB8" s="81"/>
      <c r="AC8" s="89">
        <f t="shared" si="2"/>
        <v>156</v>
      </c>
      <c r="AD8" s="89"/>
      <c r="AE8" s="89"/>
      <c r="AF8" s="155"/>
      <c r="AG8" s="155"/>
      <c r="AH8" s="155"/>
      <c r="AI8" s="155"/>
      <c r="AJ8" s="258">
        <v>1</v>
      </c>
      <c r="AK8" s="81"/>
      <c r="AL8" s="23"/>
    </row>
    <row r="9" spans="1:38" ht="17" x14ac:dyDescent="0.2">
      <c r="A9" s="114" t="s">
        <v>227</v>
      </c>
      <c r="B9" s="19">
        <v>42896</v>
      </c>
      <c r="C9" s="20" t="s">
        <v>112</v>
      </c>
      <c r="D9" s="20" t="s">
        <v>37</v>
      </c>
      <c r="E9" s="20" t="s">
        <v>101</v>
      </c>
      <c r="F9" s="22" t="s">
        <v>174</v>
      </c>
      <c r="G9" s="20"/>
      <c r="H9" s="22"/>
      <c r="I9" s="22"/>
      <c r="J9" s="21"/>
      <c r="K9" s="22">
        <v>413</v>
      </c>
      <c r="L9" s="22">
        <v>1</v>
      </c>
      <c r="M9" s="21">
        <v>80</v>
      </c>
      <c r="N9" s="140">
        <v>43668</v>
      </c>
      <c r="O9" s="21">
        <v>7</v>
      </c>
      <c r="P9" s="34">
        <v>43672</v>
      </c>
      <c r="Q9" s="21">
        <v>4</v>
      </c>
      <c r="R9" s="21">
        <f t="shared" si="1"/>
        <v>500</v>
      </c>
      <c r="S9" s="21">
        <f>75-1-50</f>
        <v>24</v>
      </c>
      <c r="T9" s="49">
        <v>91.4</v>
      </c>
      <c r="U9" s="89">
        <v>50</v>
      </c>
      <c r="V9" s="73">
        <f t="shared" si="0"/>
        <v>4.57</v>
      </c>
      <c r="W9" s="89">
        <v>3</v>
      </c>
      <c r="X9" s="155">
        <v>43682</v>
      </c>
      <c r="Y9" s="89">
        <v>50</v>
      </c>
      <c r="Z9" s="185">
        <v>43683</v>
      </c>
      <c r="AA9" s="81">
        <v>130</v>
      </c>
      <c r="AB9" s="81"/>
      <c r="AC9" s="89">
        <f t="shared" si="2"/>
        <v>650</v>
      </c>
      <c r="AD9" s="89"/>
      <c r="AE9" s="89"/>
      <c r="AF9" s="155">
        <v>43692</v>
      </c>
      <c r="AG9" s="155">
        <v>43692</v>
      </c>
      <c r="AH9" s="155"/>
      <c r="AI9" s="155"/>
      <c r="AJ9" s="258">
        <v>3</v>
      </c>
      <c r="AK9" s="81"/>
      <c r="AL9" s="23"/>
    </row>
    <row r="10" spans="1:38" ht="17" x14ac:dyDescent="0.2">
      <c r="A10" s="114" t="s">
        <v>227</v>
      </c>
      <c r="B10" s="19">
        <v>42898</v>
      </c>
      <c r="C10" s="20" t="s">
        <v>112</v>
      </c>
      <c r="D10" s="20" t="s">
        <v>37</v>
      </c>
      <c r="E10" s="20" t="s">
        <v>101</v>
      </c>
      <c r="F10" s="22" t="s">
        <v>176</v>
      </c>
      <c r="G10" s="20" t="s">
        <v>217</v>
      </c>
      <c r="H10" s="22"/>
      <c r="I10" s="22"/>
      <c r="J10" s="21"/>
      <c r="K10" s="22">
        <v>414</v>
      </c>
      <c r="L10" s="22">
        <v>1</v>
      </c>
      <c r="M10" s="21">
        <v>20</v>
      </c>
      <c r="N10" s="140">
        <v>43669</v>
      </c>
      <c r="O10" s="21">
        <v>8</v>
      </c>
      <c r="P10" s="34">
        <v>43672</v>
      </c>
      <c r="Q10" s="21">
        <v>4</v>
      </c>
      <c r="R10" s="21">
        <f t="shared" si="1"/>
        <v>500</v>
      </c>
      <c r="S10" s="21">
        <f>75-1-50</f>
        <v>24</v>
      </c>
      <c r="T10" s="49">
        <v>136</v>
      </c>
      <c r="U10" s="89">
        <v>50</v>
      </c>
      <c r="V10" s="73">
        <f t="shared" si="0"/>
        <v>6.8</v>
      </c>
      <c r="W10" s="89">
        <v>3</v>
      </c>
      <c r="X10" s="155">
        <v>43682</v>
      </c>
      <c r="Y10" s="89">
        <v>50</v>
      </c>
      <c r="Z10" s="185">
        <v>43683</v>
      </c>
      <c r="AA10" s="81">
        <v>168</v>
      </c>
      <c r="AB10" s="81"/>
      <c r="AC10" s="89">
        <f t="shared" si="2"/>
        <v>840</v>
      </c>
      <c r="AD10" s="89"/>
      <c r="AE10" s="89"/>
      <c r="AF10" s="155">
        <v>43692</v>
      </c>
      <c r="AG10" s="155">
        <v>43692</v>
      </c>
      <c r="AH10" s="155"/>
      <c r="AI10" s="155"/>
      <c r="AJ10" s="258">
        <v>3</v>
      </c>
      <c r="AK10" s="81"/>
      <c r="AL10" s="23"/>
    </row>
    <row r="11" spans="1:38" ht="17" x14ac:dyDescent="0.2">
      <c r="A11" s="114" t="s">
        <v>227</v>
      </c>
      <c r="B11" s="19">
        <v>42898</v>
      </c>
      <c r="C11" s="20" t="s">
        <v>118</v>
      </c>
      <c r="D11" s="20" t="s">
        <v>37</v>
      </c>
      <c r="E11" s="20" t="s">
        <v>103</v>
      </c>
      <c r="F11" s="22" t="s">
        <v>175</v>
      </c>
      <c r="G11" s="20" t="s">
        <v>216</v>
      </c>
      <c r="H11" s="22"/>
      <c r="I11" s="22"/>
      <c r="J11" s="34">
        <v>43666</v>
      </c>
      <c r="K11" s="22">
        <v>421</v>
      </c>
      <c r="L11" s="22">
        <v>1</v>
      </c>
      <c r="M11" s="21">
        <v>10</v>
      </c>
      <c r="N11" s="140">
        <v>43666</v>
      </c>
      <c r="O11" s="21">
        <v>2</v>
      </c>
      <c r="P11" s="34">
        <v>43672</v>
      </c>
      <c r="Q11" s="21">
        <v>2</v>
      </c>
      <c r="R11" s="21">
        <f t="shared" si="1"/>
        <v>500</v>
      </c>
      <c r="S11" s="21">
        <f>75-1-50</f>
        <v>24</v>
      </c>
      <c r="T11" s="49">
        <v>43</v>
      </c>
      <c r="U11" s="89">
        <v>50</v>
      </c>
      <c r="V11" s="73">
        <f t="shared" si="0"/>
        <v>2.15</v>
      </c>
      <c r="W11" s="89">
        <v>1</v>
      </c>
      <c r="X11" s="155">
        <v>43677</v>
      </c>
      <c r="Y11" s="89">
        <v>50</v>
      </c>
      <c r="Z11" s="155">
        <v>43677</v>
      </c>
      <c r="AA11" s="81">
        <v>57.6</v>
      </c>
      <c r="AB11" s="81"/>
      <c r="AC11" s="89">
        <f t="shared" si="2"/>
        <v>288</v>
      </c>
      <c r="AD11" s="89"/>
      <c r="AE11" s="89"/>
      <c r="AF11" s="155"/>
      <c r="AG11" s="155"/>
      <c r="AH11" s="155"/>
      <c r="AI11" s="155"/>
      <c r="AJ11" s="258">
        <v>1</v>
      </c>
      <c r="AK11" s="81"/>
      <c r="AL11" s="23"/>
    </row>
    <row r="12" spans="1:38" ht="17" hidden="1" x14ac:dyDescent="0.2">
      <c r="A12" s="114" t="s">
        <v>227</v>
      </c>
      <c r="B12" s="19">
        <v>42893</v>
      </c>
      <c r="C12" s="20" t="s">
        <v>117</v>
      </c>
      <c r="D12" s="20" t="s">
        <v>37</v>
      </c>
      <c r="E12" s="20" t="s">
        <v>93</v>
      </c>
      <c r="F12" s="22" t="s">
        <v>167</v>
      </c>
      <c r="G12" s="20"/>
      <c r="H12" s="22"/>
      <c r="I12" s="22"/>
      <c r="J12" s="34">
        <v>43666</v>
      </c>
      <c r="K12" s="22">
        <v>431</v>
      </c>
      <c r="L12" s="22">
        <v>1</v>
      </c>
      <c r="M12" s="21">
        <v>20</v>
      </c>
      <c r="N12" s="140">
        <v>43666</v>
      </c>
      <c r="O12" s="21">
        <v>2</v>
      </c>
      <c r="P12" s="34">
        <v>43672</v>
      </c>
      <c r="Q12" s="21">
        <v>2</v>
      </c>
      <c r="R12" s="21">
        <f>1000-500-250</f>
        <v>250</v>
      </c>
      <c r="S12" s="21">
        <f t="shared" ref="S12" si="3">75-1</f>
        <v>74</v>
      </c>
      <c r="T12" s="49">
        <v>43.4</v>
      </c>
      <c r="U12" s="89">
        <v>50</v>
      </c>
      <c r="V12" s="73">
        <f t="shared" si="0"/>
        <v>2.17</v>
      </c>
      <c r="W12" s="89"/>
      <c r="X12" s="73"/>
      <c r="Y12" s="89">
        <v>50</v>
      </c>
      <c r="Z12" s="73"/>
      <c r="AA12" s="81"/>
      <c r="AB12" s="81"/>
      <c r="AC12" s="89">
        <f t="shared" si="2"/>
        <v>0</v>
      </c>
      <c r="AD12" s="89"/>
      <c r="AE12" s="89"/>
      <c r="AF12" s="155"/>
      <c r="AG12" s="155"/>
      <c r="AH12" s="155"/>
      <c r="AI12" s="155"/>
      <c r="AJ12" s="258"/>
      <c r="AK12" s="81"/>
      <c r="AL12" s="23"/>
    </row>
    <row r="13" spans="1:38" ht="17" x14ac:dyDescent="0.2">
      <c r="A13" s="114"/>
      <c r="B13" s="19">
        <v>42893</v>
      </c>
      <c r="C13" s="20" t="s">
        <v>117</v>
      </c>
      <c r="D13" s="20" t="s">
        <v>37</v>
      </c>
      <c r="E13" s="20" t="s">
        <v>93</v>
      </c>
      <c r="F13" s="22" t="s">
        <v>167</v>
      </c>
      <c r="G13" s="20"/>
      <c r="H13" s="22"/>
      <c r="I13" s="22"/>
      <c r="J13" s="34">
        <v>43666</v>
      </c>
      <c r="K13" s="22" t="s">
        <v>255</v>
      </c>
      <c r="L13" s="22">
        <v>1</v>
      </c>
      <c r="M13" s="21">
        <v>20</v>
      </c>
      <c r="N13" s="140">
        <v>43666</v>
      </c>
      <c r="O13" s="21">
        <v>2</v>
      </c>
      <c r="P13" s="34">
        <v>43675</v>
      </c>
      <c r="Q13" s="21">
        <v>7</v>
      </c>
      <c r="R13" s="21">
        <f>1000-500-250</f>
        <v>250</v>
      </c>
      <c r="S13" s="21">
        <f>60-1-50</f>
        <v>9</v>
      </c>
      <c r="T13" s="49">
        <v>61.2</v>
      </c>
      <c r="U13" s="89">
        <v>50</v>
      </c>
      <c r="V13" s="73">
        <f t="shared" si="0"/>
        <v>3.06</v>
      </c>
      <c r="W13" s="89">
        <v>1</v>
      </c>
      <c r="X13" s="155">
        <v>43677</v>
      </c>
      <c r="Y13" s="89">
        <v>50</v>
      </c>
      <c r="Z13" s="155">
        <v>43677</v>
      </c>
      <c r="AA13" s="81">
        <v>83</v>
      </c>
      <c r="AB13" s="81"/>
      <c r="AC13" s="89">
        <f t="shared" si="2"/>
        <v>415</v>
      </c>
      <c r="AD13" s="89"/>
      <c r="AE13" s="89"/>
      <c r="AF13" s="155"/>
      <c r="AG13" s="155"/>
      <c r="AH13" s="155"/>
      <c r="AI13" s="155"/>
      <c r="AJ13" s="258">
        <v>1</v>
      </c>
      <c r="AK13" s="81"/>
      <c r="AL13" s="23"/>
    </row>
    <row r="14" spans="1:38" ht="17" x14ac:dyDescent="0.2">
      <c r="A14" s="114" t="s">
        <v>227</v>
      </c>
      <c r="B14" s="19">
        <v>42903</v>
      </c>
      <c r="C14" s="20" t="s">
        <v>117</v>
      </c>
      <c r="D14" s="20" t="s">
        <v>37</v>
      </c>
      <c r="E14" s="20" t="s">
        <v>93</v>
      </c>
      <c r="F14" s="22" t="s">
        <v>188</v>
      </c>
      <c r="G14" s="20"/>
      <c r="H14" s="22"/>
      <c r="I14" s="22"/>
      <c r="J14" s="21"/>
      <c r="K14" s="22">
        <v>432</v>
      </c>
      <c r="L14" s="22">
        <v>1</v>
      </c>
      <c r="M14" s="21">
        <v>50</v>
      </c>
      <c r="N14" s="140">
        <v>43668</v>
      </c>
      <c r="O14" s="21">
        <v>4</v>
      </c>
      <c r="P14" s="34">
        <v>43672</v>
      </c>
      <c r="Q14" s="21">
        <v>2</v>
      </c>
      <c r="R14" s="21">
        <f>1000-500-250</f>
        <v>250</v>
      </c>
      <c r="S14" s="21">
        <f>75-1-50</f>
        <v>24</v>
      </c>
      <c r="T14" s="49">
        <v>47.6</v>
      </c>
      <c r="U14" s="89">
        <v>50</v>
      </c>
      <c r="V14" s="73">
        <f t="shared" si="0"/>
        <v>2.38</v>
      </c>
      <c r="W14" s="89">
        <v>1</v>
      </c>
      <c r="X14" s="155">
        <v>43677</v>
      </c>
      <c r="Y14" s="89">
        <v>50</v>
      </c>
      <c r="Z14" s="155">
        <v>43677</v>
      </c>
      <c r="AA14" s="81">
        <v>74</v>
      </c>
      <c r="AB14" s="81"/>
      <c r="AC14" s="89">
        <f t="shared" si="2"/>
        <v>370</v>
      </c>
      <c r="AD14" s="89"/>
      <c r="AE14" s="89"/>
      <c r="AF14" s="155"/>
      <c r="AG14" s="155"/>
      <c r="AH14" s="155"/>
      <c r="AI14" s="155"/>
      <c r="AJ14" s="258">
        <v>1</v>
      </c>
      <c r="AK14" s="81"/>
      <c r="AL14" s="23"/>
    </row>
    <row r="15" spans="1:38" ht="17" hidden="1" x14ac:dyDescent="0.2">
      <c r="A15" s="114"/>
      <c r="B15" s="19">
        <v>42903</v>
      </c>
      <c r="C15" s="20" t="s">
        <v>117</v>
      </c>
      <c r="D15" s="20" t="s">
        <v>37</v>
      </c>
      <c r="E15" s="20" t="s">
        <v>93</v>
      </c>
      <c r="F15" s="22" t="s">
        <v>188</v>
      </c>
      <c r="G15" s="20"/>
      <c r="H15" s="22"/>
      <c r="I15" s="22"/>
      <c r="J15" s="21"/>
      <c r="K15" s="22" t="s">
        <v>256</v>
      </c>
      <c r="L15" s="22">
        <v>1</v>
      </c>
      <c r="M15" s="21">
        <v>50</v>
      </c>
      <c r="N15" s="140">
        <v>43668</v>
      </c>
      <c r="O15" s="21">
        <v>4</v>
      </c>
      <c r="P15" s="34">
        <v>43675</v>
      </c>
      <c r="Q15" s="21">
        <v>7</v>
      </c>
      <c r="R15" s="21">
        <f>1000-500-250</f>
        <v>250</v>
      </c>
      <c r="S15" s="21">
        <f>60-1</f>
        <v>59</v>
      </c>
      <c r="T15" s="49">
        <v>42.6</v>
      </c>
      <c r="U15" s="89"/>
      <c r="V15" s="73"/>
      <c r="W15" s="89"/>
      <c r="X15" s="73"/>
      <c r="Y15" s="89"/>
      <c r="Z15" s="73"/>
      <c r="AA15" s="81"/>
      <c r="AB15" s="81"/>
      <c r="AC15" s="89">
        <f t="shared" si="2"/>
        <v>0</v>
      </c>
      <c r="AD15" s="89"/>
      <c r="AE15" s="89"/>
      <c r="AF15" s="155"/>
      <c r="AG15" s="155"/>
      <c r="AH15" s="155"/>
      <c r="AI15" s="155"/>
      <c r="AJ15" s="258"/>
      <c r="AK15" s="81"/>
      <c r="AL15" s="23"/>
    </row>
    <row r="16" spans="1:38" s="138" customFormat="1" ht="17" hidden="1" x14ac:dyDescent="0.2">
      <c r="A16" s="136" t="s">
        <v>227</v>
      </c>
      <c r="B16" s="68">
        <v>42903</v>
      </c>
      <c r="C16" s="69" t="s">
        <v>112</v>
      </c>
      <c r="D16" s="69" t="s">
        <v>37</v>
      </c>
      <c r="E16" s="69" t="s">
        <v>93</v>
      </c>
      <c r="F16" s="63" t="s">
        <v>189</v>
      </c>
      <c r="G16" s="69" t="s">
        <v>222</v>
      </c>
      <c r="H16" s="63"/>
      <c r="I16" s="63"/>
      <c r="J16" s="64"/>
      <c r="K16" s="63">
        <v>433</v>
      </c>
      <c r="L16" s="63" t="s">
        <v>237</v>
      </c>
      <c r="M16" s="64" t="s">
        <v>237</v>
      </c>
      <c r="N16" s="144" t="s">
        <v>237</v>
      </c>
      <c r="O16" s="64" t="s">
        <v>237</v>
      </c>
      <c r="P16" s="64" t="s">
        <v>237</v>
      </c>
      <c r="Q16" s="64" t="s">
        <v>237</v>
      </c>
      <c r="R16" s="64" t="s">
        <v>237</v>
      </c>
      <c r="S16" s="64" t="s">
        <v>237</v>
      </c>
      <c r="T16" s="66" t="s">
        <v>237</v>
      </c>
      <c r="U16" s="91" t="s">
        <v>237</v>
      </c>
      <c r="V16" s="75" t="s">
        <v>237</v>
      </c>
      <c r="W16" s="91"/>
      <c r="X16" s="75"/>
      <c r="Y16" s="91"/>
      <c r="Z16" s="75"/>
      <c r="AA16" s="83"/>
      <c r="AB16" s="83"/>
      <c r="AC16" s="89">
        <f t="shared" si="2"/>
        <v>0</v>
      </c>
      <c r="AD16" s="89"/>
      <c r="AE16" s="89"/>
      <c r="AF16" s="155"/>
      <c r="AG16" s="155"/>
      <c r="AH16" s="155"/>
      <c r="AI16" s="155"/>
      <c r="AJ16" s="258"/>
      <c r="AK16" s="81"/>
      <c r="AL16" s="137"/>
    </row>
    <row r="17" spans="1:41" ht="18" thickBot="1" x14ac:dyDescent="0.25">
      <c r="A17" s="114" t="s">
        <v>227</v>
      </c>
      <c r="B17" s="24">
        <v>42905</v>
      </c>
      <c r="C17" s="25" t="s">
        <v>117</v>
      </c>
      <c r="D17" s="25" t="s">
        <v>37</v>
      </c>
      <c r="E17" s="25" t="s">
        <v>93</v>
      </c>
      <c r="F17" s="27" t="s">
        <v>190</v>
      </c>
      <c r="G17" s="25"/>
      <c r="H17" s="27"/>
      <c r="I17" s="27"/>
      <c r="J17" s="26"/>
      <c r="K17" s="27">
        <v>434</v>
      </c>
      <c r="L17" s="27">
        <v>1</v>
      </c>
      <c r="M17" s="26">
        <v>60</v>
      </c>
      <c r="N17" s="141">
        <v>43669</v>
      </c>
      <c r="O17" s="26">
        <v>9</v>
      </c>
      <c r="P17" s="26"/>
      <c r="Q17" s="26">
        <v>5</v>
      </c>
      <c r="R17" s="26">
        <f>1000-500</f>
        <v>500</v>
      </c>
      <c r="S17" s="26">
        <f>75-1-50</f>
        <v>24</v>
      </c>
      <c r="T17" s="50">
        <v>67.8</v>
      </c>
      <c r="U17" s="90">
        <v>50</v>
      </c>
      <c r="V17" s="74">
        <f>U17*T17/1000</f>
        <v>3.39</v>
      </c>
      <c r="W17" s="90">
        <v>3</v>
      </c>
      <c r="X17" s="187">
        <v>43682</v>
      </c>
      <c r="Y17" s="90">
        <v>50</v>
      </c>
      <c r="Z17" s="185">
        <v>43683</v>
      </c>
      <c r="AA17" s="82">
        <v>63</v>
      </c>
      <c r="AB17" s="156"/>
      <c r="AC17" s="89">
        <f t="shared" si="2"/>
        <v>315</v>
      </c>
      <c r="AD17" s="89"/>
      <c r="AE17" s="89"/>
      <c r="AF17" s="155">
        <v>43692</v>
      </c>
      <c r="AG17" s="155">
        <v>43692</v>
      </c>
      <c r="AH17" s="253"/>
      <c r="AI17" s="253"/>
      <c r="AJ17" s="259">
        <v>3</v>
      </c>
      <c r="AK17" s="156"/>
      <c r="AL17" s="28"/>
    </row>
    <row r="18" spans="1:41" ht="18" thickBot="1" x14ac:dyDescent="0.25">
      <c r="A18" s="114"/>
      <c r="B18" s="29"/>
      <c r="C18" s="30"/>
      <c r="D18" s="30"/>
      <c r="E18" s="30"/>
      <c r="F18" s="32"/>
      <c r="G18" s="30"/>
      <c r="H18" s="32"/>
      <c r="I18" s="32"/>
      <c r="J18" s="31"/>
      <c r="K18" s="32"/>
      <c r="L18" s="32"/>
      <c r="M18" s="31"/>
      <c r="N18" s="142"/>
      <c r="O18" s="31"/>
      <c r="P18" s="31"/>
      <c r="Q18" s="31"/>
      <c r="R18" s="31"/>
      <c r="S18" s="31"/>
      <c r="T18" s="51"/>
      <c r="U18" s="58"/>
      <c r="V18" s="42"/>
      <c r="W18" s="58"/>
      <c r="X18" s="42"/>
      <c r="Y18" s="58"/>
      <c r="Z18" s="42"/>
      <c r="AA18" s="51"/>
      <c r="AB18" s="51"/>
      <c r="AC18" s="58"/>
      <c r="AD18" s="58"/>
      <c r="AE18" s="58"/>
      <c r="AF18" s="174"/>
      <c r="AG18" s="174"/>
      <c r="AH18" s="174"/>
      <c r="AI18" s="174"/>
      <c r="AJ18" s="260"/>
      <c r="AK18" s="51"/>
      <c r="AL18" s="31"/>
    </row>
    <row r="19" spans="1:41" ht="17" x14ac:dyDescent="0.2">
      <c r="A19" s="114" t="s">
        <v>227</v>
      </c>
      <c r="B19" s="14">
        <v>42880</v>
      </c>
      <c r="C19" s="15" t="s">
        <v>110</v>
      </c>
      <c r="D19" s="15" t="s">
        <v>75</v>
      </c>
      <c r="E19" s="15" t="s">
        <v>96</v>
      </c>
      <c r="F19" s="17" t="s">
        <v>136</v>
      </c>
      <c r="G19" s="15"/>
      <c r="H19" s="17"/>
      <c r="I19" s="17"/>
      <c r="J19" s="36">
        <v>43665</v>
      </c>
      <c r="K19" s="17">
        <v>441</v>
      </c>
      <c r="L19" s="17">
        <v>1</v>
      </c>
      <c r="M19" s="16">
        <v>70</v>
      </c>
      <c r="N19" s="143">
        <v>43665</v>
      </c>
      <c r="O19" s="16">
        <v>1</v>
      </c>
      <c r="P19" s="36">
        <v>43670</v>
      </c>
      <c r="Q19" s="16">
        <v>1</v>
      </c>
      <c r="R19" s="16">
        <f>1000-500</f>
        <v>500</v>
      </c>
      <c r="S19" s="16">
        <f>100-1-50</f>
        <v>49</v>
      </c>
      <c r="T19" s="48">
        <v>46</v>
      </c>
      <c r="U19" s="88">
        <v>50</v>
      </c>
      <c r="V19" s="72">
        <f>U19*T19/1000</f>
        <v>2.2999999999999998</v>
      </c>
      <c r="W19" s="88">
        <v>1</v>
      </c>
      <c r="X19" s="154">
        <v>43677</v>
      </c>
      <c r="Y19" s="88">
        <v>50</v>
      </c>
      <c r="Z19" s="154">
        <v>43677</v>
      </c>
      <c r="AA19" s="80">
        <v>16.2</v>
      </c>
      <c r="AB19" s="177"/>
      <c r="AC19" s="89">
        <f t="shared" ref="AC19:AC42" si="4">AA19*5</f>
        <v>81</v>
      </c>
      <c r="AD19" s="175"/>
      <c r="AE19" s="175"/>
      <c r="AF19" s="176"/>
      <c r="AG19" s="176"/>
      <c r="AH19" s="176"/>
      <c r="AI19" s="176"/>
      <c r="AJ19" s="261">
        <v>1</v>
      </c>
      <c r="AK19" s="81"/>
      <c r="AL19" s="18"/>
    </row>
    <row r="20" spans="1:41" ht="17" hidden="1" x14ac:dyDescent="0.2">
      <c r="A20" s="114" t="s">
        <v>227</v>
      </c>
      <c r="B20" s="19">
        <v>42889</v>
      </c>
      <c r="C20" s="20" t="s">
        <v>110</v>
      </c>
      <c r="D20" s="20" t="s">
        <v>75</v>
      </c>
      <c r="E20" s="20" t="s">
        <v>96</v>
      </c>
      <c r="F20" s="22" t="s">
        <v>154</v>
      </c>
      <c r="G20" s="20"/>
      <c r="H20" s="22"/>
      <c r="I20" s="22"/>
      <c r="J20" s="21"/>
      <c r="K20" s="22">
        <v>442</v>
      </c>
      <c r="L20" s="22">
        <v>1</v>
      </c>
      <c r="M20" s="21">
        <v>80</v>
      </c>
      <c r="N20" s="140">
        <v>43666</v>
      </c>
      <c r="O20" s="21">
        <v>3</v>
      </c>
      <c r="P20" s="34">
        <v>43672</v>
      </c>
      <c r="Q20" s="21">
        <v>2</v>
      </c>
      <c r="R20" s="21">
        <f>1000-500-250</f>
        <v>250</v>
      </c>
      <c r="S20" s="21">
        <f>75-1</f>
        <v>74</v>
      </c>
      <c r="T20" s="49" t="s">
        <v>244</v>
      </c>
      <c r="U20" s="89"/>
      <c r="V20" s="73"/>
      <c r="W20" s="89"/>
      <c r="X20" s="73"/>
      <c r="Y20" s="89"/>
      <c r="Z20" s="73"/>
      <c r="AA20" s="81"/>
      <c r="AB20" s="81"/>
      <c r="AC20" s="89">
        <f t="shared" si="4"/>
        <v>0</v>
      </c>
      <c r="AD20" s="89"/>
      <c r="AE20" s="89"/>
      <c r="AF20" s="155"/>
      <c r="AG20" s="155"/>
      <c r="AH20" s="155"/>
      <c r="AI20" s="155"/>
      <c r="AJ20" s="258"/>
      <c r="AK20" s="81"/>
      <c r="AL20" s="23"/>
    </row>
    <row r="21" spans="1:41" ht="17" x14ac:dyDescent="0.2">
      <c r="A21" s="114"/>
      <c r="B21" s="19">
        <v>42889</v>
      </c>
      <c r="C21" s="20" t="s">
        <v>110</v>
      </c>
      <c r="D21" s="20" t="s">
        <v>75</v>
      </c>
      <c r="E21" s="20" t="s">
        <v>96</v>
      </c>
      <c r="F21" s="22" t="s">
        <v>154</v>
      </c>
      <c r="G21" s="20"/>
      <c r="H21" s="22"/>
      <c r="I21" s="22"/>
      <c r="J21" s="21"/>
      <c r="K21" s="22" t="s">
        <v>257</v>
      </c>
      <c r="L21" s="22">
        <v>1</v>
      </c>
      <c r="M21" s="21">
        <v>80</v>
      </c>
      <c r="N21" s="140">
        <v>43666</v>
      </c>
      <c r="O21" s="21">
        <v>3</v>
      </c>
      <c r="P21" s="34">
        <v>43675</v>
      </c>
      <c r="Q21" s="21">
        <v>7</v>
      </c>
      <c r="R21" s="21">
        <f>1000-500-250</f>
        <v>250</v>
      </c>
      <c r="S21" s="21">
        <f>60-1-50</f>
        <v>9</v>
      </c>
      <c r="T21" s="49">
        <v>56.2</v>
      </c>
      <c r="U21" s="89">
        <v>50</v>
      </c>
      <c r="V21" s="73">
        <f t="shared" ref="V21:V42" si="5">U21*T21/1000</f>
        <v>2.81</v>
      </c>
      <c r="W21" s="89">
        <v>1</v>
      </c>
      <c r="X21" s="155">
        <v>43677</v>
      </c>
      <c r="Y21" s="89">
        <v>50</v>
      </c>
      <c r="Z21" s="155">
        <v>43677</v>
      </c>
      <c r="AA21" s="81">
        <v>69.8</v>
      </c>
      <c r="AB21" s="81"/>
      <c r="AC21" s="89">
        <f t="shared" si="4"/>
        <v>349</v>
      </c>
      <c r="AD21" s="89"/>
      <c r="AE21" s="89"/>
      <c r="AF21" s="155"/>
      <c r="AG21" s="155"/>
      <c r="AH21" s="155"/>
      <c r="AI21" s="155"/>
      <c r="AJ21" s="258">
        <v>1</v>
      </c>
      <c r="AK21" s="81"/>
      <c r="AL21" s="23"/>
    </row>
    <row r="22" spans="1:41" ht="17" x14ac:dyDescent="0.2">
      <c r="A22" s="114" t="s">
        <v>227</v>
      </c>
      <c r="B22" s="19">
        <v>42893</v>
      </c>
      <c r="C22" s="20" t="s">
        <v>110</v>
      </c>
      <c r="D22" s="20" t="s">
        <v>75</v>
      </c>
      <c r="E22" s="20" t="s">
        <v>96</v>
      </c>
      <c r="F22" s="22" t="s">
        <v>169</v>
      </c>
      <c r="G22" s="20"/>
      <c r="H22" s="22"/>
      <c r="I22" s="22"/>
      <c r="J22" s="21"/>
      <c r="K22" s="22">
        <v>443</v>
      </c>
      <c r="L22" s="22">
        <v>1</v>
      </c>
      <c r="M22" s="21">
        <v>60</v>
      </c>
      <c r="N22" s="140">
        <v>43668</v>
      </c>
      <c r="O22" s="21">
        <v>6</v>
      </c>
      <c r="P22" s="34">
        <v>43672</v>
      </c>
      <c r="Q22" s="21">
        <v>4</v>
      </c>
      <c r="R22" s="21">
        <f>1000-500-250</f>
        <v>250</v>
      </c>
      <c r="S22" s="116">
        <f>74-50</f>
        <v>24</v>
      </c>
      <c r="T22" s="49">
        <v>58.4</v>
      </c>
      <c r="U22" s="89">
        <v>50</v>
      </c>
      <c r="V22" s="73">
        <f t="shared" si="5"/>
        <v>2.92</v>
      </c>
      <c r="W22" s="89">
        <v>3</v>
      </c>
      <c r="X22" s="155">
        <v>43682</v>
      </c>
      <c r="Y22" s="89">
        <v>50</v>
      </c>
      <c r="Z22" s="185">
        <v>43683</v>
      </c>
      <c r="AA22" s="81">
        <v>60.2</v>
      </c>
      <c r="AB22" s="81"/>
      <c r="AC22" s="89">
        <f t="shared" si="4"/>
        <v>301</v>
      </c>
      <c r="AD22" s="89"/>
      <c r="AE22" s="89"/>
      <c r="AF22" s="155">
        <v>43692</v>
      </c>
      <c r="AG22" s="155">
        <v>43692</v>
      </c>
      <c r="AH22" s="155"/>
      <c r="AI22" s="155"/>
      <c r="AJ22" s="258">
        <v>3</v>
      </c>
      <c r="AK22" s="81"/>
      <c r="AL22" s="23"/>
    </row>
    <row r="23" spans="1:41" ht="17" hidden="1" x14ac:dyDescent="0.2">
      <c r="A23" s="114"/>
      <c r="B23" s="19">
        <v>42893</v>
      </c>
      <c r="C23" s="20" t="s">
        <v>110</v>
      </c>
      <c r="D23" s="20" t="s">
        <v>75</v>
      </c>
      <c r="E23" s="20" t="s">
        <v>96</v>
      </c>
      <c r="F23" s="22" t="s">
        <v>169</v>
      </c>
      <c r="G23" s="20"/>
      <c r="H23" s="22"/>
      <c r="I23" s="22"/>
      <c r="J23" s="21"/>
      <c r="K23" s="22" t="s">
        <v>258</v>
      </c>
      <c r="L23" s="22">
        <v>1</v>
      </c>
      <c r="M23" s="21">
        <v>60</v>
      </c>
      <c r="N23" s="140">
        <v>43668</v>
      </c>
      <c r="O23" s="21">
        <v>6</v>
      </c>
      <c r="P23" s="34">
        <v>43675</v>
      </c>
      <c r="Q23" s="21">
        <v>7</v>
      </c>
      <c r="R23" s="21">
        <f>1000-500-250</f>
        <v>250</v>
      </c>
      <c r="S23" s="21">
        <f>60-1</f>
        <v>59</v>
      </c>
      <c r="T23" s="49">
        <v>72.400000000000006</v>
      </c>
      <c r="U23" s="89">
        <v>50</v>
      </c>
      <c r="V23" s="73">
        <f t="shared" si="5"/>
        <v>3.6200000000000006</v>
      </c>
      <c r="W23" s="89"/>
      <c r="X23" s="155">
        <v>43682</v>
      </c>
      <c r="Y23" s="89">
        <v>50</v>
      </c>
      <c r="Z23" s="155"/>
      <c r="AA23" s="81"/>
      <c r="AB23" s="81"/>
      <c r="AC23" s="89">
        <f t="shared" si="4"/>
        <v>0</v>
      </c>
      <c r="AD23" s="89"/>
      <c r="AE23" s="89"/>
      <c r="AF23" s="155">
        <v>43692</v>
      </c>
      <c r="AG23" s="155">
        <v>43692</v>
      </c>
      <c r="AH23" s="155"/>
      <c r="AI23" s="155"/>
      <c r="AJ23" s="258"/>
      <c r="AK23" s="81"/>
      <c r="AL23" s="23"/>
    </row>
    <row r="24" spans="1:41" ht="17" x14ac:dyDescent="0.2">
      <c r="A24" s="114" t="s">
        <v>227</v>
      </c>
      <c r="B24" s="19">
        <v>42900</v>
      </c>
      <c r="C24" s="20" t="s">
        <v>119</v>
      </c>
      <c r="D24" s="20" t="s">
        <v>75</v>
      </c>
      <c r="E24" s="20" t="s">
        <v>96</v>
      </c>
      <c r="F24" s="22" t="s">
        <v>179</v>
      </c>
      <c r="G24" s="20"/>
      <c r="H24" s="22"/>
      <c r="I24" s="22"/>
      <c r="J24" s="21"/>
      <c r="K24" s="22">
        <v>444</v>
      </c>
      <c r="L24" s="22">
        <v>1</v>
      </c>
      <c r="M24" s="21">
        <v>80</v>
      </c>
      <c r="N24" s="140">
        <v>43668</v>
      </c>
      <c r="O24" s="21">
        <v>7</v>
      </c>
      <c r="P24" s="34">
        <v>43672</v>
      </c>
      <c r="Q24" s="21">
        <v>4</v>
      </c>
      <c r="R24" s="21">
        <f t="shared" ref="R24:R26" si="6">1000-500</f>
        <v>500</v>
      </c>
      <c r="S24" s="116">
        <f>74-50</f>
        <v>24</v>
      </c>
      <c r="T24" s="49">
        <v>91.2</v>
      </c>
      <c r="U24" s="89">
        <v>50</v>
      </c>
      <c r="V24" s="73">
        <f t="shared" si="5"/>
        <v>4.5599999999999996</v>
      </c>
      <c r="W24" s="89">
        <v>3</v>
      </c>
      <c r="X24" s="155">
        <v>43682</v>
      </c>
      <c r="Y24" s="89">
        <v>50</v>
      </c>
      <c r="Z24" s="185">
        <v>43683</v>
      </c>
      <c r="AA24" s="81">
        <v>70.599999999999994</v>
      </c>
      <c r="AB24" s="81"/>
      <c r="AC24" s="89">
        <f t="shared" si="4"/>
        <v>353</v>
      </c>
      <c r="AD24" s="89"/>
      <c r="AE24" s="89"/>
      <c r="AF24" s="155">
        <v>43692</v>
      </c>
      <c r="AG24" s="155">
        <v>43692</v>
      </c>
      <c r="AH24" s="155"/>
      <c r="AI24" s="155"/>
      <c r="AJ24" s="258">
        <v>3</v>
      </c>
      <c r="AK24" s="81"/>
      <c r="AL24" s="23"/>
    </row>
    <row r="25" spans="1:41" ht="17" x14ac:dyDescent="0.2">
      <c r="A25" s="114" t="s">
        <v>227</v>
      </c>
      <c r="B25" s="19">
        <v>42901</v>
      </c>
      <c r="C25" s="20" t="s">
        <v>119</v>
      </c>
      <c r="D25" s="20" t="s">
        <v>75</v>
      </c>
      <c r="E25" s="20" t="s">
        <v>96</v>
      </c>
      <c r="F25" s="22" t="s">
        <v>181</v>
      </c>
      <c r="G25" s="20"/>
      <c r="H25" s="22"/>
      <c r="I25" s="22"/>
      <c r="J25" s="21"/>
      <c r="K25" s="22">
        <v>445</v>
      </c>
      <c r="L25" s="22">
        <v>1</v>
      </c>
      <c r="M25" s="21">
        <v>40</v>
      </c>
      <c r="N25" s="140">
        <v>43669</v>
      </c>
      <c r="O25" s="21">
        <v>8</v>
      </c>
      <c r="P25" s="34">
        <v>43672</v>
      </c>
      <c r="Q25" s="21">
        <v>5</v>
      </c>
      <c r="R25" s="21">
        <f t="shared" si="6"/>
        <v>500</v>
      </c>
      <c r="S25" s="116">
        <f>74-50</f>
        <v>24</v>
      </c>
      <c r="T25" s="49">
        <v>132</v>
      </c>
      <c r="U25" s="89">
        <v>50</v>
      </c>
      <c r="V25" s="73">
        <f t="shared" si="5"/>
        <v>6.6</v>
      </c>
      <c r="W25" s="89">
        <v>3</v>
      </c>
      <c r="X25" s="155">
        <v>43682</v>
      </c>
      <c r="Y25" s="89">
        <v>50</v>
      </c>
      <c r="Z25" s="185">
        <v>43683</v>
      </c>
      <c r="AA25" s="81">
        <v>160</v>
      </c>
      <c r="AB25" s="81"/>
      <c r="AC25" s="89">
        <f t="shared" si="4"/>
        <v>800</v>
      </c>
      <c r="AD25" s="89"/>
      <c r="AE25" s="89"/>
      <c r="AF25" s="155"/>
      <c r="AG25" s="155">
        <v>43692</v>
      </c>
      <c r="AH25" s="155"/>
      <c r="AI25" s="155"/>
      <c r="AJ25" s="258">
        <v>2</v>
      </c>
      <c r="AK25" s="81"/>
      <c r="AL25" s="23"/>
      <c r="AO25" s="115">
        <f>19+27</f>
        <v>46</v>
      </c>
    </row>
    <row r="26" spans="1:41" ht="17" x14ac:dyDescent="0.2">
      <c r="A26" s="114" t="s">
        <v>227</v>
      </c>
      <c r="B26" s="19">
        <v>42879</v>
      </c>
      <c r="C26" s="20" t="s">
        <v>106</v>
      </c>
      <c r="D26" s="20" t="s">
        <v>75</v>
      </c>
      <c r="E26" s="20" t="s">
        <v>101</v>
      </c>
      <c r="F26" s="22" t="s">
        <v>132</v>
      </c>
      <c r="G26" s="20"/>
      <c r="H26" s="22"/>
      <c r="I26" s="22"/>
      <c r="J26" s="34">
        <v>43665</v>
      </c>
      <c r="K26" s="22">
        <v>451</v>
      </c>
      <c r="L26" s="22">
        <v>1</v>
      </c>
      <c r="M26" s="21">
        <v>70</v>
      </c>
      <c r="N26" s="140">
        <v>43665</v>
      </c>
      <c r="O26" s="21">
        <v>1</v>
      </c>
      <c r="P26" s="67">
        <v>43670</v>
      </c>
      <c r="Q26" s="21">
        <v>1</v>
      </c>
      <c r="R26" s="21">
        <f t="shared" si="6"/>
        <v>500</v>
      </c>
      <c r="S26" s="21">
        <f>100-1-50</f>
        <v>49</v>
      </c>
      <c r="T26" s="49">
        <v>68.400000000000006</v>
      </c>
      <c r="U26" s="89">
        <v>50</v>
      </c>
      <c r="V26" s="73">
        <f t="shared" si="5"/>
        <v>3.4200000000000004</v>
      </c>
      <c r="W26" s="89">
        <v>1</v>
      </c>
      <c r="X26" s="155">
        <v>43677</v>
      </c>
      <c r="Y26" s="89">
        <v>50</v>
      </c>
      <c r="Z26" s="155">
        <v>43677</v>
      </c>
      <c r="AA26" s="81">
        <v>68.400000000000006</v>
      </c>
      <c r="AB26" s="81"/>
      <c r="AC26" s="89">
        <f t="shared" si="4"/>
        <v>342</v>
      </c>
      <c r="AD26" s="89"/>
      <c r="AE26" s="89"/>
      <c r="AF26" s="155"/>
      <c r="AG26" s="155"/>
      <c r="AH26" s="155"/>
      <c r="AI26" s="155"/>
      <c r="AJ26" s="258">
        <v>1</v>
      </c>
      <c r="AK26" s="81"/>
      <c r="AL26" s="23"/>
    </row>
    <row r="27" spans="1:41" ht="16" hidden="1" customHeight="1" x14ac:dyDescent="0.2">
      <c r="A27" s="114" t="s">
        <v>227</v>
      </c>
      <c r="B27" s="19">
        <v>42879</v>
      </c>
      <c r="C27" s="20" t="s">
        <v>108</v>
      </c>
      <c r="D27" s="20" t="s">
        <v>75</v>
      </c>
      <c r="E27" s="20" t="s">
        <v>101</v>
      </c>
      <c r="F27" s="22" t="s">
        <v>134</v>
      </c>
      <c r="G27" s="20"/>
      <c r="H27" s="22"/>
      <c r="I27" s="22"/>
      <c r="J27" s="21"/>
      <c r="K27" s="22">
        <v>452</v>
      </c>
      <c r="L27" s="22">
        <v>1</v>
      </c>
      <c r="M27" s="21">
        <v>80</v>
      </c>
      <c r="N27" s="140">
        <v>43666</v>
      </c>
      <c r="O27" s="21">
        <v>3</v>
      </c>
      <c r="P27" s="34">
        <v>43672</v>
      </c>
      <c r="Q27" s="21">
        <v>2</v>
      </c>
      <c r="R27" s="21">
        <f>1000-500-250</f>
        <v>250</v>
      </c>
      <c r="S27" s="21">
        <f>75-1</f>
        <v>74</v>
      </c>
      <c r="T27" s="49">
        <v>37.799999999999997</v>
      </c>
      <c r="U27" s="89">
        <v>50</v>
      </c>
      <c r="V27" s="73">
        <f t="shared" si="5"/>
        <v>1.8899999999999997</v>
      </c>
      <c r="W27" s="89"/>
      <c r="X27" s="73"/>
      <c r="Y27" s="89">
        <v>50</v>
      </c>
      <c r="Z27" s="73"/>
      <c r="AA27" s="81"/>
      <c r="AB27" s="81"/>
      <c r="AC27" s="89">
        <f t="shared" si="4"/>
        <v>0</v>
      </c>
      <c r="AD27" s="89"/>
      <c r="AE27" s="89"/>
      <c r="AF27" s="155"/>
      <c r="AG27" s="155"/>
      <c r="AH27" s="155"/>
      <c r="AI27" s="155"/>
      <c r="AJ27" s="258"/>
      <c r="AK27" s="81"/>
      <c r="AL27" s="23" t="s">
        <v>247</v>
      </c>
    </row>
    <row r="28" spans="1:41" ht="16" customHeight="1" x14ac:dyDescent="0.2">
      <c r="A28" s="114"/>
      <c r="B28" s="19">
        <v>42879</v>
      </c>
      <c r="C28" s="20" t="s">
        <v>108</v>
      </c>
      <c r="D28" s="20" t="s">
        <v>75</v>
      </c>
      <c r="E28" s="20" t="s">
        <v>101</v>
      </c>
      <c r="F28" s="22" t="s">
        <v>134</v>
      </c>
      <c r="G28" s="20"/>
      <c r="H28" s="22"/>
      <c r="I28" s="22"/>
      <c r="J28" s="21"/>
      <c r="K28" s="22" t="s">
        <v>259</v>
      </c>
      <c r="L28" s="22">
        <v>1</v>
      </c>
      <c r="M28" s="21">
        <v>80</v>
      </c>
      <c r="N28" s="140">
        <v>43666</v>
      </c>
      <c r="O28" s="21">
        <v>3</v>
      </c>
      <c r="P28" s="34">
        <v>43675</v>
      </c>
      <c r="Q28" s="21">
        <v>7</v>
      </c>
      <c r="R28" s="21">
        <f>1000-500-250</f>
        <v>250</v>
      </c>
      <c r="S28" s="21">
        <f>60-1-50</f>
        <v>9</v>
      </c>
      <c r="T28" s="49">
        <v>48.4</v>
      </c>
      <c r="U28" s="89">
        <v>50</v>
      </c>
      <c r="V28" s="73">
        <f t="shared" si="5"/>
        <v>2.42</v>
      </c>
      <c r="W28" s="89">
        <v>1</v>
      </c>
      <c r="X28" s="155">
        <v>43677</v>
      </c>
      <c r="Y28" s="89">
        <v>50</v>
      </c>
      <c r="Z28" s="155">
        <v>43677</v>
      </c>
      <c r="AA28" s="81">
        <v>97.2</v>
      </c>
      <c r="AB28" s="81"/>
      <c r="AC28" s="89">
        <f t="shared" si="4"/>
        <v>486</v>
      </c>
      <c r="AD28" s="89"/>
      <c r="AE28" s="89"/>
      <c r="AF28" s="155"/>
      <c r="AG28" s="155"/>
      <c r="AH28" s="155"/>
      <c r="AI28" s="155"/>
      <c r="AJ28" s="258">
        <v>1</v>
      </c>
      <c r="AK28" s="81"/>
      <c r="AL28" s="23"/>
    </row>
    <row r="29" spans="1:41" ht="17" x14ac:dyDescent="0.2">
      <c r="A29" s="114" t="s">
        <v>227</v>
      </c>
      <c r="B29" s="19">
        <v>42889</v>
      </c>
      <c r="C29" s="20" t="s">
        <v>106</v>
      </c>
      <c r="D29" s="20" t="s">
        <v>75</v>
      </c>
      <c r="E29" s="20" t="s">
        <v>101</v>
      </c>
      <c r="F29" s="22" t="s">
        <v>152</v>
      </c>
      <c r="G29" s="20"/>
      <c r="H29" s="22"/>
      <c r="I29" s="22"/>
      <c r="J29" s="21"/>
      <c r="K29" s="22">
        <v>453</v>
      </c>
      <c r="L29" s="22">
        <v>1</v>
      </c>
      <c r="M29" s="21">
        <v>80</v>
      </c>
      <c r="N29" s="140">
        <v>43669</v>
      </c>
      <c r="O29" s="21">
        <v>9</v>
      </c>
      <c r="P29" s="34">
        <v>43673</v>
      </c>
      <c r="Q29" s="21">
        <v>6</v>
      </c>
      <c r="R29" s="21">
        <v>500</v>
      </c>
      <c r="S29" s="21">
        <f>75-1-50</f>
        <v>24</v>
      </c>
      <c r="T29" s="49">
        <v>85.2</v>
      </c>
      <c r="U29" s="89">
        <v>50</v>
      </c>
      <c r="V29" s="73">
        <f t="shared" si="5"/>
        <v>4.26</v>
      </c>
      <c r="W29" s="89">
        <v>3</v>
      </c>
      <c r="X29" s="155">
        <v>43682</v>
      </c>
      <c r="Y29" s="89">
        <v>50</v>
      </c>
      <c r="Z29" s="185">
        <v>43683</v>
      </c>
      <c r="AA29" s="81">
        <v>196</v>
      </c>
      <c r="AB29" s="81"/>
      <c r="AC29" s="89">
        <f t="shared" si="4"/>
        <v>980</v>
      </c>
      <c r="AD29" s="89"/>
      <c r="AE29" s="89"/>
      <c r="AF29" s="155"/>
      <c r="AG29" s="155">
        <v>43692</v>
      </c>
      <c r="AH29" s="155"/>
      <c r="AI29" s="155"/>
      <c r="AJ29" s="258">
        <v>2</v>
      </c>
      <c r="AK29" s="81"/>
      <c r="AL29" s="23"/>
    </row>
    <row r="30" spans="1:41" ht="17" hidden="1" x14ac:dyDescent="0.2">
      <c r="A30" s="114" t="s">
        <v>227</v>
      </c>
      <c r="B30" s="19">
        <v>42881</v>
      </c>
      <c r="C30" s="20" t="s">
        <v>111</v>
      </c>
      <c r="D30" s="20" t="s">
        <v>75</v>
      </c>
      <c r="E30" s="20" t="s">
        <v>103</v>
      </c>
      <c r="F30" s="22" t="s">
        <v>138</v>
      </c>
      <c r="G30" s="20"/>
      <c r="H30" s="22"/>
      <c r="I30" s="22"/>
      <c r="J30" s="34">
        <v>43666</v>
      </c>
      <c r="K30" s="22">
        <v>461</v>
      </c>
      <c r="L30" s="22">
        <v>1</v>
      </c>
      <c r="M30" s="21">
        <v>100</v>
      </c>
      <c r="N30" s="140">
        <v>43666</v>
      </c>
      <c r="O30" s="21">
        <v>2</v>
      </c>
      <c r="P30" s="34">
        <v>43672</v>
      </c>
      <c r="Q30" s="21">
        <v>2</v>
      </c>
      <c r="R30" s="21">
        <f t="shared" ref="R30:R37" si="7">1000-500-250</f>
        <v>250</v>
      </c>
      <c r="S30" s="21">
        <f>75-1</f>
        <v>74</v>
      </c>
      <c r="T30" s="49">
        <v>31</v>
      </c>
      <c r="U30" s="89">
        <v>50</v>
      </c>
      <c r="V30" s="73">
        <f t="shared" si="5"/>
        <v>1.55</v>
      </c>
      <c r="W30" s="89"/>
      <c r="X30" s="73"/>
      <c r="Y30" s="89">
        <v>50</v>
      </c>
      <c r="Z30" s="73"/>
      <c r="AA30" s="81"/>
      <c r="AB30" s="81"/>
      <c r="AC30" s="89">
        <f t="shared" si="4"/>
        <v>0</v>
      </c>
      <c r="AD30" s="89"/>
      <c r="AE30" s="89"/>
      <c r="AF30" s="155"/>
      <c r="AG30" s="155"/>
      <c r="AH30" s="155"/>
      <c r="AI30" s="155"/>
      <c r="AJ30" s="258"/>
      <c r="AK30" s="81"/>
      <c r="AL30" s="23" t="s">
        <v>247</v>
      </c>
    </row>
    <row r="31" spans="1:41" ht="17" x14ac:dyDescent="0.2">
      <c r="A31" s="114"/>
      <c r="B31" s="19">
        <v>42881</v>
      </c>
      <c r="C31" s="20" t="s">
        <v>111</v>
      </c>
      <c r="D31" s="20" t="s">
        <v>75</v>
      </c>
      <c r="E31" s="20" t="s">
        <v>103</v>
      </c>
      <c r="F31" s="22" t="s">
        <v>138</v>
      </c>
      <c r="G31" s="20"/>
      <c r="H31" s="22"/>
      <c r="I31" s="22"/>
      <c r="J31" s="34"/>
      <c r="K31" s="22" t="s">
        <v>260</v>
      </c>
      <c r="L31" s="22">
        <v>1</v>
      </c>
      <c r="M31" s="21">
        <v>100</v>
      </c>
      <c r="N31" s="140">
        <v>43666</v>
      </c>
      <c r="O31" s="21">
        <v>2</v>
      </c>
      <c r="P31" s="34">
        <v>43675</v>
      </c>
      <c r="Q31" s="21">
        <v>7</v>
      </c>
      <c r="R31" s="21">
        <f t="shared" si="7"/>
        <v>250</v>
      </c>
      <c r="S31" s="21">
        <f>60-1-50</f>
        <v>9</v>
      </c>
      <c r="T31" s="49">
        <v>54</v>
      </c>
      <c r="U31" s="89">
        <v>50</v>
      </c>
      <c r="V31" s="73">
        <f t="shared" si="5"/>
        <v>2.7</v>
      </c>
      <c r="W31" s="89">
        <v>1</v>
      </c>
      <c r="X31" s="155">
        <v>43677</v>
      </c>
      <c r="Y31" s="89">
        <v>50</v>
      </c>
      <c r="Z31" s="155">
        <v>43677</v>
      </c>
      <c r="AA31" s="81">
        <v>84</v>
      </c>
      <c r="AB31" s="81"/>
      <c r="AC31" s="89">
        <f t="shared" si="4"/>
        <v>420</v>
      </c>
      <c r="AD31" s="89"/>
      <c r="AE31" s="89"/>
      <c r="AF31" s="155"/>
      <c r="AG31" s="155"/>
      <c r="AH31" s="155"/>
      <c r="AI31" s="155"/>
      <c r="AJ31" s="258">
        <v>1</v>
      </c>
      <c r="AK31" s="81"/>
      <c r="AL31" s="23"/>
    </row>
    <row r="32" spans="1:41" ht="17" hidden="1" x14ac:dyDescent="0.2">
      <c r="A32" s="114" t="s">
        <v>227</v>
      </c>
      <c r="B32" s="19">
        <v>42884</v>
      </c>
      <c r="C32" s="20" t="s">
        <v>113</v>
      </c>
      <c r="D32" s="20" t="s">
        <v>75</v>
      </c>
      <c r="E32" s="20" t="s">
        <v>103</v>
      </c>
      <c r="F32" s="22" t="s">
        <v>145</v>
      </c>
      <c r="G32" s="20"/>
      <c r="H32" s="22"/>
      <c r="I32" s="22"/>
      <c r="J32" s="21"/>
      <c r="K32" s="22">
        <v>462</v>
      </c>
      <c r="L32" s="22">
        <v>1</v>
      </c>
      <c r="M32" s="21">
        <v>60</v>
      </c>
      <c r="N32" s="140">
        <v>43668</v>
      </c>
      <c r="O32" s="21">
        <v>4</v>
      </c>
      <c r="P32" s="34">
        <v>43672</v>
      </c>
      <c r="Q32" s="21">
        <v>2</v>
      </c>
      <c r="R32" s="21">
        <f t="shared" si="7"/>
        <v>250</v>
      </c>
      <c r="S32" s="21">
        <f>75-1</f>
        <v>74</v>
      </c>
      <c r="T32" s="49">
        <v>29.8</v>
      </c>
      <c r="U32" s="89">
        <v>50</v>
      </c>
      <c r="V32" s="73">
        <f t="shared" si="5"/>
        <v>1.49</v>
      </c>
      <c r="W32" s="89"/>
      <c r="X32" s="73"/>
      <c r="Y32" s="89">
        <v>50</v>
      </c>
      <c r="Z32" s="73"/>
      <c r="AA32" s="81"/>
      <c r="AB32" s="81"/>
      <c r="AC32" s="89">
        <f t="shared" si="4"/>
        <v>0</v>
      </c>
      <c r="AD32" s="89"/>
      <c r="AE32" s="89"/>
      <c r="AF32" s="155"/>
      <c r="AG32" s="155"/>
      <c r="AH32" s="155"/>
      <c r="AI32" s="155"/>
      <c r="AJ32" s="258"/>
      <c r="AK32" s="81"/>
      <c r="AL32" s="23" t="s">
        <v>247</v>
      </c>
    </row>
    <row r="33" spans="1:38" ht="17" x14ac:dyDescent="0.2">
      <c r="A33" s="114"/>
      <c r="B33" s="19">
        <v>42884</v>
      </c>
      <c r="C33" s="20" t="s">
        <v>113</v>
      </c>
      <c r="D33" s="20" t="s">
        <v>75</v>
      </c>
      <c r="E33" s="20" t="s">
        <v>103</v>
      </c>
      <c r="F33" s="22" t="s">
        <v>145</v>
      </c>
      <c r="G33" s="20"/>
      <c r="H33" s="22"/>
      <c r="I33" s="22"/>
      <c r="J33" s="21"/>
      <c r="K33" s="22" t="s">
        <v>261</v>
      </c>
      <c r="L33" s="22">
        <v>1</v>
      </c>
      <c r="M33" s="21">
        <v>60</v>
      </c>
      <c r="N33" s="140">
        <v>43668</v>
      </c>
      <c r="O33" s="21">
        <v>4</v>
      </c>
      <c r="P33" s="34">
        <v>43675</v>
      </c>
      <c r="Q33" s="21">
        <v>7</v>
      </c>
      <c r="R33" s="21">
        <f t="shared" si="7"/>
        <v>250</v>
      </c>
      <c r="S33" s="21">
        <f>60-1-50</f>
        <v>9</v>
      </c>
      <c r="T33" s="49">
        <v>69.8</v>
      </c>
      <c r="U33" s="89">
        <v>50</v>
      </c>
      <c r="V33" s="73">
        <f t="shared" si="5"/>
        <v>3.49</v>
      </c>
      <c r="W33" s="89">
        <v>1</v>
      </c>
      <c r="X33" s="155">
        <v>43677</v>
      </c>
      <c r="Y33" s="89">
        <v>50</v>
      </c>
      <c r="Z33" s="155">
        <v>43677</v>
      </c>
      <c r="AA33" s="81">
        <v>106</v>
      </c>
      <c r="AB33" s="81"/>
      <c r="AC33" s="89">
        <f t="shared" si="4"/>
        <v>530</v>
      </c>
      <c r="AD33" s="89"/>
      <c r="AE33" s="89"/>
      <c r="AF33" s="155"/>
      <c r="AG33" s="155"/>
      <c r="AH33" s="155"/>
      <c r="AI33" s="155"/>
      <c r="AJ33" s="258">
        <v>1</v>
      </c>
      <c r="AK33" s="81"/>
      <c r="AL33" s="23"/>
    </row>
    <row r="34" spans="1:38" ht="17" hidden="1" x14ac:dyDescent="0.2">
      <c r="A34" s="114" t="s">
        <v>227</v>
      </c>
      <c r="B34" s="19">
        <v>42880</v>
      </c>
      <c r="C34" s="20" t="s">
        <v>109</v>
      </c>
      <c r="D34" s="20" t="s">
        <v>75</v>
      </c>
      <c r="E34" s="20" t="s">
        <v>93</v>
      </c>
      <c r="F34" s="22" t="s">
        <v>135</v>
      </c>
      <c r="G34" s="20"/>
      <c r="H34" s="22"/>
      <c r="I34" s="22"/>
      <c r="J34" s="21"/>
      <c r="K34" s="22">
        <v>471</v>
      </c>
      <c r="L34" s="22">
        <v>1</v>
      </c>
      <c r="M34" s="21">
        <v>100</v>
      </c>
      <c r="N34" s="140">
        <v>43666</v>
      </c>
      <c r="O34" s="21">
        <v>2</v>
      </c>
      <c r="P34" s="67">
        <v>43670</v>
      </c>
      <c r="Q34" s="21">
        <v>1</v>
      </c>
      <c r="R34" s="21">
        <f t="shared" si="7"/>
        <v>250</v>
      </c>
      <c r="S34" s="21">
        <f>100-1</f>
        <v>99</v>
      </c>
      <c r="T34" s="49">
        <v>33.799999999999997</v>
      </c>
      <c r="U34" s="89">
        <v>50</v>
      </c>
      <c r="V34" s="73">
        <f t="shared" si="5"/>
        <v>1.6899999999999997</v>
      </c>
      <c r="W34" s="89"/>
      <c r="X34" s="73"/>
      <c r="Y34" s="89">
        <v>50</v>
      </c>
      <c r="Z34" s="73"/>
      <c r="AA34" s="81"/>
      <c r="AB34" s="81"/>
      <c r="AC34" s="89">
        <f t="shared" si="4"/>
        <v>0</v>
      </c>
      <c r="AD34" s="89"/>
      <c r="AE34" s="89"/>
      <c r="AF34" s="155"/>
      <c r="AG34" s="155"/>
      <c r="AH34" s="155"/>
      <c r="AI34" s="155"/>
      <c r="AJ34" s="258"/>
      <c r="AK34" s="81"/>
      <c r="AL34" s="23"/>
    </row>
    <row r="35" spans="1:38" ht="17" x14ac:dyDescent="0.2">
      <c r="A35" s="114"/>
      <c r="B35" s="19">
        <v>42880</v>
      </c>
      <c r="C35" s="20" t="s">
        <v>109</v>
      </c>
      <c r="D35" s="20" t="s">
        <v>75</v>
      </c>
      <c r="E35" s="20" t="s">
        <v>93</v>
      </c>
      <c r="F35" s="22" t="s">
        <v>135</v>
      </c>
      <c r="G35" s="20"/>
      <c r="H35" s="22"/>
      <c r="I35" s="22"/>
      <c r="J35" s="21"/>
      <c r="K35" s="22" t="s">
        <v>262</v>
      </c>
      <c r="L35" s="22">
        <v>1</v>
      </c>
      <c r="M35" s="21">
        <v>100</v>
      </c>
      <c r="N35" s="140">
        <v>43666</v>
      </c>
      <c r="O35" s="21">
        <v>2</v>
      </c>
      <c r="P35" s="34">
        <v>43675</v>
      </c>
      <c r="Q35" s="21">
        <v>7</v>
      </c>
      <c r="R35" s="21">
        <f t="shared" si="7"/>
        <v>250</v>
      </c>
      <c r="S35" s="21">
        <f>60-1-50</f>
        <v>9</v>
      </c>
      <c r="T35" s="49">
        <v>71</v>
      </c>
      <c r="U35" s="89">
        <v>50</v>
      </c>
      <c r="V35" s="73">
        <f t="shared" si="5"/>
        <v>3.55</v>
      </c>
      <c r="W35" s="89">
        <v>1</v>
      </c>
      <c r="X35" s="155">
        <v>43677</v>
      </c>
      <c r="Y35" s="89">
        <v>50</v>
      </c>
      <c r="Z35" s="155">
        <v>43677</v>
      </c>
      <c r="AA35" s="81">
        <v>108</v>
      </c>
      <c r="AB35" s="81"/>
      <c r="AC35" s="89">
        <f t="shared" si="4"/>
        <v>540</v>
      </c>
      <c r="AD35" s="89"/>
      <c r="AE35" s="89"/>
      <c r="AF35" s="155">
        <v>43692</v>
      </c>
      <c r="AG35" s="155"/>
      <c r="AH35" s="155"/>
      <c r="AI35" s="155"/>
      <c r="AJ35" s="258">
        <v>2</v>
      </c>
      <c r="AK35" s="81"/>
      <c r="AL35" s="23"/>
    </row>
    <row r="36" spans="1:38" ht="17" hidden="1" x14ac:dyDescent="0.2">
      <c r="A36" s="114" t="s">
        <v>227</v>
      </c>
      <c r="B36" s="19">
        <v>42881</v>
      </c>
      <c r="C36" s="20" t="s">
        <v>109</v>
      </c>
      <c r="D36" s="20" t="s">
        <v>75</v>
      </c>
      <c r="E36" s="20" t="s">
        <v>93</v>
      </c>
      <c r="F36" s="22" t="s">
        <v>137</v>
      </c>
      <c r="G36" s="20"/>
      <c r="H36" s="22"/>
      <c r="I36" s="22"/>
      <c r="J36" s="21"/>
      <c r="K36" s="22">
        <v>472</v>
      </c>
      <c r="L36" s="22">
        <v>1</v>
      </c>
      <c r="M36" s="21">
        <v>70</v>
      </c>
      <c r="N36" s="140">
        <v>43668</v>
      </c>
      <c r="O36" s="33">
        <v>4</v>
      </c>
      <c r="P36" s="34">
        <v>43672</v>
      </c>
      <c r="Q36" s="21">
        <v>3</v>
      </c>
      <c r="R36" s="21">
        <f t="shared" si="7"/>
        <v>250</v>
      </c>
      <c r="S36" s="21">
        <f>75-1</f>
        <v>74</v>
      </c>
      <c r="T36" s="49">
        <v>8.2799999999999994</v>
      </c>
      <c r="U36" s="89">
        <v>50</v>
      </c>
      <c r="V36" s="73">
        <f t="shared" si="5"/>
        <v>0.41399999999999992</v>
      </c>
      <c r="W36" s="89"/>
      <c r="X36" s="73"/>
      <c r="Y36" s="89">
        <v>50</v>
      </c>
      <c r="Z36" s="73"/>
      <c r="AA36" s="81"/>
      <c r="AB36" s="81"/>
      <c r="AC36" s="89">
        <f t="shared" si="4"/>
        <v>0</v>
      </c>
      <c r="AD36" s="89"/>
      <c r="AE36" s="89"/>
      <c r="AF36" s="155"/>
      <c r="AG36" s="155"/>
      <c r="AH36" s="155"/>
      <c r="AI36" s="155"/>
      <c r="AJ36" s="258"/>
      <c r="AK36" s="81"/>
      <c r="AL36" s="23" t="s">
        <v>247</v>
      </c>
    </row>
    <row r="37" spans="1:38" ht="17" x14ac:dyDescent="0.2">
      <c r="A37" s="114"/>
      <c r="B37" s="19">
        <v>42881</v>
      </c>
      <c r="C37" s="20" t="s">
        <v>109</v>
      </c>
      <c r="D37" s="20" t="s">
        <v>75</v>
      </c>
      <c r="E37" s="20" t="s">
        <v>93</v>
      </c>
      <c r="F37" s="22" t="s">
        <v>137</v>
      </c>
      <c r="G37" s="20"/>
      <c r="H37" s="22"/>
      <c r="I37" s="22"/>
      <c r="J37" s="21"/>
      <c r="K37" s="22" t="s">
        <v>263</v>
      </c>
      <c r="L37" s="22">
        <v>1</v>
      </c>
      <c r="M37" s="21">
        <v>70</v>
      </c>
      <c r="N37" s="140">
        <v>43668</v>
      </c>
      <c r="O37" s="33">
        <v>4</v>
      </c>
      <c r="P37" s="34">
        <v>43675</v>
      </c>
      <c r="Q37" s="21">
        <v>7</v>
      </c>
      <c r="R37" s="21">
        <f t="shared" si="7"/>
        <v>250</v>
      </c>
      <c r="S37" s="21">
        <f>60-1-50</f>
        <v>9</v>
      </c>
      <c r="T37" s="49">
        <v>64</v>
      </c>
      <c r="U37" s="89">
        <v>50</v>
      </c>
      <c r="V37" s="73">
        <f t="shared" si="5"/>
        <v>3.2</v>
      </c>
      <c r="W37" s="89">
        <v>1</v>
      </c>
      <c r="X37" s="155">
        <v>43677</v>
      </c>
      <c r="Y37" s="89">
        <v>50</v>
      </c>
      <c r="Z37" s="155">
        <v>43677</v>
      </c>
      <c r="AA37" s="81">
        <v>97</v>
      </c>
      <c r="AB37" s="81">
        <f>2413/1000*6</f>
        <v>14.477999999999998</v>
      </c>
      <c r="AC37" s="89">
        <f t="shared" si="4"/>
        <v>485</v>
      </c>
      <c r="AD37" s="70">
        <f>500/AA37</f>
        <v>5.1546391752577323</v>
      </c>
      <c r="AE37" s="70">
        <v>0</v>
      </c>
      <c r="AF37" s="155"/>
      <c r="AG37" s="155"/>
      <c r="AH37" s="155">
        <v>43697</v>
      </c>
      <c r="AI37" s="155">
        <v>43698</v>
      </c>
      <c r="AJ37" s="258">
        <v>1</v>
      </c>
      <c r="AK37" s="81"/>
      <c r="AL37" s="23"/>
    </row>
    <row r="38" spans="1:38" ht="17" x14ac:dyDescent="0.2">
      <c r="A38" s="114" t="s">
        <v>227</v>
      </c>
      <c r="B38" s="19">
        <v>42891</v>
      </c>
      <c r="C38" s="20" t="s">
        <v>109</v>
      </c>
      <c r="D38" s="20" t="s">
        <v>75</v>
      </c>
      <c r="E38" s="20" t="s">
        <v>93</v>
      </c>
      <c r="F38" s="22" t="s">
        <v>162</v>
      </c>
      <c r="G38" s="20"/>
      <c r="H38" s="22"/>
      <c r="I38" s="22"/>
      <c r="J38" s="21"/>
      <c r="K38" s="22">
        <v>473</v>
      </c>
      <c r="L38" s="22">
        <v>1</v>
      </c>
      <c r="M38" s="21">
        <v>50</v>
      </c>
      <c r="N38" s="140">
        <v>43668</v>
      </c>
      <c r="O38" s="21">
        <v>5</v>
      </c>
      <c r="P38" s="34">
        <v>43672</v>
      </c>
      <c r="Q38" s="21">
        <v>3</v>
      </c>
      <c r="R38" s="21">
        <f t="shared" ref="R38:R41" si="8">1000-500</f>
        <v>500</v>
      </c>
      <c r="S38" s="21">
        <f>75-1-50</f>
        <v>24</v>
      </c>
      <c r="T38" s="49">
        <v>120</v>
      </c>
      <c r="U38" s="89">
        <v>50</v>
      </c>
      <c r="V38" s="73">
        <f t="shared" si="5"/>
        <v>6</v>
      </c>
      <c r="W38" s="89">
        <v>3</v>
      </c>
      <c r="X38" s="155">
        <v>43682</v>
      </c>
      <c r="Y38" s="89">
        <v>50</v>
      </c>
      <c r="Z38" s="185">
        <v>43683</v>
      </c>
      <c r="AA38" s="81">
        <v>124</v>
      </c>
      <c r="AB38" s="81"/>
      <c r="AC38" s="89">
        <f t="shared" si="4"/>
        <v>620</v>
      </c>
      <c r="AD38" s="89"/>
      <c r="AE38" s="89"/>
      <c r="AF38" s="155">
        <v>43692</v>
      </c>
      <c r="AG38" s="155">
        <v>43692</v>
      </c>
      <c r="AH38" s="155"/>
      <c r="AI38" s="155"/>
      <c r="AJ38" s="258">
        <v>3</v>
      </c>
      <c r="AK38" s="81"/>
      <c r="AL38" s="23"/>
    </row>
    <row r="39" spans="1:38" ht="17" x14ac:dyDescent="0.2">
      <c r="A39" s="114" t="s">
        <v>227</v>
      </c>
      <c r="B39" s="19">
        <v>42891</v>
      </c>
      <c r="C39" s="20" t="s">
        <v>116</v>
      </c>
      <c r="D39" s="20" t="s">
        <v>75</v>
      </c>
      <c r="E39" s="20" t="s">
        <v>93</v>
      </c>
      <c r="F39" s="22" t="s">
        <v>163</v>
      </c>
      <c r="G39" s="20"/>
      <c r="H39" s="22"/>
      <c r="I39" s="22"/>
      <c r="J39" s="21"/>
      <c r="K39" s="22">
        <v>474</v>
      </c>
      <c r="L39" s="22">
        <v>1</v>
      </c>
      <c r="M39" s="21">
        <v>50</v>
      </c>
      <c r="N39" s="140">
        <v>43668</v>
      </c>
      <c r="O39" s="21">
        <v>6</v>
      </c>
      <c r="P39" s="34">
        <v>43672</v>
      </c>
      <c r="Q39" s="21">
        <v>4</v>
      </c>
      <c r="R39" s="21">
        <f t="shared" si="8"/>
        <v>500</v>
      </c>
      <c r="S39" s="116">
        <f>75-1-50</f>
        <v>24</v>
      </c>
      <c r="T39" s="49">
        <v>81</v>
      </c>
      <c r="U39" s="89">
        <v>50</v>
      </c>
      <c r="V39" s="73">
        <f t="shared" si="5"/>
        <v>4.05</v>
      </c>
      <c r="W39" s="89">
        <v>3</v>
      </c>
      <c r="X39" s="155">
        <v>43682</v>
      </c>
      <c r="Y39" s="89">
        <v>50</v>
      </c>
      <c r="Z39" s="185">
        <v>43683</v>
      </c>
      <c r="AA39" s="81">
        <v>77.2</v>
      </c>
      <c r="AB39" s="81"/>
      <c r="AC39" s="89">
        <f t="shared" si="4"/>
        <v>386</v>
      </c>
      <c r="AD39" s="89"/>
      <c r="AE39" s="89"/>
      <c r="AF39" s="155"/>
      <c r="AG39" s="155">
        <v>43692</v>
      </c>
      <c r="AH39" s="155"/>
      <c r="AI39" s="155"/>
      <c r="AJ39" s="258">
        <v>2</v>
      </c>
      <c r="AK39" s="81"/>
      <c r="AL39" s="23"/>
    </row>
    <row r="40" spans="1:38" ht="17" x14ac:dyDescent="0.2">
      <c r="A40" s="114" t="s">
        <v>227</v>
      </c>
      <c r="B40" s="19">
        <v>42892</v>
      </c>
      <c r="C40" s="20" t="s">
        <v>116</v>
      </c>
      <c r="D40" s="20" t="s">
        <v>75</v>
      </c>
      <c r="E40" s="20" t="s">
        <v>93</v>
      </c>
      <c r="F40" s="22" t="s">
        <v>166</v>
      </c>
      <c r="G40" s="20"/>
      <c r="H40" s="22"/>
      <c r="I40" s="22"/>
      <c r="J40" s="21"/>
      <c r="K40" s="22">
        <v>475</v>
      </c>
      <c r="L40" s="22">
        <v>1</v>
      </c>
      <c r="M40" s="21">
        <v>80</v>
      </c>
      <c r="N40" s="140">
        <v>43668</v>
      </c>
      <c r="O40" s="21">
        <v>7</v>
      </c>
      <c r="P40" s="34">
        <v>43672</v>
      </c>
      <c r="Q40" s="21">
        <v>4</v>
      </c>
      <c r="R40" s="21">
        <f t="shared" si="8"/>
        <v>500</v>
      </c>
      <c r="S40" s="116">
        <f>75-1-50</f>
        <v>24</v>
      </c>
      <c r="T40" s="49">
        <v>110</v>
      </c>
      <c r="U40" s="89">
        <v>50</v>
      </c>
      <c r="V40" s="73">
        <f t="shared" si="5"/>
        <v>5.5</v>
      </c>
      <c r="W40" s="89">
        <v>3</v>
      </c>
      <c r="X40" s="155">
        <v>43682</v>
      </c>
      <c r="Y40" s="89">
        <v>50</v>
      </c>
      <c r="Z40" s="185">
        <v>43683</v>
      </c>
      <c r="AA40" s="81">
        <v>27.4</v>
      </c>
      <c r="AB40" s="81"/>
      <c r="AC40" s="89">
        <f t="shared" si="4"/>
        <v>137</v>
      </c>
      <c r="AD40" s="89"/>
      <c r="AE40" s="89"/>
      <c r="AF40" s="155"/>
      <c r="AG40" s="155">
        <v>43692</v>
      </c>
      <c r="AH40" s="155"/>
      <c r="AI40" s="155"/>
      <c r="AJ40" s="258">
        <v>2</v>
      </c>
      <c r="AK40" s="81"/>
      <c r="AL40" s="23"/>
    </row>
    <row r="41" spans="1:38" ht="17" x14ac:dyDescent="0.2">
      <c r="A41" s="114" t="s">
        <v>227</v>
      </c>
      <c r="B41" s="19">
        <v>42896</v>
      </c>
      <c r="C41" s="20" t="s">
        <v>116</v>
      </c>
      <c r="D41" s="20" t="s">
        <v>75</v>
      </c>
      <c r="E41" s="20" t="s">
        <v>93</v>
      </c>
      <c r="F41" s="22" t="s">
        <v>170</v>
      </c>
      <c r="G41" s="20"/>
      <c r="H41" s="22"/>
      <c r="I41" s="22"/>
      <c r="J41" s="21"/>
      <c r="K41" s="22">
        <v>476</v>
      </c>
      <c r="L41" s="22">
        <v>1</v>
      </c>
      <c r="M41" s="21">
        <v>80</v>
      </c>
      <c r="N41" s="140">
        <v>43669</v>
      </c>
      <c r="O41" s="21">
        <v>8</v>
      </c>
      <c r="P41" s="34">
        <v>43672</v>
      </c>
      <c r="Q41" s="21">
        <v>5</v>
      </c>
      <c r="R41" s="21">
        <f t="shared" si="8"/>
        <v>500</v>
      </c>
      <c r="S41" s="116">
        <f>75-1-50</f>
        <v>24</v>
      </c>
      <c r="T41" s="49">
        <v>43.4</v>
      </c>
      <c r="U41" s="89">
        <v>50</v>
      </c>
      <c r="V41" s="73">
        <f t="shared" si="5"/>
        <v>2.17</v>
      </c>
      <c r="W41" s="89">
        <v>4</v>
      </c>
      <c r="X41" s="155">
        <v>43682</v>
      </c>
      <c r="Y41" s="89">
        <v>50</v>
      </c>
      <c r="Z41" s="155"/>
      <c r="AA41" s="81">
        <v>39.200000000000003</v>
      </c>
      <c r="AB41" s="81"/>
      <c r="AC41" s="89">
        <f t="shared" si="4"/>
        <v>196</v>
      </c>
      <c r="AD41" s="89"/>
      <c r="AE41" s="89"/>
      <c r="AF41" s="155">
        <v>43692</v>
      </c>
      <c r="AG41" s="155">
        <v>43692</v>
      </c>
      <c r="AH41" s="155"/>
      <c r="AI41" s="155"/>
      <c r="AJ41" s="258">
        <v>2</v>
      </c>
      <c r="AK41" s="81"/>
      <c r="AL41" s="23"/>
    </row>
    <row r="42" spans="1:38" ht="18" thickBot="1" x14ac:dyDescent="0.25">
      <c r="A42" s="114" t="s">
        <v>227</v>
      </c>
      <c r="B42" s="24">
        <v>42905</v>
      </c>
      <c r="C42" s="25" t="s">
        <v>116</v>
      </c>
      <c r="D42" s="25" t="s">
        <v>75</v>
      </c>
      <c r="E42" s="25" t="s">
        <v>93</v>
      </c>
      <c r="F42" s="27" t="s">
        <v>192</v>
      </c>
      <c r="G42" s="25"/>
      <c r="H42" s="27"/>
      <c r="I42" s="27"/>
      <c r="J42" s="26"/>
      <c r="K42" s="27">
        <v>477</v>
      </c>
      <c r="L42" s="27">
        <v>1</v>
      </c>
      <c r="M42" s="26">
        <v>40</v>
      </c>
      <c r="N42" s="141">
        <v>43669</v>
      </c>
      <c r="O42" s="26">
        <v>9</v>
      </c>
      <c r="P42" s="37">
        <v>43673</v>
      </c>
      <c r="Q42" s="26">
        <v>6</v>
      </c>
      <c r="R42" s="26">
        <v>500</v>
      </c>
      <c r="S42" s="116">
        <f>75-1+50-50</f>
        <v>74</v>
      </c>
      <c r="T42" s="50" t="s">
        <v>249</v>
      </c>
      <c r="U42" s="90">
        <v>50</v>
      </c>
      <c r="V42" s="74" t="e">
        <f t="shared" si="5"/>
        <v>#VALUE!</v>
      </c>
      <c r="W42" s="90">
        <v>4</v>
      </c>
      <c r="X42" s="187">
        <v>43682</v>
      </c>
      <c r="Y42" s="90">
        <v>50</v>
      </c>
      <c r="Z42" s="187"/>
      <c r="AA42" s="82">
        <v>164</v>
      </c>
      <c r="AB42" s="156"/>
      <c r="AC42" s="89">
        <f t="shared" si="4"/>
        <v>820</v>
      </c>
      <c r="AD42" s="89"/>
      <c r="AE42" s="89"/>
      <c r="AF42" s="155">
        <v>43692</v>
      </c>
      <c r="AG42" s="155">
        <v>43692</v>
      </c>
      <c r="AH42" s="253"/>
      <c r="AI42" s="253"/>
      <c r="AJ42" s="259">
        <v>2</v>
      </c>
      <c r="AK42" s="156"/>
      <c r="AL42" s="28" t="s">
        <v>442</v>
      </c>
    </row>
    <row r="43" spans="1:38" ht="18" thickBot="1" x14ac:dyDescent="0.25">
      <c r="A43" s="114"/>
      <c r="B43" s="29"/>
      <c r="C43" s="30"/>
      <c r="D43" s="30"/>
      <c r="E43" s="30"/>
      <c r="F43" s="32"/>
      <c r="G43" s="30"/>
      <c r="H43" s="32"/>
      <c r="I43" s="32"/>
      <c r="J43" s="31"/>
      <c r="K43" s="32"/>
      <c r="L43" s="32"/>
      <c r="M43" s="31"/>
      <c r="N43" s="142"/>
      <c r="O43" s="31"/>
      <c r="P43" s="31"/>
      <c r="Q43" s="31"/>
      <c r="R43" s="31"/>
      <c r="S43" s="31"/>
      <c r="T43" s="51"/>
      <c r="U43" s="58"/>
      <c r="V43" s="42"/>
      <c r="W43" s="58"/>
      <c r="X43" s="42"/>
      <c r="Y43" s="58"/>
      <c r="Z43" s="42"/>
      <c r="AA43" s="51"/>
      <c r="AB43" s="51"/>
      <c r="AC43" s="58"/>
      <c r="AD43" s="58"/>
      <c r="AE43" s="58"/>
      <c r="AF43" s="174"/>
      <c r="AG43" s="174"/>
      <c r="AH43" s="174"/>
      <c r="AI43" s="174"/>
      <c r="AJ43" s="260"/>
      <c r="AK43" s="51"/>
      <c r="AL43" s="31"/>
    </row>
    <row r="44" spans="1:38" ht="17" x14ac:dyDescent="0.2">
      <c r="A44" s="114" t="s">
        <v>227</v>
      </c>
      <c r="B44" s="14">
        <v>42875</v>
      </c>
      <c r="C44" s="15" t="s">
        <v>95</v>
      </c>
      <c r="D44" s="15" t="s">
        <v>92</v>
      </c>
      <c r="E44" s="15" t="s">
        <v>96</v>
      </c>
      <c r="F44" s="17" t="s">
        <v>272</v>
      </c>
      <c r="G44" s="15"/>
      <c r="H44" s="17"/>
      <c r="I44" s="17"/>
      <c r="J44" s="36">
        <v>43665</v>
      </c>
      <c r="K44" s="17">
        <v>481</v>
      </c>
      <c r="L44" s="17">
        <v>1</v>
      </c>
      <c r="M44" s="16">
        <v>40</v>
      </c>
      <c r="N44" s="143">
        <v>43665</v>
      </c>
      <c r="O44" s="16">
        <v>1</v>
      </c>
      <c r="P44" s="36">
        <v>43670</v>
      </c>
      <c r="Q44" s="16">
        <v>1</v>
      </c>
      <c r="R44" s="16">
        <f>1000-500</f>
        <v>500</v>
      </c>
      <c r="S44" s="16">
        <f>100-1-50</f>
        <v>49</v>
      </c>
      <c r="T44" s="48">
        <v>64.400000000000006</v>
      </c>
      <c r="U44" s="88">
        <v>50</v>
      </c>
      <c r="V44" s="72">
        <f t="shared" ref="V44:V58" si="9">U44*T44/1000</f>
        <v>3.2200000000000006</v>
      </c>
      <c r="W44" s="88">
        <v>1</v>
      </c>
      <c r="X44" s="154">
        <v>43677</v>
      </c>
      <c r="Y44" s="88">
        <v>50</v>
      </c>
      <c r="Z44" s="154">
        <v>43677</v>
      </c>
      <c r="AA44" s="80">
        <v>89.2</v>
      </c>
      <c r="AB44" s="177"/>
      <c r="AC44" s="89">
        <f t="shared" ref="AC44:AC83" si="10">AA44*5</f>
        <v>446</v>
      </c>
      <c r="AD44" s="89"/>
      <c r="AE44" s="89"/>
      <c r="AF44" s="155">
        <v>43692</v>
      </c>
      <c r="AG44" s="176"/>
      <c r="AH44" s="176"/>
      <c r="AI44" s="176"/>
      <c r="AJ44" s="261">
        <v>2</v>
      </c>
      <c r="AK44" s="177"/>
      <c r="AL44" s="18"/>
    </row>
    <row r="45" spans="1:38" ht="17" x14ac:dyDescent="0.2">
      <c r="A45" s="114" t="s">
        <v>227</v>
      </c>
      <c r="B45" s="19">
        <v>42875</v>
      </c>
      <c r="C45" s="20" t="s">
        <v>97</v>
      </c>
      <c r="D45" s="20" t="s">
        <v>92</v>
      </c>
      <c r="E45" s="20" t="s">
        <v>96</v>
      </c>
      <c r="F45" s="22" t="s">
        <v>273</v>
      </c>
      <c r="G45" s="20"/>
      <c r="H45" s="22"/>
      <c r="I45" s="22"/>
      <c r="J45" s="21"/>
      <c r="K45" s="22">
        <v>482</v>
      </c>
      <c r="L45" s="22">
        <v>1</v>
      </c>
      <c r="M45" s="21">
        <v>60</v>
      </c>
      <c r="N45" s="140">
        <v>43666</v>
      </c>
      <c r="O45" s="21">
        <v>3</v>
      </c>
      <c r="P45" s="34">
        <v>43672</v>
      </c>
      <c r="Q45" s="21">
        <v>2</v>
      </c>
      <c r="R45" s="21">
        <f t="shared" ref="R45:R54" si="11">1000-500</f>
        <v>500</v>
      </c>
      <c r="S45" s="116">
        <f>75-1-50</f>
        <v>24</v>
      </c>
      <c r="T45" s="49">
        <v>67.2</v>
      </c>
      <c r="U45" s="89">
        <v>50</v>
      </c>
      <c r="V45" s="73">
        <f t="shared" si="9"/>
        <v>3.36</v>
      </c>
      <c r="W45" s="89">
        <v>1</v>
      </c>
      <c r="X45" s="155">
        <v>43677</v>
      </c>
      <c r="Y45" s="89">
        <v>50</v>
      </c>
      <c r="Z45" s="155">
        <v>43677</v>
      </c>
      <c r="AA45" s="81">
        <v>22.2</v>
      </c>
      <c r="AB45" s="81"/>
      <c r="AC45" s="89">
        <f t="shared" si="10"/>
        <v>111</v>
      </c>
      <c r="AD45" s="89"/>
      <c r="AE45" s="89"/>
      <c r="AF45" s="155"/>
      <c r="AG45" s="155"/>
      <c r="AH45" s="155"/>
      <c r="AI45" s="155"/>
      <c r="AJ45" s="258">
        <v>1</v>
      </c>
      <c r="AK45" s="81"/>
      <c r="AL45" s="23"/>
    </row>
    <row r="46" spans="1:38" ht="17" x14ac:dyDescent="0.2">
      <c r="A46" s="114" t="s">
        <v>227</v>
      </c>
      <c r="B46" s="19">
        <v>42876</v>
      </c>
      <c r="C46" s="20" t="s">
        <v>97</v>
      </c>
      <c r="D46" s="20" t="s">
        <v>92</v>
      </c>
      <c r="E46" s="20" t="s">
        <v>96</v>
      </c>
      <c r="F46" s="22" t="s">
        <v>274</v>
      </c>
      <c r="G46" s="20"/>
      <c r="H46" s="22"/>
      <c r="I46" s="22"/>
      <c r="J46" s="21"/>
      <c r="K46" s="22">
        <v>483</v>
      </c>
      <c r="L46" s="22">
        <v>1</v>
      </c>
      <c r="M46" s="21">
        <v>110</v>
      </c>
      <c r="N46" s="140">
        <v>43668</v>
      </c>
      <c r="O46" s="21">
        <v>4</v>
      </c>
      <c r="P46" s="34">
        <v>43672</v>
      </c>
      <c r="Q46" s="21">
        <v>3</v>
      </c>
      <c r="R46" s="21">
        <f t="shared" si="11"/>
        <v>500</v>
      </c>
      <c r="S46" s="116">
        <f>75-1-50</f>
        <v>24</v>
      </c>
      <c r="T46" s="49">
        <v>95.8</v>
      </c>
      <c r="U46" s="89">
        <v>50</v>
      </c>
      <c r="V46" s="73">
        <f t="shared" si="9"/>
        <v>4.79</v>
      </c>
      <c r="W46" s="89">
        <v>3</v>
      </c>
      <c r="X46" s="155">
        <v>43682</v>
      </c>
      <c r="Y46" s="89">
        <v>50</v>
      </c>
      <c r="Z46" s="185">
        <v>43683</v>
      </c>
      <c r="AA46" s="81">
        <v>99</v>
      </c>
      <c r="AB46" s="81"/>
      <c r="AC46" s="89">
        <f t="shared" si="10"/>
        <v>495</v>
      </c>
      <c r="AD46" s="89"/>
      <c r="AE46" s="89"/>
      <c r="AF46" s="155">
        <v>43692</v>
      </c>
      <c r="AG46" s="155">
        <v>43692</v>
      </c>
      <c r="AH46" s="155"/>
      <c r="AI46" s="155"/>
      <c r="AJ46" s="258">
        <v>3</v>
      </c>
      <c r="AK46" s="81"/>
      <c r="AL46" s="23"/>
    </row>
    <row r="47" spans="1:38" ht="17" x14ac:dyDescent="0.2">
      <c r="A47" s="114" t="s">
        <v>227</v>
      </c>
      <c r="B47" s="19">
        <v>42878</v>
      </c>
      <c r="C47" s="20" t="s">
        <v>95</v>
      </c>
      <c r="D47" s="20" t="s">
        <v>92</v>
      </c>
      <c r="E47" s="20" t="s">
        <v>96</v>
      </c>
      <c r="F47" s="22" t="s">
        <v>125</v>
      </c>
      <c r="G47" s="20"/>
      <c r="H47" s="22"/>
      <c r="I47" s="22"/>
      <c r="J47" s="21"/>
      <c r="K47" s="22">
        <v>484</v>
      </c>
      <c r="L47" s="22">
        <v>1</v>
      </c>
      <c r="M47" s="21">
        <v>40</v>
      </c>
      <c r="N47" s="140">
        <v>43668</v>
      </c>
      <c r="O47" s="21">
        <v>5</v>
      </c>
      <c r="P47" s="34">
        <v>43672</v>
      </c>
      <c r="Q47" s="21">
        <v>3</v>
      </c>
      <c r="R47" s="21">
        <f t="shared" si="11"/>
        <v>500</v>
      </c>
      <c r="S47" s="116">
        <f>75-1-50</f>
        <v>24</v>
      </c>
      <c r="T47" s="49">
        <v>66.2</v>
      </c>
      <c r="U47" s="89">
        <v>50</v>
      </c>
      <c r="V47" s="73">
        <f t="shared" si="9"/>
        <v>3.31</v>
      </c>
      <c r="W47" s="89">
        <v>1</v>
      </c>
      <c r="X47" s="155">
        <v>43677</v>
      </c>
      <c r="Y47" s="89">
        <v>50</v>
      </c>
      <c r="Z47" s="155">
        <v>43677</v>
      </c>
      <c r="AA47" s="81">
        <v>58.4</v>
      </c>
      <c r="AB47" s="81"/>
      <c r="AC47" s="89">
        <f t="shared" si="10"/>
        <v>292</v>
      </c>
      <c r="AD47" s="89"/>
      <c r="AE47" s="89"/>
      <c r="AF47" s="155"/>
      <c r="AG47" s="155"/>
      <c r="AH47" s="155"/>
      <c r="AI47" s="155"/>
      <c r="AJ47" s="258">
        <v>1</v>
      </c>
      <c r="AK47" s="81"/>
      <c r="AL47" s="23"/>
    </row>
    <row r="48" spans="1:38" ht="17" x14ac:dyDescent="0.2">
      <c r="A48" s="114" t="s">
        <v>227</v>
      </c>
      <c r="B48" s="19">
        <v>42887</v>
      </c>
      <c r="C48" s="20" t="s">
        <v>97</v>
      </c>
      <c r="D48" s="20" t="s">
        <v>92</v>
      </c>
      <c r="E48" s="20" t="s">
        <v>96</v>
      </c>
      <c r="F48" s="22" t="s">
        <v>150</v>
      </c>
      <c r="G48" s="20"/>
      <c r="H48" s="22"/>
      <c r="I48" s="22"/>
      <c r="J48" s="21"/>
      <c r="K48" s="22">
        <v>485</v>
      </c>
      <c r="L48" s="22">
        <v>1</v>
      </c>
      <c r="M48" s="21">
        <v>20</v>
      </c>
      <c r="N48" s="140">
        <v>43668</v>
      </c>
      <c r="O48" s="21">
        <v>6</v>
      </c>
      <c r="P48" s="34">
        <v>43672</v>
      </c>
      <c r="Q48" s="21">
        <v>4</v>
      </c>
      <c r="R48" s="21">
        <f t="shared" si="11"/>
        <v>500</v>
      </c>
      <c r="S48" s="116">
        <f>75-1-50</f>
        <v>24</v>
      </c>
      <c r="T48" s="49">
        <v>156</v>
      </c>
      <c r="U48" s="89">
        <v>50</v>
      </c>
      <c r="V48" s="73">
        <f t="shared" si="9"/>
        <v>7.8</v>
      </c>
      <c r="W48" s="89">
        <v>3</v>
      </c>
      <c r="X48" s="155">
        <v>43682</v>
      </c>
      <c r="Y48" s="89">
        <v>50</v>
      </c>
      <c r="Z48" s="185">
        <v>43683</v>
      </c>
      <c r="AA48" s="81">
        <v>19.100000000000001</v>
      </c>
      <c r="AB48" s="81"/>
      <c r="AC48" s="89">
        <f t="shared" si="10"/>
        <v>95.5</v>
      </c>
      <c r="AD48" s="89"/>
      <c r="AE48" s="89"/>
      <c r="AF48" s="155"/>
      <c r="AG48" s="155">
        <v>43692</v>
      </c>
      <c r="AH48" s="155"/>
      <c r="AI48" s="155"/>
      <c r="AJ48" s="258">
        <v>2</v>
      </c>
      <c r="AK48" s="81"/>
      <c r="AL48" s="23"/>
    </row>
    <row r="49" spans="1:38" ht="17" hidden="1" x14ac:dyDescent="0.2">
      <c r="A49" s="114" t="s">
        <v>227</v>
      </c>
      <c r="B49" s="19">
        <v>42889</v>
      </c>
      <c r="C49" s="20" t="s">
        <v>95</v>
      </c>
      <c r="D49" s="20" t="s">
        <v>92</v>
      </c>
      <c r="E49" s="20" t="s">
        <v>96</v>
      </c>
      <c r="F49" s="22" t="s">
        <v>155</v>
      </c>
      <c r="G49" s="20"/>
      <c r="H49" s="22"/>
      <c r="I49" s="22"/>
      <c r="J49" s="21"/>
      <c r="K49" s="22">
        <v>486</v>
      </c>
      <c r="L49" s="22">
        <v>1</v>
      </c>
      <c r="M49" s="21">
        <v>90</v>
      </c>
      <c r="N49" s="140">
        <v>43668</v>
      </c>
      <c r="O49" s="21">
        <v>7</v>
      </c>
      <c r="P49" s="34">
        <v>43672</v>
      </c>
      <c r="Q49" s="21">
        <v>4</v>
      </c>
      <c r="R49" s="21">
        <f>1000-500-250</f>
        <v>250</v>
      </c>
      <c r="S49" s="116">
        <v>74</v>
      </c>
      <c r="T49" s="49">
        <v>41</v>
      </c>
      <c r="U49" s="89">
        <v>50</v>
      </c>
      <c r="V49" s="73">
        <f t="shared" si="9"/>
        <v>2.0499999999999998</v>
      </c>
      <c r="W49" s="89"/>
      <c r="X49" s="155">
        <v>43682</v>
      </c>
      <c r="Y49" s="89">
        <v>50</v>
      </c>
      <c r="Z49" s="155"/>
      <c r="AA49" s="81"/>
      <c r="AB49" s="81"/>
      <c r="AC49" s="89">
        <f t="shared" si="10"/>
        <v>0</v>
      </c>
      <c r="AD49" s="89"/>
      <c r="AE49" s="89"/>
      <c r="AF49" s="155"/>
      <c r="AG49" s="155">
        <v>43692</v>
      </c>
      <c r="AH49" s="155"/>
      <c r="AI49" s="155"/>
      <c r="AJ49" s="258"/>
      <c r="AK49" s="81"/>
      <c r="AL49" s="23"/>
    </row>
    <row r="50" spans="1:38" ht="17" x14ac:dyDescent="0.2">
      <c r="A50" s="114"/>
      <c r="B50" s="19">
        <v>42889</v>
      </c>
      <c r="C50" s="20" t="s">
        <v>95</v>
      </c>
      <c r="D50" s="20" t="s">
        <v>92</v>
      </c>
      <c r="E50" s="20" t="s">
        <v>96</v>
      </c>
      <c r="F50" s="22" t="s">
        <v>155</v>
      </c>
      <c r="G50" s="20"/>
      <c r="H50" s="22"/>
      <c r="I50" s="22"/>
      <c r="J50" s="21"/>
      <c r="K50" s="22" t="s">
        <v>264</v>
      </c>
      <c r="L50" s="22">
        <v>1</v>
      </c>
      <c r="M50" s="21">
        <v>90</v>
      </c>
      <c r="N50" s="140">
        <v>43668</v>
      </c>
      <c r="O50" s="21">
        <v>7</v>
      </c>
      <c r="P50" s="34">
        <v>43675</v>
      </c>
      <c r="Q50" s="21">
        <v>7</v>
      </c>
      <c r="R50" s="21">
        <f>1000-500-250</f>
        <v>250</v>
      </c>
      <c r="S50" s="21">
        <f>60-1-50</f>
        <v>9</v>
      </c>
      <c r="T50" s="49">
        <v>112</v>
      </c>
      <c r="U50" s="89">
        <v>50</v>
      </c>
      <c r="V50" s="73">
        <f t="shared" si="9"/>
        <v>5.6</v>
      </c>
      <c r="W50" s="89">
        <v>3</v>
      </c>
      <c r="X50" s="155">
        <v>43682</v>
      </c>
      <c r="Y50" s="89">
        <v>50</v>
      </c>
      <c r="Z50" s="185">
        <v>43683</v>
      </c>
      <c r="AA50" s="81">
        <v>148</v>
      </c>
      <c r="AB50" s="81"/>
      <c r="AC50" s="89">
        <f t="shared" si="10"/>
        <v>740</v>
      </c>
      <c r="AD50" s="89"/>
      <c r="AE50" s="89"/>
      <c r="AF50" s="155"/>
      <c r="AG50" s="155">
        <v>43692</v>
      </c>
      <c r="AH50" s="155"/>
      <c r="AI50" s="155"/>
      <c r="AJ50" s="258">
        <v>2</v>
      </c>
      <c r="AK50" s="81"/>
      <c r="AL50" s="23"/>
    </row>
    <row r="51" spans="1:38" ht="17" x14ac:dyDescent="0.2">
      <c r="A51" s="114" t="s">
        <v>227</v>
      </c>
      <c r="B51" s="19">
        <v>42889</v>
      </c>
      <c r="C51" s="20" t="s">
        <v>97</v>
      </c>
      <c r="D51" s="20" t="s">
        <v>92</v>
      </c>
      <c r="E51" s="20" t="s">
        <v>96</v>
      </c>
      <c r="F51" s="22" t="s">
        <v>156</v>
      </c>
      <c r="G51" s="20"/>
      <c r="H51" s="22"/>
      <c r="I51" s="22"/>
      <c r="J51" s="21"/>
      <c r="K51" s="22">
        <v>487</v>
      </c>
      <c r="L51" s="22">
        <v>1</v>
      </c>
      <c r="M51" s="21">
        <v>30</v>
      </c>
      <c r="N51" s="140">
        <v>43669</v>
      </c>
      <c r="O51" s="21">
        <v>8</v>
      </c>
      <c r="P51" s="34">
        <v>43672</v>
      </c>
      <c r="Q51" s="21">
        <v>5</v>
      </c>
      <c r="R51" s="21">
        <f t="shared" si="11"/>
        <v>500</v>
      </c>
      <c r="S51" s="116">
        <f t="shared" ref="S51:S56" si="12">75-1-50</f>
        <v>24</v>
      </c>
      <c r="T51" s="49">
        <v>112</v>
      </c>
      <c r="U51" s="89">
        <v>50</v>
      </c>
      <c r="V51" s="73">
        <f t="shared" si="9"/>
        <v>5.6</v>
      </c>
      <c r="W51" s="89">
        <v>3</v>
      </c>
      <c r="X51" s="155">
        <v>43682</v>
      </c>
      <c r="Y51" s="89">
        <v>50</v>
      </c>
      <c r="Z51" s="185">
        <v>43683</v>
      </c>
      <c r="AA51" s="81">
        <v>118</v>
      </c>
      <c r="AB51" s="81"/>
      <c r="AC51" s="89">
        <f t="shared" si="10"/>
        <v>590</v>
      </c>
      <c r="AD51" s="89"/>
      <c r="AE51" s="89"/>
      <c r="AF51" s="155"/>
      <c r="AG51" s="155">
        <v>43692</v>
      </c>
      <c r="AH51" s="155"/>
      <c r="AI51" s="155"/>
      <c r="AJ51" s="258">
        <v>2</v>
      </c>
      <c r="AK51" s="81"/>
      <c r="AL51" s="23"/>
    </row>
    <row r="52" spans="1:38" ht="17" x14ac:dyDescent="0.2">
      <c r="A52" s="114" t="s">
        <v>227</v>
      </c>
      <c r="B52" s="19">
        <v>42890</v>
      </c>
      <c r="C52" s="20" t="s">
        <v>95</v>
      </c>
      <c r="D52" s="20" t="s">
        <v>92</v>
      </c>
      <c r="E52" s="20" t="s">
        <v>96</v>
      </c>
      <c r="F52" s="22" t="s">
        <v>160</v>
      </c>
      <c r="G52" s="20"/>
      <c r="H52" s="22"/>
      <c r="I52" s="22"/>
      <c r="J52" s="21"/>
      <c r="K52" s="22">
        <v>488</v>
      </c>
      <c r="L52" s="22">
        <v>1</v>
      </c>
      <c r="M52" s="21">
        <v>70</v>
      </c>
      <c r="N52" s="140">
        <v>43669</v>
      </c>
      <c r="O52" s="21">
        <v>9</v>
      </c>
      <c r="P52" s="34">
        <v>43672</v>
      </c>
      <c r="Q52" s="21">
        <v>5</v>
      </c>
      <c r="R52" s="21">
        <f t="shared" si="11"/>
        <v>500</v>
      </c>
      <c r="S52" s="116">
        <f t="shared" si="12"/>
        <v>24</v>
      </c>
      <c r="T52" s="49">
        <v>57.2</v>
      </c>
      <c r="U52" s="89">
        <v>50</v>
      </c>
      <c r="V52" s="73">
        <f t="shared" si="9"/>
        <v>2.86</v>
      </c>
      <c r="W52" s="89">
        <v>4</v>
      </c>
      <c r="X52" s="155">
        <v>43682</v>
      </c>
      <c r="Y52" s="89">
        <v>50</v>
      </c>
      <c r="Z52" s="155"/>
      <c r="AA52" s="81">
        <v>60</v>
      </c>
      <c r="AB52" s="81"/>
      <c r="AC52" s="89">
        <f t="shared" si="10"/>
        <v>300</v>
      </c>
      <c r="AD52" s="89"/>
      <c r="AE52" s="89"/>
      <c r="AF52" s="155"/>
      <c r="AG52" s="155">
        <v>43692</v>
      </c>
      <c r="AH52" s="155"/>
      <c r="AI52" s="155"/>
      <c r="AJ52" s="258">
        <v>2</v>
      </c>
      <c r="AK52" s="81"/>
      <c r="AL52" s="23"/>
    </row>
    <row r="53" spans="1:38" ht="17" x14ac:dyDescent="0.2">
      <c r="A53" s="114" t="s">
        <v>227</v>
      </c>
      <c r="B53" s="19">
        <v>42892</v>
      </c>
      <c r="C53" s="20" t="s">
        <v>95</v>
      </c>
      <c r="D53" s="20" t="s">
        <v>92</v>
      </c>
      <c r="E53" s="20" t="s">
        <v>96</v>
      </c>
      <c r="F53" s="22" t="s">
        <v>165</v>
      </c>
      <c r="G53" s="20"/>
      <c r="H53" s="22"/>
      <c r="I53" s="22"/>
      <c r="J53" s="21"/>
      <c r="K53" s="22">
        <v>489</v>
      </c>
      <c r="L53" s="22">
        <v>1</v>
      </c>
      <c r="M53" s="21">
        <v>10</v>
      </c>
      <c r="N53" s="140">
        <v>43669</v>
      </c>
      <c r="O53" s="21">
        <v>9</v>
      </c>
      <c r="P53" s="34">
        <v>43673</v>
      </c>
      <c r="Q53" s="21">
        <v>6</v>
      </c>
      <c r="R53" s="21">
        <f t="shared" si="11"/>
        <v>500</v>
      </c>
      <c r="S53" s="116">
        <f t="shared" si="12"/>
        <v>24</v>
      </c>
      <c r="T53" s="21">
        <v>57.2</v>
      </c>
      <c r="U53" s="89">
        <v>50</v>
      </c>
      <c r="V53" s="73">
        <f t="shared" si="9"/>
        <v>2.86</v>
      </c>
      <c r="W53" s="89">
        <v>4</v>
      </c>
      <c r="X53" s="155">
        <v>43682</v>
      </c>
      <c r="Y53" s="89">
        <v>50</v>
      </c>
      <c r="Z53" s="155"/>
      <c r="AA53" s="81">
        <v>68</v>
      </c>
      <c r="AB53" s="81"/>
      <c r="AC53" s="89">
        <f t="shared" si="10"/>
        <v>340</v>
      </c>
      <c r="AD53" s="89"/>
      <c r="AE53" s="89"/>
      <c r="AF53" s="155"/>
      <c r="AG53" s="155">
        <v>43692</v>
      </c>
      <c r="AH53" s="155"/>
      <c r="AI53" s="155"/>
      <c r="AJ53" s="258">
        <v>2</v>
      </c>
      <c r="AK53" s="81"/>
      <c r="AL53" s="23"/>
    </row>
    <row r="54" spans="1:38" ht="17" x14ac:dyDescent="0.2">
      <c r="A54" s="114" t="s">
        <v>227</v>
      </c>
      <c r="B54" s="19">
        <v>42900</v>
      </c>
      <c r="C54" s="20" t="s">
        <v>97</v>
      </c>
      <c r="D54" s="20" t="s">
        <v>92</v>
      </c>
      <c r="E54" s="20" t="s">
        <v>96</v>
      </c>
      <c r="F54" s="22" t="s">
        <v>180</v>
      </c>
      <c r="G54" s="20"/>
      <c r="H54" s="22"/>
      <c r="I54" s="22"/>
      <c r="J54" s="21"/>
      <c r="K54" s="22">
        <v>490</v>
      </c>
      <c r="L54" s="22">
        <v>1</v>
      </c>
      <c r="M54" s="21">
        <v>70</v>
      </c>
      <c r="N54" s="140">
        <v>43668</v>
      </c>
      <c r="O54" s="21">
        <v>7</v>
      </c>
      <c r="P54" s="34">
        <v>43673</v>
      </c>
      <c r="Q54" s="21">
        <v>6</v>
      </c>
      <c r="R54" s="21">
        <f t="shared" si="11"/>
        <v>500</v>
      </c>
      <c r="S54" s="116">
        <f t="shared" si="12"/>
        <v>24</v>
      </c>
      <c r="T54" s="21">
        <v>58.6</v>
      </c>
      <c r="U54" s="89">
        <v>50</v>
      </c>
      <c r="V54" s="73">
        <f t="shared" si="9"/>
        <v>2.93</v>
      </c>
      <c r="W54" s="89">
        <v>4</v>
      </c>
      <c r="X54" s="155">
        <v>43682</v>
      </c>
      <c r="Y54" s="89">
        <v>50</v>
      </c>
      <c r="Z54" s="155"/>
      <c r="AA54" s="81">
        <v>186</v>
      </c>
      <c r="AB54" s="81">
        <f>10479/1000*6</f>
        <v>62.873999999999995</v>
      </c>
      <c r="AC54" s="89">
        <f t="shared" si="10"/>
        <v>930</v>
      </c>
      <c r="AD54" s="70">
        <f>500/AA54</f>
        <v>2.6881720430107525</v>
      </c>
      <c r="AE54" s="271">
        <f>5-AD54</f>
        <v>2.3118279569892475</v>
      </c>
      <c r="AF54" s="155">
        <v>43692</v>
      </c>
      <c r="AG54" s="155">
        <v>43692</v>
      </c>
      <c r="AH54" s="155">
        <v>43697</v>
      </c>
      <c r="AI54" s="155">
        <v>43698</v>
      </c>
      <c r="AJ54" s="258">
        <v>2</v>
      </c>
      <c r="AK54" s="81"/>
      <c r="AL54" s="23" t="s">
        <v>443</v>
      </c>
    </row>
    <row r="55" spans="1:38" ht="17" x14ac:dyDescent="0.2">
      <c r="A55" s="114" t="s">
        <v>227</v>
      </c>
      <c r="B55" s="19">
        <v>42901</v>
      </c>
      <c r="C55" s="20" t="s">
        <v>97</v>
      </c>
      <c r="D55" s="20" t="s">
        <v>92</v>
      </c>
      <c r="E55" s="20" t="s">
        <v>96</v>
      </c>
      <c r="F55" s="22" t="s">
        <v>182</v>
      </c>
      <c r="G55" s="20"/>
      <c r="H55" s="22"/>
      <c r="I55" s="22"/>
      <c r="J55" s="21"/>
      <c r="K55" s="22">
        <v>491</v>
      </c>
      <c r="L55" s="22">
        <v>1</v>
      </c>
      <c r="M55" s="21">
        <v>20</v>
      </c>
      <c r="N55" s="140">
        <v>43668</v>
      </c>
      <c r="O55" s="21">
        <v>5</v>
      </c>
      <c r="P55" s="34">
        <v>43672</v>
      </c>
      <c r="Q55" s="21">
        <v>3</v>
      </c>
      <c r="R55" s="21">
        <f>1000-500</f>
        <v>500</v>
      </c>
      <c r="S55" s="116">
        <f t="shared" si="12"/>
        <v>24</v>
      </c>
      <c r="T55" s="49">
        <v>126</v>
      </c>
      <c r="U55" s="89">
        <v>50</v>
      </c>
      <c r="V55" s="73">
        <f t="shared" si="9"/>
        <v>6.3</v>
      </c>
      <c r="W55" s="89">
        <v>1</v>
      </c>
      <c r="X55" s="155">
        <v>43677</v>
      </c>
      <c r="Y55" s="89">
        <v>50</v>
      </c>
      <c r="Z55" s="155">
        <v>43677</v>
      </c>
      <c r="AA55" s="81">
        <v>58.4</v>
      </c>
      <c r="AB55" s="81"/>
      <c r="AC55" s="89">
        <f t="shared" si="10"/>
        <v>292</v>
      </c>
      <c r="AD55" s="89"/>
      <c r="AE55" s="89"/>
      <c r="AF55" s="155"/>
      <c r="AG55" s="155"/>
      <c r="AH55" s="155"/>
      <c r="AI55" s="155"/>
      <c r="AJ55" s="258">
        <v>2</v>
      </c>
      <c r="AK55" s="81"/>
      <c r="AL55" s="23"/>
    </row>
    <row r="56" spans="1:38" ht="17" x14ac:dyDescent="0.2">
      <c r="A56" s="114" t="s">
        <v>227</v>
      </c>
      <c r="B56" s="19">
        <v>42922</v>
      </c>
      <c r="C56" s="20" t="s">
        <v>97</v>
      </c>
      <c r="D56" s="20" t="s">
        <v>92</v>
      </c>
      <c r="E56" s="20" t="s">
        <v>96</v>
      </c>
      <c r="F56" s="22" t="s">
        <v>197</v>
      </c>
      <c r="G56" s="20"/>
      <c r="H56" s="22"/>
      <c r="I56" s="22"/>
      <c r="J56" s="21"/>
      <c r="K56" s="22">
        <v>492</v>
      </c>
      <c r="L56" s="22">
        <v>1</v>
      </c>
      <c r="M56" s="21">
        <v>70</v>
      </c>
      <c r="N56" s="140">
        <v>43668</v>
      </c>
      <c r="O56" s="21">
        <v>6</v>
      </c>
      <c r="P56" s="34">
        <v>43672</v>
      </c>
      <c r="Q56" s="21">
        <v>5</v>
      </c>
      <c r="R56" s="21">
        <f>1000-500</f>
        <v>500</v>
      </c>
      <c r="S56" s="116">
        <f t="shared" si="12"/>
        <v>24</v>
      </c>
      <c r="T56" s="49">
        <v>122</v>
      </c>
      <c r="U56" s="89">
        <v>50</v>
      </c>
      <c r="V56" s="73">
        <f t="shared" si="9"/>
        <v>6.1</v>
      </c>
      <c r="W56" s="89">
        <v>3</v>
      </c>
      <c r="X56" s="155">
        <v>43682</v>
      </c>
      <c r="Y56" s="89">
        <v>50</v>
      </c>
      <c r="Z56" s="185">
        <v>43683</v>
      </c>
      <c r="AA56" s="81">
        <v>82.6</v>
      </c>
      <c r="AB56" s="81"/>
      <c r="AC56" s="89">
        <f t="shared" si="10"/>
        <v>413</v>
      </c>
      <c r="AD56" s="89"/>
      <c r="AE56" s="89"/>
      <c r="AF56" s="155">
        <v>43692</v>
      </c>
      <c r="AG56" s="155">
        <v>43692</v>
      </c>
      <c r="AH56" s="155"/>
      <c r="AI56" s="155"/>
      <c r="AJ56" s="258">
        <v>3</v>
      </c>
      <c r="AK56" s="81"/>
      <c r="AL56" s="23"/>
    </row>
    <row r="57" spans="1:38" ht="17" hidden="1" x14ac:dyDescent="0.2">
      <c r="A57" s="114" t="s">
        <v>227</v>
      </c>
      <c r="B57" s="19">
        <v>42876</v>
      </c>
      <c r="C57" s="20" t="s">
        <v>100</v>
      </c>
      <c r="D57" s="20" t="s">
        <v>92</v>
      </c>
      <c r="E57" s="20" t="s">
        <v>101</v>
      </c>
      <c r="F57" s="22" t="s">
        <v>271</v>
      </c>
      <c r="G57" s="20" t="s">
        <v>201</v>
      </c>
      <c r="H57" s="22" t="s">
        <v>202</v>
      </c>
      <c r="I57" s="22" t="s">
        <v>203</v>
      </c>
      <c r="J57" s="34">
        <v>43665</v>
      </c>
      <c r="K57" s="22">
        <v>501</v>
      </c>
      <c r="L57" s="22">
        <v>1</v>
      </c>
      <c r="M57" s="21" t="s">
        <v>238</v>
      </c>
      <c r="N57" s="140">
        <v>43665</v>
      </c>
      <c r="O57" s="21">
        <v>1</v>
      </c>
      <c r="P57" s="21" t="s">
        <v>237</v>
      </c>
      <c r="Q57" s="21"/>
      <c r="R57" s="21"/>
      <c r="S57" s="21"/>
      <c r="T57" s="21"/>
      <c r="U57" s="89">
        <v>50</v>
      </c>
      <c r="V57" s="73">
        <f t="shared" si="9"/>
        <v>0</v>
      </c>
      <c r="W57" s="89"/>
      <c r="X57" s="155">
        <v>43682</v>
      </c>
      <c r="Y57" s="89">
        <v>50</v>
      </c>
      <c r="Z57" s="155"/>
      <c r="AA57" s="81"/>
      <c r="AB57" s="81"/>
      <c r="AC57" s="89">
        <f t="shared" si="10"/>
        <v>0</v>
      </c>
      <c r="AD57" s="89"/>
      <c r="AE57" s="89"/>
      <c r="AF57" s="155"/>
      <c r="AG57" s="155"/>
      <c r="AH57" s="155"/>
      <c r="AI57" s="155"/>
      <c r="AJ57" s="258"/>
      <c r="AK57" s="81"/>
      <c r="AL57" s="23"/>
    </row>
    <row r="58" spans="1:38" s="220" customFormat="1" ht="17" x14ac:dyDescent="0.2">
      <c r="A58" s="210" t="s">
        <v>227</v>
      </c>
      <c r="B58" s="211">
        <v>42876</v>
      </c>
      <c r="C58" s="212" t="s">
        <v>100</v>
      </c>
      <c r="D58" s="212" t="s">
        <v>92</v>
      </c>
      <c r="E58" s="212" t="s">
        <v>101</v>
      </c>
      <c r="F58" s="213" t="s">
        <v>271</v>
      </c>
      <c r="G58" s="212" t="s">
        <v>201</v>
      </c>
      <c r="H58" s="213" t="s">
        <v>202</v>
      </c>
      <c r="I58" s="213" t="s">
        <v>203</v>
      </c>
      <c r="J58" s="223"/>
      <c r="K58" s="213">
        <v>41</v>
      </c>
      <c r="L58" s="213"/>
      <c r="M58" s="214"/>
      <c r="N58" s="215" t="s">
        <v>237</v>
      </c>
      <c r="O58" s="214"/>
      <c r="P58" s="214"/>
      <c r="Q58" s="214"/>
      <c r="R58" s="214"/>
      <c r="S58" s="214"/>
      <c r="T58" s="214"/>
      <c r="U58" s="216">
        <v>50</v>
      </c>
      <c r="V58" s="217">
        <f t="shared" si="9"/>
        <v>0</v>
      </c>
      <c r="W58" s="216"/>
      <c r="X58" s="221">
        <v>43682</v>
      </c>
      <c r="Y58" s="216">
        <v>50</v>
      </c>
      <c r="Z58" s="221"/>
      <c r="AA58" s="218">
        <v>108</v>
      </c>
      <c r="AB58" s="218"/>
      <c r="AC58" s="216">
        <f t="shared" si="10"/>
        <v>540</v>
      </c>
      <c r="AD58" s="216"/>
      <c r="AE58" s="216"/>
      <c r="AF58" s="221">
        <v>43692</v>
      </c>
      <c r="AG58" s="155">
        <v>43692</v>
      </c>
      <c r="AH58" s="221"/>
      <c r="AI58" s="221"/>
      <c r="AJ58" s="262">
        <v>2</v>
      </c>
      <c r="AK58" s="218"/>
      <c r="AL58" s="219"/>
    </row>
    <row r="59" spans="1:38" ht="17" x14ac:dyDescent="0.2">
      <c r="A59" s="114" t="s">
        <v>227</v>
      </c>
      <c r="B59" s="19">
        <v>42878</v>
      </c>
      <c r="C59" s="20" t="s">
        <v>100</v>
      </c>
      <c r="D59" s="20" t="s">
        <v>92</v>
      </c>
      <c r="E59" s="20" t="s">
        <v>101</v>
      </c>
      <c r="F59" s="22" t="s">
        <v>124</v>
      </c>
      <c r="G59" s="20"/>
      <c r="H59" s="22" t="s">
        <v>204</v>
      </c>
      <c r="I59" s="22" t="s">
        <v>205</v>
      </c>
      <c r="J59" s="21"/>
      <c r="K59" s="22">
        <v>43</v>
      </c>
      <c r="L59" s="22"/>
      <c r="M59" s="21"/>
      <c r="N59" s="146" t="s">
        <v>237</v>
      </c>
      <c r="O59" s="21">
        <v>0</v>
      </c>
      <c r="P59" s="140">
        <v>43189</v>
      </c>
      <c r="Q59" s="21">
        <v>0</v>
      </c>
      <c r="R59" s="21">
        <v>0</v>
      </c>
      <c r="S59" s="21">
        <f>20-1+50-50</f>
        <v>19</v>
      </c>
      <c r="T59" s="21" t="s">
        <v>249</v>
      </c>
      <c r="U59" s="89">
        <v>50</v>
      </c>
      <c r="V59" s="73"/>
      <c r="W59" s="89">
        <v>4</v>
      </c>
      <c r="X59" s="155">
        <v>43682</v>
      </c>
      <c r="Y59" s="89">
        <v>50</v>
      </c>
      <c r="Z59" s="224">
        <v>43683</v>
      </c>
      <c r="AA59" s="81">
        <v>156</v>
      </c>
      <c r="AB59" s="81"/>
      <c r="AC59" s="89">
        <f t="shared" si="10"/>
        <v>780</v>
      </c>
      <c r="AD59" s="89"/>
      <c r="AE59" s="89"/>
      <c r="AF59" s="256">
        <v>43692</v>
      </c>
      <c r="AG59" s="155">
        <v>43692</v>
      </c>
      <c r="AH59" s="155"/>
      <c r="AI59" s="155"/>
      <c r="AJ59" s="263">
        <v>2</v>
      </c>
      <c r="AK59" s="81"/>
      <c r="AL59" s="23" t="s">
        <v>298</v>
      </c>
    </row>
    <row r="60" spans="1:38" ht="17" x14ac:dyDescent="0.2">
      <c r="A60" s="114" t="s">
        <v>227</v>
      </c>
      <c r="B60" s="19">
        <v>42881</v>
      </c>
      <c r="C60" s="20" t="s">
        <v>100</v>
      </c>
      <c r="D60" s="20" t="s">
        <v>92</v>
      </c>
      <c r="E60" s="20" t="s">
        <v>101</v>
      </c>
      <c r="F60" s="22" t="s">
        <v>140</v>
      </c>
      <c r="G60" s="20"/>
      <c r="H60" s="22" t="s">
        <v>208</v>
      </c>
      <c r="I60" s="22" t="s">
        <v>205</v>
      </c>
      <c r="J60" s="21"/>
      <c r="K60" s="22">
        <v>46</v>
      </c>
      <c r="L60" s="22"/>
      <c r="M60" s="21"/>
      <c r="N60" s="140" t="s">
        <v>237</v>
      </c>
      <c r="O60" s="21">
        <v>0</v>
      </c>
      <c r="P60" s="140">
        <v>43189</v>
      </c>
      <c r="Q60" s="21">
        <v>0</v>
      </c>
      <c r="R60" s="21">
        <v>0</v>
      </c>
      <c r="S60" s="21">
        <f>20-1-25</f>
        <v>-6</v>
      </c>
      <c r="T60" s="21">
        <v>88.8</v>
      </c>
      <c r="U60" s="89">
        <v>50</v>
      </c>
      <c r="V60" s="73">
        <f t="shared" ref="V60:V70" si="13">U60*T60/1000</f>
        <v>4.4400000000000004</v>
      </c>
      <c r="W60" s="89">
        <v>4</v>
      </c>
      <c r="X60" s="155">
        <v>43682</v>
      </c>
      <c r="Y60" s="89">
        <v>25</v>
      </c>
      <c r="Z60" s="224">
        <v>43683</v>
      </c>
      <c r="AA60" s="81">
        <v>98.6</v>
      </c>
      <c r="AB60" s="81"/>
      <c r="AC60" s="89">
        <f t="shared" si="10"/>
        <v>493</v>
      </c>
      <c r="AD60" s="89"/>
      <c r="AE60" s="89"/>
      <c r="AF60" s="155"/>
      <c r="AG60" s="155">
        <v>43692</v>
      </c>
      <c r="AH60" s="155"/>
      <c r="AI60" s="155"/>
      <c r="AJ60" s="258">
        <v>2</v>
      </c>
      <c r="AK60" s="81"/>
      <c r="AL60" s="23" t="s">
        <v>299</v>
      </c>
    </row>
    <row r="61" spans="1:38" s="220" customFormat="1" ht="17" x14ac:dyDescent="0.2">
      <c r="A61" s="210" t="s">
        <v>227</v>
      </c>
      <c r="B61" s="211">
        <v>42882</v>
      </c>
      <c r="C61" s="212" t="s">
        <v>100</v>
      </c>
      <c r="D61" s="212" t="s">
        <v>92</v>
      </c>
      <c r="E61" s="212" t="s">
        <v>101</v>
      </c>
      <c r="F61" s="213" t="s">
        <v>142</v>
      </c>
      <c r="G61" s="212" t="s">
        <v>209</v>
      </c>
      <c r="H61" s="213" t="s">
        <v>210</v>
      </c>
      <c r="I61" s="213" t="s">
        <v>203</v>
      </c>
      <c r="J61" s="214"/>
      <c r="K61" s="213">
        <v>47</v>
      </c>
      <c r="L61" s="213"/>
      <c r="M61" s="214"/>
      <c r="N61" s="215" t="s">
        <v>237</v>
      </c>
      <c r="O61" s="214">
        <v>0</v>
      </c>
      <c r="P61" s="215">
        <v>43189</v>
      </c>
      <c r="Q61" s="214">
        <v>0</v>
      </c>
      <c r="R61" s="214">
        <v>0</v>
      </c>
      <c r="S61" s="214" t="s">
        <v>276</v>
      </c>
      <c r="T61" s="214">
        <v>194</v>
      </c>
      <c r="U61" s="216">
        <v>50</v>
      </c>
      <c r="V61" s="217">
        <f t="shared" si="13"/>
        <v>9.6999999999999993</v>
      </c>
      <c r="W61" s="216"/>
      <c r="X61" s="217"/>
      <c r="Y61" s="216">
        <v>50</v>
      </c>
      <c r="Z61" s="217"/>
      <c r="AA61" s="218">
        <v>128</v>
      </c>
      <c r="AB61" s="218"/>
      <c r="AC61" s="216">
        <f t="shared" si="10"/>
        <v>640</v>
      </c>
      <c r="AD61" s="216"/>
      <c r="AE61" s="216"/>
      <c r="AF61" s="221"/>
      <c r="AG61" s="155">
        <v>43692</v>
      </c>
      <c r="AH61" s="221"/>
      <c r="AI61" s="221"/>
      <c r="AJ61" s="262">
        <v>1</v>
      </c>
      <c r="AK61" s="218"/>
      <c r="AL61" s="219"/>
    </row>
    <row r="62" spans="1:38" s="220" customFormat="1" ht="17" x14ac:dyDescent="0.2">
      <c r="A62" s="210" t="s">
        <v>227</v>
      </c>
      <c r="B62" s="211">
        <v>42886</v>
      </c>
      <c r="C62" s="212" t="s">
        <v>114</v>
      </c>
      <c r="D62" s="212" t="s">
        <v>92</v>
      </c>
      <c r="E62" s="212" t="s">
        <v>101</v>
      </c>
      <c r="F62" s="213" t="s">
        <v>148</v>
      </c>
      <c r="G62" s="212"/>
      <c r="H62" s="213" t="s">
        <v>212</v>
      </c>
      <c r="I62" s="213" t="s">
        <v>203</v>
      </c>
      <c r="J62" s="214"/>
      <c r="K62" s="213">
        <v>44</v>
      </c>
      <c r="L62" s="213"/>
      <c r="M62" s="214"/>
      <c r="N62" s="215" t="s">
        <v>237</v>
      </c>
      <c r="O62" s="214">
        <v>0</v>
      </c>
      <c r="P62" s="215">
        <v>43189</v>
      </c>
      <c r="Q62" s="214">
        <v>0</v>
      </c>
      <c r="R62" s="214">
        <v>0</v>
      </c>
      <c r="S62" s="214" t="s">
        <v>276</v>
      </c>
      <c r="T62" s="214" t="s">
        <v>249</v>
      </c>
      <c r="U62" s="216">
        <v>50</v>
      </c>
      <c r="V62" s="217" t="e">
        <f t="shared" si="13"/>
        <v>#VALUE!</v>
      </c>
      <c r="W62" s="216"/>
      <c r="X62" s="217"/>
      <c r="Y62" s="216">
        <v>50</v>
      </c>
      <c r="Z62" s="217"/>
      <c r="AA62" s="218">
        <v>41.4</v>
      </c>
      <c r="AB62" s="218"/>
      <c r="AC62" s="216">
        <f t="shared" si="10"/>
        <v>207</v>
      </c>
      <c r="AD62" s="216"/>
      <c r="AE62" s="216"/>
      <c r="AF62" s="221">
        <v>43692</v>
      </c>
      <c r="AG62" s="155">
        <v>43692</v>
      </c>
      <c r="AH62" s="221"/>
      <c r="AI62" s="221"/>
      <c r="AJ62" s="262">
        <v>1</v>
      </c>
      <c r="AK62" s="218"/>
      <c r="AL62" s="219"/>
    </row>
    <row r="63" spans="1:38" ht="17" x14ac:dyDescent="0.2">
      <c r="A63" s="114" t="s">
        <v>227</v>
      </c>
      <c r="B63" s="19">
        <v>42900</v>
      </c>
      <c r="C63" s="20" t="s">
        <v>100</v>
      </c>
      <c r="D63" s="20" t="s">
        <v>92</v>
      </c>
      <c r="E63" s="20" t="s">
        <v>101</v>
      </c>
      <c r="F63" s="22" t="s">
        <v>178</v>
      </c>
      <c r="G63" s="20" t="s">
        <v>218</v>
      </c>
      <c r="H63" s="22" t="s">
        <v>232</v>
      </c>
      <c r="I63" s="22" t="s">
        <v>205</v>
      </c>
      <c r="J63" s="21"/>
      <c r="K63" s="22">
        <v>506</v>
      </c>
      <c r="L63" s="22">
        <v>1</v>
      </c>
      <c r="M63" s="21">
        <v>80</v>
      </c>
      <c r="N63" s="140">
        <v>43666</v>
      </c>
      <c r="O63" s="21">
        <v>2</v>
      </c>
      <c r="P63" s="67">
        <v>43670</v>
      </c>
      <c r="Q63" s="21">
        <v>1</v>
      </c>
      <c r="R63" s="21">
        <f>1000-500</f>
        <v>500</v>
      </c>
      <c r="S63" s="21">
        <f>100-1-50</f>
        <v>49</v>
      </c>
      <c r="T63" s="49">
        <v>63.8</v>
      </c>
      <c r="U63" s="89">
        <v>50</v>
      </c>
      <c r="V63" s="73">
        <f t="shared" si="13"/>
        <v>3.19</v>
      </c>
      <c r="W63" s="89">
        <v>1</v>
      </c>
      <c r="X63" s="155">
        <v>43677</v>
      </c>
      <c r="Y63" s="89">
        <v>50</v>
      </c>
      <c r="Z63" s="155">
        <v>43677</v>
      </c>
      <c r="AA63" s="81">
        <v>29.2</v>
      </c>
      <c r="AB63" s="81"/>
      <c r="AC63" s="89">
        <f t="shared" si="10"/>
        <v>146</v>
      </c>
      <c r="AD63" s="89"/>
      <c r="AE63" s="89"/>
      <c r="AF63" s="256">
        <v>43692</v>
      </c>
      <c r="AG63" s="256"/>
      <c r="AH63" s="256"/>
      <c r="AI63" s="256"/>
      <c r="AJ63" s="263">
        <v>2</v>
      </c>
      <c r="AK63" s="81"/>
      <c r="AL63" s="23"/>
    </row>
    <row r="64" spans="1:38" s="138" customFormat="1" ht="17" hidden="1" x14ac:dyDescent="0.2">
      <c r="A64" s="136" t="s">
        <v>227</v>
      </c>
      <c r="B64" s="68">
        <v>42901</v>
      </c>
      <c r="C64" s="69" t="s">
        <v>100</v>
      </c>
      <c r="D64" s="69" t="s">
        <v>92</v>
      </c>
      <c r="E64" s="69" t="s">
        <v>101</v>
      </c>
      <c r="F64" s="63" t="s">
        <v>183</v>
      </c>
      <c r="G64" s="69" t="s">
        <v>219</v>
      </c>
      <c r="H64" s="63"/>
      <c r="I64" s="63"/>
      <c r="J64" s="64"/>
      <c r="K64" s="63" t="s">
        <v>237</v>
      </c>
      <c r="L64" s="63"/>
      <c r="M64" s="63"/>
      <c r="N64" s="63"/>
      <c r="O64" s="63" t="s">
        <v>237</v>
      </c>
      <c r="P64" s="63" t="s">
        <v>237</v>
      </c>
      <c r="Q64" s="63" t="s">
        <v>237</v>
      </c>
      <c r="R64" s="63" t="s">
        <v>237</v>
      </c>
      <c r="S64" s="63" t="s">
        <v>237</v>
      </c>
      <c r="T64" s="63" t="s">
        <v>237</v>
      </c>
      <c r="U64" s="89">
        <v>50</v>
      </c>
      <c r="V64" s="73" t="e">
        <f t="shared" si="13"/>
        <v>#VALUE!</v>
      </c>
      <c r="W64" s="89"/>
      <c r="X64" s="73"/>
      <c r="Y64" s="89">
        <v>50</v>
      </c>
      <c r="Z64" s="73"/>
      <c r="AA64" s="81"/>
      <c r="AB64" s="81"/>
      <c r="AC64" s="89">
        <f t="shared" si="10"/>
        <v>0</v>
      </c>
      <c r="AD64" s="89"/>
      <c r="AE64" s="89"/>
      <c r="AF64" s="155"/>
      <c r="AG64" s="155"/>
      <c r="AH64" s="155"/>
      <c r="AI64" s="155"/>
      <c r="AJ64" s="258"/>
      <c r="AK64" s="81"/>
      <c r="AL64" s="137"/>
    </row>
    <row r="65" spans="1:38" s="220" customFormat="1" ht="17" x14ac:dyDescent="0.2">
      <c r="A65" s="210" t="s">
        <v>227</v>
      </c>
      <c r="B65" s="211">
        <v>42910</v>
      </c>
      <c r="C65" s="212" t="s">
        <v>114</v>
      </c>
      <c r="D65" s="212" t="s">
        <v>92</v>
      </c>
      <c r="E65" s="212" t="s">
        <v>101</v>
      </c>
      <c r="F65" s="213" t="s">
        <v>195</v>
      </c>
      <c r="G65" s="212"/>
      <c r="H65" s="213" t="s">
        <v>225</v>
      </c>
      <c r="I65" s="213" t="s">
        <v>203</v>
      </c>
      <c r="J65" s="214"/>
      <c r="K65" s="213">
        <v>45</v>
      </c>
      <c r="L65" s="213"/>
      <c r="M65" s="214"/>
      <c r="N65" s="215" t="s">
        <v>237</v>
      </c>
      <c r="O65" s="214">
        <v>0</v>
      </c>
      <c r="P65" s="215">
        <v>43189</v>
      </c>
      <c r="Q65" s="214">
        <v>0</v>
      </c>
      <c r="R65" s="214">
        <v>0</v>
      </c>
      <c r="S65" s="214" t="s">
        <v>276</v>
      </c>
      <c r="T65" s="214" t="s">
        <v>249</v>
      </c>
      <c r="U65" s="216">
        <v>50</v>
      </c>
      <c r="V65" s="217" t="e">
        <f t="shared" si="13"/>
        <v>#VALUE!</v>
      </c>
      <c r="W65" s="216"/>
      <c r="X65" s="217"/>
      <c r="Y65" s="216">
        <v>50</v>
      </c>
      <c r="Z65" s="217"/>
      <c r="AA65" s="218">
        <v>25.1</v>
      </c>
      <c r="AB65" s="218"/>
      <c r="AC65" s="216">
        <f t="shared" si="10"/>
        <v>125.5</v>
      </c>
      <c r="AD65" s="216"/>
      <c r="AE65" s="216"/>
      <c r="AF65" s="221"/>
      <c r="AG65" s="155">
        <v>43692</v>
      </c>
      <c r="AH65" s="221"/>
      <c r="AI65" s="221"/>
      <c r="AJ65" s="262">
        <v>1</v>
      </c>
      <c r="AK65" s="81"/>
      <c r="AL65" s="219"/>
    </row>
    <row r="66" spans="1:38" s="220" customFormat="1" ht="17" x14ac:dyDescent="0.2">
      <c r="A66" s="210" t="s">
        <v>227</v>
      </c>
      <c r="B66" s="211">
        <v>42878</v>
      </c>
      <c r="C66" s="212" t="s">
        <v>102</v>
      </c>
      <c r="D66" s="212" t="s">
        <v>92</v>
      </c>
      <c r="E66" s="212" t="s">
        <v>103</v>
      </c>
      <c r="F66" s="213" t="s">
        <v>126</v>
      </c>
      <c r="G66" s="212" t="s">
        <v>206</v>
      </c>
      <c r="H66" s="213" t="s">
        <v>207</v>
      </c>
      <c r="I66" s="213" t="s">
        <v>203</v>
      </c>
      <c r="J66" s="214"/>
      <c r="K66" s="213">
        <v>35</v>
      </c>
      <c r="L66" s="213"/>
      <c r="M66" s="214"/>
      <c r="N66" s="215" t="s">
        <v>237</v>
      </c>
      <c r="O66" s="214">
        <v>0</v>
      </c>
      <c r="P66" s="215">
        <v>43189</v>
      </c>
      <c r="Q66" s="214">
        <v>0</v>
      </c>
      <c r="R66" s="214">
        <v>0</v>
      </c>
      <c r="S66" s="214" t="s">
        <v>276</v>
      </c>
      <c r="T66" s="214">
        <v>71</v>
      </c>
      <c r="U66" s="216">
        <v>50</v>
      </c>
      <c r="V66" s="217">
        <f t="shared" si="13"/>
        <v>3.55</v>
      </c>
      <c r="W66" s="216"/>
      <c r="X66" s="217"/>
      <c r="Y66" s="216">
        <v>50</v>
      </c>
      <c r="Z66" s="217"/>
      <c r="AA66" s="218">
        <v>94.4</v>
      </c>
      <c r="AB66" s="218"/>
      <c r="AC66" s="216">
        <f t="shared" si="10"/>
        <v>472</v>
      </c>
      <c r="AD66" s="216"/>
      <c r="AE66" s="216"/>
      <c r="AF66" s="221"/>
      <c r="AG66" s="155">
        <v>43692</v>
      </c>
      <c r="AH66" s="221"/>
      <c r="AI66" s="221"/>
      <c r="AJ66" s="262">
        <v>1</v>
      </c>
      <c r="AK66" s="218"/>
      <c r="AL66" s="219"/>
    </row>
    <row r="67" spans="1:38" s="138" customFormat="1" ht="17" hidden="1" x14ac:dyDescent="0.2">
      <c r="A67" s="136" t="s">
        <v>227</v>
      </c>
      <c r="B67" s="68">
        <v>42889</v>
      </c>
      <c r="C67" s="69" t="s">
        <v>102</v>
      </c>
      <c r="D67" s="69" t="s">
        <v>92</v>
      </c>
      <c r="E67" s="69" t="s">
        <v>103</v>
      </c>
      <c r="F67" s="63" t="s">
        <v>153</v>
      </c>
      <c r="G67" s="69"/>
      <c r="H67" s="63" t="s">
        <v>213</v>
      </c>
      <c r="I67" s="63" t="s">
        <v>205</v>
      </c>
      <c r="J67" s="64"/>
      <c r="K67" s="63">
        <v>38</v>
      </c>
      <c r="L67" s="63"/>
      <c r="M67" s="64"/>
      <c r="N67" s="144"/>
      <c r="O67" s="64">
        <v>0</v>
      </c>
      <c r="P67" s="144">
        <v>43189</v>
      </c>
      <c r="Q67" s="64">
        <v>0</v>
      </c>
      <c r="R67" s="64">
        <v>0</v>
      </c>
      <c r="S67" s="64">
        <f>20-1-25</f>
        <v>-6</v>
      </c>
      <c r="T67" s="64">
        <v>7.12</v>
      </c>
      <c r="U67" s="89">
        <v>50</v>
      </c>
      <c r="V67" s="73">
        <f t="shared" si="13"/>
        <v>0.35599999999999998</v>
      </c>
      <c r="W67" s="89">
        <v>3</v>
      </c>
      <c r="X67" s="155">
        <v>43682</v>
      </c>
      <c r="Y67" s="89">
        <v>25</v>
      </c>
      <c r="Z67" s="224">
        <v>43683</v>
      </c>
      <c r="AA67" s="81" t="s">
        <v>244</v>
      </c>
      <c r="AB67" s="81"/>
      <c r="AC67" s="89" t="e">
        <f t="shared" si="10"/>
        <v>#VALUE!</v>
      </c>
      <c r="AD67" s="89"/>
      <c r="AE67" s="89"/>
      <c r="AF67" s="155"/>
      <c r="AG67" s="155"/>
      <c r="AH67" s="155"/>
      <c r="AI67" s="155"/>
      <c r="AJ67" s="258"/>
      <c r="AK67" s="81"/>
      <c r="AL67" s="23" t="s">
        <v>299</v>
      </c>
    </row>
    <row r="68" spans="1:38" ht="17" x14ac:dyDescent="0.2">
      <c r="A68" s="114" t="s">
        <v>227</v>
      </c>
      <c r="B68" s="19">
        <v>42891</v>
      </c>
      <c r="C68" s="20" t="s">
        <v>102</v>
      </c>
      <c r="D68" s="20" t="s">
        <v>92</v>
      </c>
      <c r="E68" s="20" t="s">
        <v>103</v>
      </c>
      <c r="F68" s="22" t="s">
        <v>161</v>
      </c>
      <c r="G68" s="20" t="s">
        <v>214</v>
      </c>
      <c r="H68" s="22" t="s">
        <v>233</v>
      </c>
      <c r="I68" s="22" t="s">
        <v>205</v>
      </c>
      <c r="J68" s="21"/>
      <c r="K68" s="22">
        <v>513</v>
      </c>
      <c r="L68" s="22"/>
      <c r="M68" s="21">
        <v>30</v>
      </c>
      <c r="N68" s="140">
        <v>43669</v>
      </c>
      <c r="O68" s="21">
        <v>10</v>
      </c>
      <c r="P68" s="34">
        <v>43672</v>
      </c>
      <c r="Q68" s="21">
        <v>5</v>
      </c>
      <c r="R68" s="21">
        <f>1000-500</f>
        <v>500</v>
      </c>
      <c r="S68" s="116">
        <f>75-1-50</f>
        <v>24</v>
      </c>
      <c r="T68" s="49">
        <v>156</v>
      </c>
      <c r="U68" s="89">
        <v>50</v>
      </c>
      <c r="V68" s="73">
        <f t="shared" si="13"/>
        <v>7.8</v>
      </c>
      <c r="W68" s="89">
        <v>1</v>
      </c>
      <c r="X68" s="155">
        <v>43677</v>
      </c>
      <c r="Y68" s="89">
        <v>50</v>
      </c>
      <c r="Z68" s="155">
        <v>43677</v>
      </c>
      <c r="AA68" s="81">
        <v>142</v>
      </c>
      <c r="AB68" s="81">
        <f>12224/1000*6</f>
        <v>73.343999999999994</v>
      </c>
      <c r="AC68" s="89">
        <f t="shared" si="10"/>
        <v>710</v>
      </c>
      <c r="AD68" s="70">
        <f>500/AA68</f>
        <v>3.5211267605633805</v>
      </c>
      <c r="AE68" s="70">
        <f>5-AD68</f>
        <v>1.4788732394366195</v>
      </c>
      <c r="AF68" s="256">
        <v>43692</v>
      </c>
      <c r="AG68" s="256"/>
      <c r="AH68" s="256">
        <v>43697</v>
      </c>
      <c r="AI68" s="155">
        <v>43698</v>
      </c>
      <c r="AJ68" s="263">
        <v>2</v>
      </c>
      <c r="AK68" s="81"/>
      <c r="AL68" s="23"/>
    </row>
    <row r="69" spans="1:38" s="220" customFormat="1" ht="17" x14ac:dyDescent="0.2">
      <c r="A69" s="210" t="s">
        <v>227</v>
      </c>
      <c r="B69" s="211">
        <v>42892</v>
      </c>
      <c r="C69" s="212" t="s">
        <v>102</v>
      </c>
      <c r="D69" s="212" t="s">
        <v>92</v>
      </c>
      <c r="E69" s="212" t="s">
        <v>103</v>
      </c>
      <c r="F69" s="213" t="s">
        <v>164</v>
      </c>
      <c r="G69" s="212"/>
      <c r="H69" s="213" t="s">
        <v>215</v>
      </c>
      <c r="I69" s="213" t="s">
        <v>203</v>
      </c>
      <c r="J69" s="214"/>
      <c r="K69" s="213">
        <v>39</v>
      </c>
      <c r="L69" s="213"/>
      <c r="M69" s="214"/>
      <c r="N69" s="215" t="s">
        <v>237</v>
      </c>
      <c r="O69" s="214">
        <v>0</v>
      </c>
      <c r="P69" s="215">
        <v>43189</v>
      </c>
      <c r="Q69" s="214">
        <v>0</v>
      </c>
      <c r="R69" s="214">
        <v>0</v>
      </c>
      <c r="S69" s="214"/>
      <c r="T69" s="214" t="s">
        <v>249</v>
      </c>
      <c r="U69" s="216">
        <v>50</v>
      </c>
      <c r="V69" s="217" t="e">
        <f t="shared" si="13"/>
        <v>#VALUE!</v>
      </c>
      <c r="W69" s="216"/>
      <c r="X69" s="217"/>
      <c r="Y69" s="216">
        <v>50</v>
      </c>
      <c r="Z69" s="217"/>
      <c r="AA69" s="218">
        <v>89.8</v>
      </c>
      <c r="AB69" s="218"/>
      <c r="AC69" s="216">
        <f t="shared" si="10"/>
        <v>449</v>
      </c>
      <c r="AD69" s="216"/>
      <c r="AE69" s="216"/>
      <c r="AF69" s="221"/>
      <c r="AG69" s="155">
        <v>43692</v>
      </c>
      <c r="AH69" s="221"/>
      <c r="AI69" s="221"/>
      <c r="AJ69" s="262">
        <v>1</v>
      </c>
      <c r="AK69" s="218"/>
      <c r="AL69" s="219"/>
    </row>
    <row r="70" spans="1:38" s="220" customFormat="1" ht="17" x14ac:dyDescent="0.2">
      <c r="A70" s="210" t="s">
        <v>227</v>
      </c>
      <c r="B70" s="211">
        <v>42901</v>
      </c>
      <c r="C70" s="212" t="s">
        <v>102</v>
      </c>
      <c r="D70" s="212" t="s">
        <v>92</v>
      </c>
      <c r="E70" s="212" t="s">
        <v>103</v>
      </c>
      <c r="F70" s="213" t="s">
        <v>185</v>
      </c>
      <c r="G70" s="212" t="s">
        <v>220</v>
      </c>
      <c r="H70" s="213" t="s">
        <v>221</v>
      </c>
      <c r="I70" s="213" t="s">
        <v>203</v>
      </c>
      <c r="J70" s="214"/>
      <c r="K70" s="213">
        <v>37</v>
      </c>
      <c r="L70" s="213"/>
      <c r="M70" s="214"/>
      <c r="N70" s="215" t="s">
        <v>237</v>
      </c>
      <c r="O70" s="214">
        <v>0</v>
      </c>
      <c r="P70" s="215">
        <v>43189</v>
      </c>
      <c r="Q70" s="214">
        <v>0</v>
      </c>
      <c r="R70" s="214">
        <v>0</v>
      </c>
      <c r="S70" s="214"/>
      <c r="T70" s="214">
        <v>122</v>
      </c>
      <c r="U70" s="216">
        <v>50</v>
      </c>
      <c r="V70" s="217">
        <f t="shared" si="13"/>
        <v>6.1</v>
      </c>
      <c r="W70" s="216"/>
      <c r="X70" s="217"/>
      <c r="Y70" s="216">
        <v>50</v>
      </c>
      <c r="Z70" s="217"/>
      <c r="AA70" s="218">
        <v>74.599999999999994</v>
      </c>
      <c r="AB70" s="218"/>
      <c r="AC70" s="216">
        <f t="shared" si="10"/>
        <v>373</v>
      </c>
      <c r="AD70" s="216"/>
      <c r="AE70" s="216"/>
      <c r="AF70" s="221">
        <v>43692</v>
      </c>
      <c r="AG70" s="155">
        <v>43692</v>
      </c>
      <c r="AH70" s="221"/>
      <c r="AI70" s="221"/>
      <c r="AJ70" s="262">
        <v>1</v>
      </c>
      <c r="AK70" s="218"/>
      <c r="AL70" s="219"/>
    </row>
    <row r="71" spans="1:38" s="138" customFormat="1" ht="17" hidden="1" x14ac:dyDescent="0.2">
      <c r="A71" s="136" t="s">
        <v>227</v>
      </c>
      <c r="B71" s="68">
        <v>42903</v>
      </c>
      <c r="C71" s="69" t="s">
        <v>102</v>
      </c>
      <c r="D71" s="69" t="s">
        <v>92</v>
      </c>
      <c r="E71" s="69" t="s">
        <v>103</v>
      </c>
      <c r="F71" s="63" t="s">
        <v>187</v>
      </c>
      <c r="G71" s="69"/>
      <c r="H71" s="63" t="s">
        <v>234</v>
      </c>
      <c r="I71" s="63" t="s">
        <v>205</v>
      </c>
      <c r="J71" s="64"/>
      <c r="K71" s="63">
        <v>40</v>
      </c>
      <c r="L71" s="63"/>
      <c r="M71" s="64"/>
      <c r="N71" s="144"/>
      <c r="O71" s="21">
        <v>0</v>
      </c>
      <c r="P71" s="140">
        <v>43189</v>
      </c>
      <c r="Q71" s="21">
        <v>0</v>
      </c>
      <c r="R71" s="21">
        <v>0</v>
      </c>
      <c r="S71" s="21"/>
      <c r="T71" s="64" t="s">
        <v>244</v>
      </c>
      <c r="U71" s="89">
        <v>50</v>
      </c>
      <c r="V71" s="73"/>
      <c r="W71" s="89"/>
      <c r="X71" s="73"/>
      <c r="Y71" s="89">
        <v>50</v>
      </c>
      <c r="Z71" s="73"/>
      <c r="AA71" s="81"/>
      <c r="AB71" s="81"/>
      <c r="AC71" s="89">
        <f t="shared" si="10"/>
        <v>0</v>
      </c>
      <c r="AD71" s="89"/>
      <c r="AE71" s="89"/>
      <c r="AF71" s="155"/>
      <c r="AG71" s="155">
        <v>43692</v>
      </c>
      <c r="AH71" s="221"/>
      <c r="AI71" s="221"/>
      <c r="AJ71" s="258"/>
      <c r="AK71" s="81"/>
      <c r="AL71" s="137"/>
    </row>
    <row r="72" spans="1:38" s="220" customFormat="1" ht="17" x14ac:dyDescent="0.2">
      <c r="A72" s="210" t="s">
        <v>227</v>
      </c>
      <c r="B72" s="211">
        <v>42905</v>
      </c>
      <c r="C72" s="212" t="s">
        <v>121</v>
      </c>
      <c r="D72" s="212" t="s">
        <v>92</v>
      </c>
      <c r="E72" s="212" t="s">
        <v>103</v>
      </c>
      <c r="F72" s="213" t="s">
        <v>193</v>
      </c>
      <c r="G72" s="212" t="s">
        <v>223</v>
      </c>
      <c r="H72" s="213" t="s">
        <v>224</v>
      </c>
      <c r="I72" s="213" t="s">
        <v>203</v>
      </c>
      <c r="J72" s="214"/>
      <c r="K72" s="213">
        <v>34</v>
      </c>
      <c r="L72" s="213"/>
      <c r="M72" s="214"/>
      <c r="N72" s="215" t="s">
        <v>237</v>
      </c>
      <c r="O72" s="214">
        <v>0</v>
      </c>
      <c r="P72" s="215">
        <v>43189</v>
      </c>
      <c r="Q72" s="214">
        <v>0</v>
      </c>
      <c r="R72" s="214">
        <v>0</v>
      </c>
      <c r="S72" s="214"/>
      <c r="T72" s="214">
        <v>61.2</v>
      </c>
      <c r="U72" s="216">
        <v>50</v>
      </c>
      <c r="V72" s="217">
        <f t="shared" ref="V72:V83" si="14">U72*T72/1000</f>
        <v>3.06</v>
      </c>
      <c r="W72" s="216"/>
      <c r="X72" s="217"/>
      <c r="Y72" s="216">
        <v>50</v>
      </c>
      <c r="Z72" s="217"/>
      <c r="AA72" s="218">
        <v>104</v>
      </c>
      <c r="AB72" s="218"/>
      <c r="AC72" s="216">
        <f t="shared" si="10"/>
        <v>520</v>
      </c>
      <c r="AD72" s="216"/>
      <c r="AE72" s="216"/>
      <c r="AF72" s="221"/>
      <c r="AG72" s="155">
        <v>43692</v>
      </c>
      <c r="AH72" s="221"/>
      <c r="AI72" s="221"/>
      <c r="AJ72" s="262">
        <v>1</v>
      </c>
      <c r="AK72" s="218"/>
      <c r="AL72" s="219"/>
    </row>
    <row r="73" spans="1:38" ht="17" x14ac:dyDescent="0.2">
      <c r="A73" s="114" t="s">
        <v>227</v>
      </c>
      <c r="B73" s="19">
        <v>42876</v>
      </c>
      <c r="C73" s="20" t="s">
        <v>91</v>
      </c>
      <c r="D73" s="20" t="s">
        <v>92</v>
      </c>
      <c r="E73" s="20" t="s">
        <v>93</v>
      </c>
      <c r="F73" s="22" t="s">
        <v>270</v>
      </c>
      <c r="G73" s="20"/>
      <c r="H73" s="22"/>
      <c r="I73" s="22"/>
      <c r="J73" s="21"/>
      <c r="K73" s="22">
        <v>521</v>
      </c>
      <c r="L73" s="22">
        <v>1</v>
      </c>
      <c r="M73" s="21">
        <v>70</v>
      </c>
      <c r="N73" s="140">
        <v>43666</v>
      </c>
      <c r="O73" s="21">
        <v>2</v>
      </c>
      <c r="P73" s="67">
        <v>43670</v>
      </c>
      <c r="Q73" s="21">
        <v>1</v>
      </c>
      <c r="R73" s="21">
        <f>1000-500-250</f>
        <v>250</v>
      </c>
      <c r="S73" s="21">
        <f>100-1-50</f>
        <v>49</v>
      </c>
      <c r="T73" s="49">
        <v>54.4</v>
      </c>
      <c r="U73" s="89">
        <v>50</v>
      </c>
      <c r="V73" s="73">
        <f t="shared" si="14"/>
        <v>2.72</v>
      </c>
      <c r="W73" s="89">
        <v>1</v>
      </c>
      <c r="X73" s="155">
        <v>43677</v>
      </c>
      <c r="Y73" s="89">
        <v>50</v>
      </c>
      <c r="Z73" s="155">
        <v>43677</v>
      </c>
      <c r="AA73" s="81">
        <v>66.599999999999994</v>
      </c>
      <c r="AB73" s="81"/>
      <c r="AC73" s="89">
        <f t="shared" si="10"/>
        <v>333</v>
      </c>
      <c r="AD73" s="89"/>
      <c r="AE73" s="89"/>
      <c r="AF73" s="155"/>
      <c r="AG73" s="155"/>
      <c r="AH73" s="155"/>
      <c r="AI73" s="155"/>
      <c r="AJ73" s="258">
        <v>1</v>
      </c>
      <c r="AK73" s="81"/>
      <c r="AL73" s="23"/>
    </row>
    <row r="74" spans="1:38" ht="17" hidden="1" x14ac:dyDescent="0.2">
      <c r="A74" s="114"/>
      <c r="B74" s="19">
        <v>42876</v>
      </c>
      <c r="C74" s="20" t="s">
        <v>91</v>
      </c>
      <c r="D74" s="20" t="s">
        <v>92</v>
      </c>
      <c r="E74" s="20" t="s">
        <v>93</v>
      </c>
      <c r="F74" s="22" t="s">
        <v>270</v>
      </c>
      <c r="G74" s="20"/>
      <c r="H74" s="22"/>
      <c r="I74" s="22"/>
      <c r="J74" s="21"/>
      <c r="K74" s="22" t="s">
        <v>265</v>
      </c>
      <c r="L74" s="22">
        <v>1</v>
      </c>
      <c r="M74" s="21">
        <v>70</v>
      </c>
      <c r="N74" s="140">
        <v>43666</v>
      </c>
      <c r="O74" s="21">
        <v>2</v>
      </c>
      <c r="P74" s="34">
        <v>43675</v>
      </c>
      <c r="Q74" s="21">
        <v>7</v>
      </c>
      <c r="R74" s="21">
        <f>1000-500-250</f>
        <v>250</v>
      </c>
      <c r="S74" s="21">
        <f>60-1</f>
        <v>59</v>
      </c>
      <c r="T74" s="49">
        <v>45</v>
      </c>
      <c r="U74" s="89">
        <v>50</v>
      </c>
      <c r="V74" s="73">
        <f t="shared" si="14"/>
        <v>2.25</v>
      </c>
      <c r="W74" s="89"/>
      <c r="X74" s="73"/>
      <c r="Y74" s="89">
        <v>50</v>
      </c>
      <c r="Z74" s="73"/>
      <c r="AA74" s="81"/>
      <c r="AB74" s="81"/>
      <c r="AC74" s="89">
        <f t="shared" si="10"/>
        <v>0</v>
      </c>
      <c r="AD74" s="89"/>
      <c r="AE74" s="89"/>
      <c r="AF74" s="155"/>
      <c r="AG74" s="155"/>
      <c r="AH74" s="155"/>
      <c r="AI74" s="155"/>
      <c r="AJ74" s="258"/>
      <c r="AK74" s="81"/>
      <c r="AL74" s="23"/>
    </row>
    <row r="75" spans="1:38" ht="17" x14ac:dyDescent="0.2">
      <c r="A75" s="114" t="s">
        <v>227</v>
      </c>
      <c r="B75" s="19">
        <v>42877</v>
      </c>
      <c r="C75" s="20" t="s">
        <v>91</v>
      </c>
      <c r="D75" s="20" t="s">
        <v>92</v>
      </c>
      <c r="E75" s="20" t="s">
        <v>93</v>
      </c>
      <c r="F75" s="22" t="s">
        <v>123</v>
      </c>
      <c r="G75" s="20"/>
      <c r="H75" s="22"/>
      <c r="I75" s="22"/>
      <c r="J75" s="21"/>
      <c r="K75" s="22">
        <v>522</v>
      </c>
      <c r="L75" s="22">
        <v>1</v>
      </c>
      <c r="M75" s="21">
        <v>20</v>
      </c>
      <c r="N75" s="140">
        <v>43668</v>
      </c>
      <c r="O75" s="21">
        <v>5</v>
      </c>
      <c r="P75" s="34">
        <v>43672</v>
      </c>
      <c r="Q75" s="21">
        <v>3</v>
      </c>
      <c r="R75" s="21">
        <f>1000-500-250</f>
        <v>250</v>
      </c>
      <c r="S75" s="116">
        <f t="shared" ref="S75:S83" si="15">75-1-50</f>
        <v>24</v>
      </c>
      <c r="T75" s="49">
        <v>60.8</v>
      </c>
      <c r="U75" s="89">
        <v>50</v>
      </c>
      <c r="V75" s="73">
        <f t="shared" si="14"/>
        <v>3.04</v>
      </c>
      <c r="W75" s="89">
        <v>1</v>
      </c>
      <c r="X75" s="155">
        <v>43677</v>
      </c>
      <c r="Y75" s="89">
        <v>50</v>
      </c>
      <c r="Z75" s="155">
        <v>43677</v>
      </c>
      <c r="AA75" s="81">
        <v>32.200000000000003</v>
      </c>
      <c r="AB75" s="81"/>
      <c r="AC75" s="89">
        <f t="shared" si="10"/>
        <v>161</v>
      </c>
      <c r="AD75" s="89"/>
      <c r="AE75" s="89"/>
      <c r="AF75" s="155"/>
      <c r="AG75" s="155"/>
      <c r="AH75" s="155"/>
      <c r="AI75" s="155"/>
      <c r="AJ75" s="258">
        <v>1</v>
      </c>
      <c r="AK75" s="81"/>
      <c r="AL75" s="23"/>
    </row>
    <row r="76" spans="1:38" ht="17" hidden="1" x14ac:dyDescent="0.2">
      <c r="A76" s="114"/>
      <c r="B76" s="19">
        <v>42877</v>
      </c>
      <c r="C76" s="20" t="s">
        <v>91</v>
      </c>
      <c r="D76" s="20" t="s">
        <v>92</v>
      </c>
      <c r="E76" s="20" t="s">
        <v>93</v>
      </c>
      <c r="F76" s="22" t="s">
        <v>123</v>
      </c>
      <c r="G76" s="20"/>
      <c r="H76" s="22"/>
      <c r="I76" s="22"/>
      <c r="J76" s="21"/>
      <c r="K76" s="22" t="s">
        <v>266</v>
      </c>
      <c r="L76" s="22">
        <v>1</v>
      </c>
      <c r="M76" s="21">
        <v>20</v>
      </c>
      <c r="N76" s="140">
        <v>43668</v>
      </c>
      <c r="O76" s="21">
        <v>5</v>
      </c>
      <c r="P76" s="34">
        <v>43675</v>
      </c>
      <c r="Q76" s="21">
        <v>7</v>
      </c>
      <c r="R76" s="21">
        <f>1000-500-250</f>
        <v>250</v>
      </c>
      <c r="S76" s="116">
        <f t="shared" si="15"/>
        <v>24</v>
      </c>
      <c r="T76" s="49">
        <v>48.8</v>
      </c>
      <c r="U76" s="89">
        <v>50</v>
      </c>
      <c r="V76" s="73">
        <f t="shared" si="14"/>
        <v>2.44</v>
      </c>
      <c r="W76" s="89"/>
      <c r="X76" s="73"/>
      <c r="Y76" s="89">
        <v>50</v>
      </c>
      <c r="Z76" s="73"/>
      <c r="AA76" s="81"/>
      <c r="AB76" s="81"/>
      <c r="AC76" s="89">
        <f t="shared" si="10"/>
        <v>0</v>
      </c>
      <c r="AD76" s="89"/>
      <c r="AE76" s="89"/>
      <c r="AF76" s="155"/>
      <c r="AG76" s="155"/>
      <c r="AH76" s="155"/>
      <c r="AI76" s="155"/>
      <c r="AJ76" s="258"/>
      <c r="AK76" s="81"/>
      <c r="AL76" s="23"/>
    </row>
    <row r="77" spans="1:38" ht="17" x14ac:dyDescent="0.2">
      <c r="A77" s="114" t="s">
        <v>227</v>
      </c>
      <c r="B77" s="19">
        <v>42882</v>
      </c>
      <c r="C77" s="20" t="s">
        <v>94</v>
      </c>
      <c r="D77" s="20" t="s">
        <v>92</v>
      </c>
      <c r="E77" s="20" t="s">
        <v>93</v>
      </c>
      <c r="F77" s="22" t="s">
        <v>141</v>
      </c>
      <c r="G77" s="20"/>
      <c r="H77" s="22"/>
      <c r="I77" s="22"/>
      <c r="J77" s="21"/>
      <c r="K77" s="22">
        <v>523</v>
      </c>
      <c r="L77" s="22">
        <v>1</v>
      </c>
      <c r="M77" s="21">
        <v>30</v>
      </c>
      <c r="N77" s="140">
        <v>43668</v>
      </c>
      <c r="O77" s="21">
        <v>6</v>
      </c>
      <c r="P77" s="34">
        <v>43672</v>
      </c>
      <c r="Q77" s="21">
        <v>4</v>
      </c>
      <c r="R77" s="21">
        <f t="shared" ref="R77:R81" si="16">1000-500</f>
        <v>500</v>
      </c>
      <c r="S77" s="116">
        <f t="shared" si="15"/>
        <v>24</v>
      </c>
      <c r="T77" s="49">
        <v>60.6</v>
      </c>
      <c r="U77" s="89">
        <v>50</v>
      </c>
      <c r="V77" s="73">
        <f t="shared" si="14"/>
        <v>3.03</v>
      </c>
      <c r="W77" s="89">
        <v>3</v>
      </c>
      <c r="X77" s="155">
        <v>43682</v>
      </c>
      <c r="Y77" s="89">
        <v>50</v>
      </c>
      <c r="Z77" s="185">
        <v>43683</v>
      </c>
      <c r="AA77" s="81">
        <v>71.400000000000006</v>
      </c>
      <c r="AB77" s="81"/>
      <c r="AC77" s="89">
        <f t="shared" si="10"/>
        <v>357</v>
      </c>
      <c r="AD77" s="89"/>
      <c r="AE77" s="89"/>
      <c r="AF77" s="256">
        <v>43692</v>
      </c>
      <c r="AG77" s="155">
        <v>43692</v>
      </c>
      <c r="AH77" s="155"/>
      <c r="AI77" s="155"/>
      <c r="AJ77" s="263">
        <v>3</v>
      </c>
      <c r="AK77" s="81"/>
      <c r="AL77" s="23"/>
    </row>
    <row r="78" spans="1:38" ht="17" x14ac:dyDescent="0.2">
      <c r="A78" s="114" t="s">
        <v>227</v>
      </c>
      <c r="B78" s="19">
        <v>42882</v>
      </c>
      <c r="C78" s="20" t="s">
        <v>94</v>
      </c>
      <c r="D78" s="20" t="s">
        <v>92</v>
      </c>
      <c r="E78" s="20" t="s">
        <v>93</v>
      </c>
      <c r="F78" s="22" t="s">
        <v>144</v>
      </c>
      <c r="G78" s="20"/>
      <c r="H78" s="22"/>
      <c r="I78" s="22"/>
      <c r="J78" s="21"/>
      <c r="K78" s="22">
        <v>524</v>
      </c>
      <c r="L78" s="22">
        <v>1</v>
      </c>
      <c r="M78" s="21">
        <v>80</v>
      </c>
      <c r="N78" s="140">
        <v>43668</v>
      </c>
      <c r="O78" s="21">
        <v>7</v>
      </c>
      <c r="P78" s="34">
        <v>43672</v>
      </c>
      <c r="Q78" s="21">
        <v>4</v>
      </c>
      <c r="R78" s="21">
        <f t="shared" si="16"/>
        <v>500</v>
      </c>
      <c r="S78" s="116">
        <f t="shared" si="15"/>
        <v>24</v>
      </c>
      <c r="T78" s="49">
        <v>80.8</v>
      </c>
      <c r="U78" s="89">
        <v>50</v>
      </c>
      <c r="V78" s="73">
        <f t="shared" si="14"/>
        <v>4.04</v>
      </c>
      <c r="W78" s="89">
        <v>3</v>
      </c>
      <c r="X78" s="155">
        <v>43682</v>
      </c>
      <c r="Y78" s="89">
        <v>50</v>
      </c>
      <c r="Z78" s="185">
        <v>43683</v>
      </c>
      <c r="AA78" s="81">
        <v>63</v>
      </c>
      <c r="AB78" s="81"/>
      <c r="AC78" s="89">
        <f t="shared" si="10"/>
        <v>315</v>
      </c>
      <c r="AD78" s="89"/>
      <c r="AE78" s="89"/>
      <c r="AF78" s="155"/>
      <c r="AG78" s="155">
        <v>43692</v>
      </c>
      <c r="AH78" s="155"/>
      <c r="AI78" s="155"/>
      <c r="AJ78" s="258">
        <v>2</v>
      </c>
      <c r="AK78" s="81"/>
      <c r="AL78" s="23"/>
    </row>
    <row r="79" spans="1:38" ht="17" x14ac:dyDescent="0.2">
      <c r="A79" s="114" t="s">
        <v>227</v>
      </c>
      <c r="B79" s="19">
        <v>42884</v>
      </c>
      <c r="C79" s="20" t="s">
        <v>94</v>
      </c>
      <c r="D79" s="20" t="s">
        <v>92</v>
      </c>
      <c r="E79" s="20" t="s">
        <v>93</v>
      </c>
      <c r="F79" s="22" t="s">
        <v>146</v>
      </c>
      <c r="G79" s="20"/>
      <c r="H79" s="22"/>
      <c r="I79" s="22"/>
      <c r="J79" s="21"/>
      <c r="K79" s="22">
        <v>525</v>
      </c>
      <c r="L79" s="22">
        <v>1</v>
      </c>
      <c r="M79" s="21">
        <v>30</v>
      </c>
      <c r="N79" s="140">
        <v>43669</v>
      </c>
      <c r="O79" s="21">
        <v>8</v>
      </c>
      <c r="P79" s="34">
        <v>43672</v>
      </c>
      <c r="Q79" s="21">
        <v>5</v>
      </c>
      <c r="R79" s="21">
        <f t="shared" si="16"/>
        <v>500</v>
      </c>
      <c r="S79" s="116">
        <f t="shared" si="15"/>
        <v>24</v>
      </c>
      <c r="T79" s="49">
        <v>128</v>
      </c>
      <c r="U79" s="89">
        <v>50</v>
      </c>
      <c r="V79" s="73">
        <f t="shared" si="14"/>
        <v>6.4</v>
      </c>
      <c r="W79" s="89">
        <v>3</v>
      </c>
      <c r="X79" s="155">
        <v>43682</v>
      </c>
      <c r="Y79" s="89">
        <v>50</v>
      </c>
      <c r="Z79" s="185">
        <v>43683</v>
      </c>
      <c r="AA79" s="81">
        <v>140</v>
      </c>
      <c r="AB79" s="81"/>
      <c r="AC79" s="89">
        <f t="shared" si="10"/>
        <v>700</v>
      </c>
      <c r="AD79" s="89"/>
      <c r="AE79" s="89"/>
      <c r="AF79" s="155"/>
      <c r="AG79" s="155">
        <v>43692</v>
      </c>
      <c r="AH79" s="155"/>
      <c r="AI79" s="155"/>
      <c r="AJ79" s="258">
        <v>2</v>
      </c>
      <c r="AK79" s="81"/>
      <c r="AL79" s="23"/>
    </row>
    <row r="80" spans="1:38" ht="17" x14ac:dyDescent="0.2">
      <c r="A80" s="114" t="s">
        <v>227</v>
      </c>
      <c r="B80" s="19">
        <v>42886</v>
      </c>
      <c r="C80" s="20" t="s">
        <v>91</v>
      </c>
      <c r="D80" s="20" t="s">
        <v>92</v>
      </c>
      <c r="E80" s="20" t="s">
        <v>93</v>
      </c>
      <c r="F80" s="22" t="s">
        <v>149</v>
      </c>
      <c r="G80" s="20"/>
      <c r="H80" s="22"/>
      <c r="I80" s="22"/>
      <c r="J80" s="21"/>
      <c r="K80" s="22">
        <v>526</v>
      </c>
      <c r="L80" s="22">
        <v>1</v>
      </c>
      <c r="M80" s="21">
        <v>30</v>
      </c>
      <c r="N80" s="140">
        <v>43669</v>
      </c>
      <c r="O80" s="21">
        <v>9</v>
      </c>
      <c r="P80" s="34">
        <v>43673</v>
      </c>
      <c r="Q80" s="21">
        <v>6</v>
      </c>
      <c r="R80" s="21">
        <f t="shared" si="16"/>
        <v>500</v>
      </c>
      <c r="S80" s="116">
        <f t="shared" si="15"/>
        <v>24</v>
      </c>
      <c r="T80" s="49">
        <v>65.2</v>
      </c>
      <c r="U80" s="89">
        <v>50</v>
      </c>
      <c r="V80" s="73">
        <f t="shared" si="14"/>
        <v>3.26</v>
      </c>
      <c r="W80" s="89">
        <v>3</v>
      </c>
      <c r="X80" s="155">
        <v>43682</v>
      </c>
      <c r="Y80" s="89">
        <v>50</v>
      </c>
      <c r="Z80" s="185">
        <v>43683</v>
      </c>
      <c r="AA80" s="81">
        <v>138</v>
      </c>
      <c r="AB80" s="81"/>
      <c r="AC80" s="89">
        <f t="shared" si="10"/>
        <v>690</v>
      </c>
      <c r="AD80" s="89"/>
      <c r="AE80" s="89"/>
      <c r="AF80" s="155"/>
      <c r="AG80" s="155">
        <v>43692</v>
      </c>
      <c r="AH80" s="155"/>
      <c r="AI80" s="155"/>
      <c r="AJ80" s="258">
        <v>2</v>
      </c>
      <c r="AK80" s="81"/>
      <c r="AL80" s="23"/>
    </row>
    <row r="81" spans="1:38" ht="17" x14ac:dyDescent="0.2">
      <c r="A81" s="114" t="s">
        <v>227</v>
      </c>
      <c r="B81" s="19">
        <v>42900</v>
      </c>
      <c r="C81" s="20" t="s">
        <v>94</v>
      </c>
      <c r="D81" s="20" t="s">
        <v>92</v>
      </c>
      <c r="E81" s="20" t="s">
        <v>93</v>
      </c>
      <c r="F81" s="22" t="s">
        <v>177</v>
      </c>
      <c r="G81" s="20"/>
      <c r="H81" s="22"/>
      <c r="I81" s="22"/>
      <c r="J81" s="21"/>
      <c r="K81" s="22">
        <v>527</v>
      </c>
      <c r="L81" s="22">
        <v>1</v>
      </c>
      <c r="M81" s="21">
        <v>90</v>
      </c>
      <c r="N81" s="140">
        <v>43668</v>
      </c>
      <c r="O81" s="21">
        <v>6</v>
      </c>
      <c r="P81" s="34">
        <v>43673</v>
      </c>
      <c r="Q81" s="21">
        <v>6</v>
      </c>
      <c r="R81" s="21">
        <f t="shared" si="16"/>
        <v>500</v>
      </c>
      <c r="S81" s="116">
        <f t="shared" si="15"/>
        <v>24</v>
      </c>
      <c r="T81" s="49">
        <v>81.400000000000006</v>
      </c>
      <c r="U81" s="89">
        <v>50</v>
      </c>
      <c r="V81" s="73">
        <f t="shared" si="14"/>
        <v>4.07</v>
      </c>
      <c r="W81" s="89">
        <v>4</v>
      </c>
      <c r="X81" s="155">
        <v>43682</v>
      </c>
      <c r="Y81" s="89">
        <v>50</v>
      </c>
      <c r="Z81" s="155"/>
      <c r="AA81" s="81">
        <v>124</v>
      </c>
      <c r="AB81" s="81"/>
      <c r="AC81" s="89">
        <f t="shared" si="10"/>
        <v>620</v>
      </c>
      <c r="AD81" s="89"/>
      <c r="AE81" s="89"/>
      <c r="AF81" s="256">
        <v>43692</v>
      </c>
      <c r="AG81" s="155">
        <v>43692</v>
      </c>
      <c r="AH81" s="155"/>
      <c r="AI81" s="155"/>
      <c r="AJ81" s="263">
        <v>2</v>
      </c>
      <c r="AK81" s="81"/>
      <c r="AL81" s="23"/>
    </row>
    <row r="82" spans="1:38" ht="17" x14ac:dyDescent="0.2">
      <c r="A82" s="114" t="s">
        <v>227</v>
      </c>
      <c r="B82" s="19">
        <v>42901</v>
      </c>
      <c r="C82" s="20" t="s">
        <v>94</v>
      </c>
      <c r="D82" s="20" t="s">
        <v>92</v>
      </c>
      <c r="E82" s="20" t="s">
        <v>93</v>
      </c>
      <c r="F82" s="22" t="s">
        <v>184</v>
      </c>
      <c r="G82" s="20"/>
      <c r="H82" s="22"/>
      <c r="I82" s="22"/>
      <c r="J82" s="21"/>
      <c r="K82" s="22">
        <v>528</v>
      </c>
      <c r="L82" s="22">
        <v>1</v>
      </c>
      <c r="M82" s="21">
        <v>30</v>
      </c>
      <c r="N82" s="140">
        <v>43669</v>
      </c>
      <c r="O82" s="21">
        <v>8</v>
      </c>
      <c r="P82" s="34">
        <v>43672</v>
      </c>
      <c r="Q82" s="21">
        <v>5</v>
      </c>
      <c r="R82" s="21">
        <f>1000-500</f>
        <v>500</v>
      </c>
      <c r="S82" s="116">
        <f t="shared" si="15"/>
        <v>24</v>
      </c>
      <c r="T82" s="49">
        <v>162</v>
      </c>
      <c r="U82" s="89">
        <v>50</v>
      </c>
      <c r="V82" s="73">
        <f t="shared" si="14"/>
        <v>8.1</v>
      </c>
      <c r="W82" s="89">
        <v>1</v>
      </c>
      <c r="X82" s="155">
        <v>43677</v>
      </c>
      <c r="Y82" s="89">
        <v>50</v>
      </c>
      <c r="Z82" s="155">
        <v>43677</v>
      </c>
      <c r="AA82" s="81">
        <v>87.6</v>
      </c>
      <c r="AB82" s="81"/>
      <c r="AC82" s="89">
        <f t="shared" si="10"/>
        <v>438</v>
      </c>
      <c r="AD82" s="89"/>
      <c r="AE82" s="89"/>
      <c r="AF82" s="256">
        <v>43692</v>
      </c>
      <c r="AG82" s="256"/>
      <c r="AH82" s="256"/>
      <c r="AI82" s="256"/>
      <c r="AJ82" s="263">
        <v>2</v>
      </c>
      <c r="AK82" s="81"/>
      <c r="AL82" s="23"/>
    </row>
    <row r="83" spans="1:38" ht="18" thickBot="1" x14ac:dyDescent="0.25">
      <c r="A83" s="114" t="s">
        <v>227</v>
      </c>
      <c r="B83" s="24">
        <v>42903</v>
      </c>
      <c r="C83" s="25" t="s">
        <v>120</v>
      </c>
      <c r="D83" s="25" t="s">
        <v>92</v>
      </c>
      <c r="E83" s="25" t="s">
        <v>93</v>
      </c>
      <c r="F83" s="27" t="s">
        <v>186</v>
      </c>
      <c r="G83" s="25"/>
      <c r="H83" s="27"/>
      <c r="I83" s="27"/>
      <c r="J83" s="26"/>
      <c r="K83" s="27">
        <v>529</v>
      </c>
      <c r="L83" s="27">
        <v>1</v>
      </c>
      <c r="M83" s="26">
        <v>70</v>
      </c>
      <c r="N83" s="141">
        <v>43669</v>
      </c>
      <c r="O83" s="26">
        <v>9</v>
      </c>
      <c r="P83" s="37">
        <v>43672</v>
      </c>
      <c r="Q83" s="26">
        <v>5</v>
      </c>
      <c r="R83" s="26">
        <f>1000-500</f>
        <v>500</v>
      </c>
      <c r="S83" s="116">
        <f t="shared" si="15"/>
        <v>24</v>
      </c>
      <c r="T83" s="50">
        <v>73.400000000000006</v>
      </c>
      <c r="U83" s="90">
        <v>50</v>
      </c>
      <c r="V83" s="74">
        <f t="shared" si="14"/>
        <v>3.6700000000000004</v>
      </c>
      <c r="W83" s="90">
        <v>4</v>
      </c>
      <c r="X83" s="187">
        <v>43682</v>
      </c>
      <c r="Y83" s="90">
        <v>50</v>
      </c>
      <c r="Z83" s="187"/>
      <c r="AA83" s="82">
        <v>56.8</v>
      </c>
      <c r="AB83" s="156"/>
      <c r="AC83" s="89">
        <f t="shared" si="10"/>
        <v>284</v>
      </c>
      <c r="AD83" s="110"/>
      <c r="AE83" s="110"/>
      <c r="AF83" s="253"/>
      <c r="AG83" s="155">
        <v>43692</v>
      </c>
      <c r="AH83" s="253"/>
      <c r="AI83" s="253"/>
      <c r="AJ83" s="259">
        <v>2</v>
      </c>
      <c r="AK83" s="156"/>
      <c r="AL83" s="28"/>
    </row>
    <row r="84" spans="1:38" ht="18" thickBot="1" x14ac:dyDescent="0.25">
      <c r="A84" s="114"/>
      <c r="B84" s="29"/>
      <c r="C84" s="30"/>
      <c r="D84" s="30"/>
      <c r="E84" s="30"/>
      <c r="F84" s="32"/>
      <c r="G84" s="30"/>
      <c r="H84" s="32"/>
      <c r="I84" s="32"/>
      <c r="J84" s="31"/>
      <c r="K84" s="32"/>
      <c r="L84" s="32"/>
      <c r="M84" s="31"/>
      <c r="N84" s="142"/>
      <c r="O84" s="31"/>
      <c r="P84" s="31"/>
      <c r="Q84" s="31"/>
      <c r="R84" s="31"/>
      <c r="S84" s="31"/>
      <c r="T84" s="51"/>
      <c r="U84" s="58"/>
      <c r="V84" s="42"/>
      <c r="W84" s="58"/>
      <c r="X84" s="42"/>
      <c r="Y84" s="58"/>
      <c r="Z84" s="42"/>
      <c r="AA84" s="51"/>
      <c r="AB84" s="51"/>
      <c r="AC84" s="58"/>
      <c r="AD84" s="58"/>
      <c r="AE84" s="58"/>
      <c r="AF84" s="174"/>
      <c r="AG84" s="174"/>
      <c r="AH84" s="174"/>
      <c r="AI84" s="174"/>
      <c r="AJ84" s="260"/>
      <c r="AK84" s="51"/>
      <c r="AL84" s="31"/>
    </row>
    <row r="85" spans="1:38" ht="17" x14ac:dyDescent="0.2">
      <c r="A85" s="114" t="s">
        <v>227</v>
      </c>
      <c r="B85" s="14">
        <v>42879</v>
      </c>
      <c r="C85" s="15" t="s">
        <v>107</v>
      </c>
      <c r="D85" s="15" t="s">
        <v>99</v>
      </c>
      <c r="E85" s="15" t="s">
        <v>96</v>
      </c>
      <c r="F85" s="17" t="s">
        <v>133</v>
      </c>
      <c r="G85" s="15"/>
      <c r="H85" s="17"/>
      <c r="I85" s="17"/>
      <c r="J85" s="36">
        <v>43665</v>
      </c>
      <c r="K85" s="17">
        <v>531</v>
      </c>
      <c r="L85" s="17">
        <v>1</v>
      </c>
      <c r="M85" s="16">
        <v>60</v>
      </c>
      <c r="N85" s="143">
        <v>43665</v>
      </c>
      <c r="O85" s="16">
        <v>1</v>
      </c>
      <c r="P85" s="36">
        <v>43670</v>
      </c>
      <c r="Q85" s="16">
        <v>1</v>
      </c>
      <c r="R85" s="16">
        <f>1000-500</f>
        <v>500</v>
      </c>
      <c r="S85" s="16">
        <f>100-1-50</f>
        <v>49</v>
      </c>
      <c r="T85" s="48">
        <v>88.2</v>
      </c>
      <c r="U85" s="88">
        <v>50</v>
      </c>
      <c r="V85" s="72">
        <f t="shared" ref="V85:V100" si="17">U85*T85/1000</f>
        <v>4.41</v>
      </c>
      <c r="W85" s="88">
        <v>1</v>
      </c>
      <c r="X85" s="154">
        <v>43677</v>
      </c>
      <c r="Y85" s="88">
        <v>50</v>
      </c>
      <c r="Z85" s="154">
        <v>43677</v>
      </c>
      <c r="AA85" s="80">
        <v>95.4</v>
      </c>
      <c r="AB85" s="177">
        <f>4900/1000*6</f>
        <v>29.400000000000002</v>
      </c>
      <c r="AC85" s="89">
        <f t="shared" ref="AC85:AC102" si="18">AA85*5</f>
        <v>477</v>
      </c>
      <c r="AD85" s="70">
        <f>500/AA85</f>
        <v>5.2410901467505235</v>
      </c>
      <c r="AE85" s="270">
        <v>0</v>
      </c>
      <c r="AF85" s="176"/>
      <c r="AG85" s="176"/>
      <c r="AH85" s="176">
        <v>43697</v>
      </c>
      <c r="AI85" s="155">
        <v>43698</v>
      </c>
      <c r="AJ85" s="261"/>
      <c r="AK85" s="177"/>
      <c r="AL85" s="18"/>
    </row>
    <row r="86" spans="1:38" ht="17" x14ac:dyDescent="0.2">
      <c r="A86" s="114" t="s">
        <v>227</v>
      </c>
      <c r="B86" s="19">
        <v>42889</v>
      </c>
      <c r="C86" s="20" t="s">
        <v>107</v>
      </c>
      <c r="D86" s="20" t="s">
        <v>99</v>
      </c>
      <c r="E86" s="20" t="s">
        <v>96</v>
      </c>
      <c r="F86" s="22" t="s">
        <v>158</v>
      </c>
      <c r="G86" s="20"/>
      <c r="H86" s="22"/>
      <c r="I86" s="22"/>
      <c r="J86" s="21"/>
      <c r="K86" s="22">
        <v>532</v>
      </c>
      <c r="L86" s="22">
        <v>1</v>
      </c>
      <c r="M86" s="21">
        <v>40</v>
      </c>
      <c r="N86" s="140">
        <v>43666</v>
      </c>
      <c r="O86" s="21">
        <v>3</v>
      </c>
      <c r="P86" s="34">
        <v>43672</v>
      </c>
      <c r="Q86" s="21">
        <v>2</v>
      </c>
      <c r="R86" s="21">
        <f t="shared" ref="R86:R91" si="19">1000-500</f>
        <v>500</v>
      </c>
      <c r="S86" s="116">
        <f t="shared" ref="S86" si="20">75-1-50</f>
        <v>24</v>
      </c>
      <c r="T86" s="49">
        <v>158</v>
      </c>
      <c r="U86" s="89">
        <v>50</v>
      </c>
      <c r="V86" s="73">
        <f t="shared" si="17"/>
        <v>7.9</v>
      </c>
      <c r="W86" s="89">
        <v>3</v>
      </c>
      <c r="X86" s="155">
        <v>43682</v>
      </c>
      <c r="Y86" s="89">
        <v>50</v>
      </c>
      <c r="Z86" s="185">
        <v>43683</v>
      </c>
      <c r="AA86" s="81">
        <v>93.6</v>
      </c>
      <c r="AB86" s="81"/>
      <c r="AC86" s="89">
        <f t="shared" si="18"/>
        <v>468</v>
      </c>
      <c r="AD86" s="89"/>
      <c r="AE86" s="89"/>
      <c r="AF86" s="256">
        <v>43692</v>
      </c>
      <c r="AG86" s="155">
        <v>43692</v>
      </c>
      <c r="AH86" s="155"/>
      <c r="AI86" s="155"/>
      <c r="AJ86" s="263">
        <v>3</v>
      </c>
      <c r="AK86" s="81"/>
      <c r="AL86" s="23"/>
    </row>
    <row r="87" spans="1:38" s="138" customFormat="1" ht="17" x14ac:dyDescent="0.2">
      <c r="A87" s="136" t="s">
        <v>227</v>
      </c>
      <c r="B87" s="68">
        <v>42896</v>
      </c>
      <c r="C87" s="69" t="s">
        <v>107</v>
      </c>
      <c r="D87" s="69" t="s">
        <v>99</v>
      </c>
      <c r="E87" s="69" t="s">
        <v>96</v>
      </c>
      <c r="F87" s="63" t="s">
        <v>172</v>
      </c>
      <c r="G87" s="69"/>
      <c r="H87" s="63"/>
      <c r="I87" s="63"/>
      <c r="J87" s="64"/>
      <c r="K87" s="63">
        <v>533</v>
      </c>
      <c r="L87" s="63">
        <v>1</v>
      </c>
      <c r="M87" s="64" t="s">
        <v>238</v>
      </c>
      <c r="N87" s="144">
        <v>43668</v>
      </c>
      <c r="O87" s="64">
        <v>4</v>
      </c>
      <c r="P87" s="65">
        <v>43672</v>
      </c>
      <c r="Q87" s="64">
        <v>3</v>
      </c>
      <c r="R87" s="64">
        <f>1000-500-250</f>
        <v>250</v>
      </c>
      <c r="S87" s="64">
        <f>75-1-50</f>
        <v>24</v>
      </c>
      <c r="T87" s="66">
        <v>7.4</v>
      </c>
      <c r="U87" s="89">
        <v>50</v>
      </c>
      <c r="V87" s="73">
        <f t="shared" si="17"/>
        <v>0.37</v>
      </c>
      <c r="W87" s="89">
        <v>3</v>
      </c>
      <c r="X87" s="155">
        <v>43682</v>
      </c>
      <c r="Y87" s="89">
        <v>50</v>
      </c>
      <c r="Z87" s="185">
        <v>43683</v>
      </c>
      <c r="AA87" s="81">
        <v>6.52</v>
      </c>
      <c r="AB87" s="81"/>
      <c r="AC87" s="89">
        <f t="shared" si="18"/>
        <v>32.599999999999994</v>
      </c>
      <c r="AD87" s="89"/>
      <c r="AE87" s="89"/>
      <c r="AF87" s="155"/>
      <c r="AG87" s="155">
        <v>43692</v>
      </c>
      <c r="AH87" s="155"/>
      <c r="AI87" s="155"/>
      <c r="AJ87" s="258">
        <v>2</v>
      </c>
      <c r="AK87" s="81"/>
      <c r="AL87" s="137" t="s">
        <v>248</v>
      </c>
    </row>
    <row r="88" spans="1:38" s="138" customFormat="1" ht="17" hidden="1" x14ac:dyDescent="0.2">
      <c r="A88" s="136"/>
      <c r="B88" s="68">
        <v>42896</v>
      </c>
      <c r="C88" s="69" t="s">
        <v>107</v>
      </c>
      <c r="D88" s="69" t="s">
        <v>99</v>
      </c>
      <c r="E88" s="69" t="s">
        <v>96</v>
      </c>
      <c r="F88" s="63" t="s">
        <v>172</v>
      </c>
      <c r="G88" s="69"/>
      <c r="H88" s="63"/>
      <c r="I88" s="63"/>
      <c r="J88" s="64"/>
      <c r="K88" s="63" t="s">
        <v>267</v>
      </c>
      <c r="L88" s="63">
        <v>1</v>
      </c>
      <c r="M88" s="64" t="s">
        <v>238</v>
      </c>
      <c r="N88" s="144">
        <v>43668</v>
      </c>
      <c r="O88" s="64">
        <v>4</v>
      </c>
      <c r="P88" s="65">
        <v>43675</v>
      </c>
      <c r="Q88" s="64">
        <v>7</v>
      </c>
      <c r="R88" s="64">
        <f>1000-500-250</f>
        <v>250</v>
      </c>
      <c r="S88" s="64">
        <f>60-1</f>
        <v>59</v>
      </c>
      <c r="T88" s="66">
        <v>4.4000000000000004</v>
      </c>
      <c r="U88" s="89">
        <v>50</v>
      </c>
      <c r="V88" s="73">
        <f t="shared" si="17"/>
        <v>0.22000000000000003</v>
      </c>
      <c r="W88" s="89"/>
      <c r="X88" s="73"/>
      <c r="Y88" s="89">
        <v>50</v>
      </c>
      <c r="Z88" s="73"/>
      <c r="AA88" s="81"/>
      <c r="AB88" s="81"/>
      <c r="AC88" s="89">
        <f t="shared" si="18"/>
        <v>0</v>
      </c>
      <c r="AD88" s="89"/>
      <c r="AE88" s="89"/>
      <c r="AF88" s="155"/>
      <c r="AG88" s="155"/>
      <c r="AH88" s="155"/>
      <c r="AI88" s="155"/>
      <c r="AJ88" s="258"/>
      <c r="AK88" s="81"/>
      <c r="AL88" s="137"/>
    </row>
    <row r="89" spans="1:38" ht="17" x14ac:dyDescent="0.2">
      <c r="A89" s="114" t="s">
        <v>227</v>
      </c>
      <c r="B89" s="19">
        <v>42878</v>
      </c>
      <c r="C89" s="20" t="s">
        <v>104</v>
      </c>
      <c r="D89" s="20" t="s">
        <v>99</v>
      </c>
      <c r="E89" s="20" t="s">
        <v>101</v>
      </c>
      <c r="F89" s="22" t="s">
        <v>128</v>
      </c>
      <c r="G89" s="20"/>
      <c r="H89" s="22"/>
      <c r="I89" s="22"/>
      <c r="J89" s="34">
        <v>43665</v>
      </c>
      <c r="K89" s="22">
        <v>541</v>
      </c>
      <c r="L89" s="22">
        <v>1</v>
      </c>
      <c r="M89" s="21">
        <v>40</v>
      </c>
      <c r="N89" s="140">
        <v>43656</v>
      </c>
      <c r="O89" s="21">
        <v>1</v>
      </c>
      <c r="P89" s="67">
        <v>43670</v>
      </c>
      <c r="Q89" s="21">
        <v>1</v>
      </c>
      <c r="R89" s="21">
        <f t="shared" si="19"/>
        <v>500</v>
      </c>
      <c r="S89" s="21">
        <f>100-1-50</f>
        <v>49</v>
      </c>
      <c r="T89" s="49">
        <v>45.6</v>
      </c>
      <c r="U89" s="89">
        <v>50</v>
      </c>
      <c r="V89" s="73">
        <f t="shared" si="17"/>
        <v>2.2799999999999998</v>
      </c>
      <c r="W89" s="89">
        <v>1</v>
      </c>
      <c r="X89" s="155">
        <v>43677</v>
      </c>
      <c r="Y89" s="89">
        <v>50</v>
      </c>
      <c r="Z89" s="155">
        <v>43677</v>
      </c>
      <c r="AA89" s="81">
        <v>44.4</v>
      </c>
      <c r="AB89" s="81"/>
      <c r="AC89" s="89">
        <f t="shared" si="18"/>
        <v>222</v>
      </c>
      <c r="AD89" s="89"/>
      <c r="AE89" s="89"/>
      <c r="AF89" s="155"/>
      <c r="AG89" s="155"/>
      <c r="AH89" s="155"/>
      <c r="AI89" s="155"/>
      <c r="AJ89" s="258">
        <v>2</v>
      </c>
      <c r="AK89" s="81"/>
      <c r="AL89" s="23"/>
    </row>
    <row r="90" spans="1:38" ht="17" x14ac:dyDescent="0.2">
      <c r="A90" s="114" t="s">
        <v>227</v>
      </c>
      <c r="B90" s="19">
        <v>42879</v>
      </c>
      <c r="C90" s="20" t="s">
        <v>104</v>
      </c>
      <c r="D90" s="20" t="s">
        <v>99</v>
      </c>
      <c r="E90" s="20" t="s">
        <v>101</v>
      </c>
      <c r="F90" s="22" t="s">
        <v>129</v>
      </c>
      <c r="G90" s="20"/>
      <c r="H90" s="22"/>
      <c r="I90" s="22"/>
      <c r="J90" s="21"/>
      <c r="K90" s="22">
        <v>542</v>
      </c>
      <c r="L90" s="22">
        <v>1</v>
      </c>
      <c r="M90" s="21">
        <v>30</v>
      </c>
      <c r="N90" s="140">
        <v>43666</v>
      </c>
      <c r="O90" s="21">
        <v>3</v>
      </c>
      <c r="P90" s="34">
        <v>43672</v>
      </c>
      <c r="Q90" s="21">
        <v>2</v>
      </c>
      <c r="R90" s="21">
        <f t="shared" si="19"/>
        <v>500</v>
      </c>
      <c r="S90" s="116">
        <f t="shared" ref="S90:S91" si="21">75-1-50</f>
        <v>24</v>
      </c>
      <c r="T90" s="49">
        <v>82</v>
      </c>
      <c r="U90" s="89">
        <v>50</v>
      </c>
      <c r="V90" s="73">
        <f t="shared" si="17"/>
        <v>4.0999999999999996</v>
      </c>
      <c r="W90" s="89">
        <v>1</v>
      </c>
      <c r="X90" s="155">
        <v>43677</v>
      </c>
      <c r="Y90" s="89">
        <v>50</v>
      </c>
      <c r="Z90" s="155">
        <v>43677</v>
      </c>
      <c r="AA90" s="81">
        <v>32.799999999999997</v>
      </c>
      <c r="AB90" s="81"/>
      <c r="AC90" s="89">
        <f t="shared" si="18"/>
        <v>164</v>
      </c>
      <c r="AD90" s="89"/>
      <c r="AE90" s="89"/>
      <c r="AF90" s="155"/>
      <c r="AG90" s="155"/>
      <c r="AH90" s="155"/>
      <c r="AI90" s="155"/>
      <c r="AJ90" s="258">
        <v>2</v>
      </c>
      <c r="AK90" s="81"/>
      <c r="AL90" s="23"/>
    </row>
    <row r="91" spans="1:38" ht="17" x14ac:dyDescent="0.2">
      <c r="A91" s="114" t="s">
        <v>227</v>
      </c>
      <c r="B91" s="19">
        <v>42890</v>
      </c>
      <c r="C91" s="20" t="s">
        <v>104</v>
      </c>
      <c r="D91" s="20" t="s">
        <v>99</v>
      </c>
      <c r="E91" s="20" t="s">
        <v>101</v>
      </c>
      <c r="F91" s="22" t="s">
        <v>159</v>
      </c>
      <c r="G91" s="20"/>
      <c r="H91" s="22"/>
      <c r="I91" s="22"/>
      <c r="J91" s="21"/>
      <c r="K91" s="22">
        <v>543</v>
      </c>
      <c r="L91" s="22">
        <v>1</v>
      </c>
      <c r="M91" s="21">
        <v>80</v>
      </c>
      <c r="N91" s="140">
        <v>43668</v>
      </c>
      <c r="O91" s="21">
        <v>7</v>
      </c>
      <c r="P91" s="34">
        <v>43673</v>
      </c>
      <c r="Q91" s="21">
        <v>6</v>
      </c>
      <c r="R91" s="21">
        <f t="shared" si="19"/>
        <v>500</v>
      </c>
      <c r="S91" s="116">
        <f t="shared" si="21"/>
        <v>24</v>
      </c>
      <c r="T91" s="49">
        <v>61.4</v>
      </c>
      <c r="U91" s="89">
        <v>50</v>
      </c>
      <c r="V91" s="73">
        <f t="shared" si="17"/>
        <v>3.07</v>
      </c>
      <c r="W91" s="89">
        <v>3</v>
      </c>
      <c r="X91" s="155">
        <v>43682</v>
      </c>
      <c r="Y91" s="89">
        <v>50</v>
      </c>
      <c r="Z91" s="185">
        <v>43683</v>
      </c>
      <c r="AA91" s="81">
        <v>162</v>
      </c>
      <c r="AB91" s="81"/>
      <c r="AC91" s="89">
        <f t="shared" si="18"/>
        <v>810</v>
      </c>
      <c r="AD91" s="89"/>
      <c r="AE91" s="89"/>
      <c r="AF91" s="256">
        <v>43692</v>
      </c>
      <c r="AG91" s="155">
        <v>43692</v>
      </c>
      <c r="AH91" s="155"/>
      <c r="AI91" s="155"/>
      <c r="AJ91" s="263"/>
      <c r="AK91" s="81"/>
      <c r="AL91" s="23"/>
    </row>
    <row r="92" spans="1:38" ht="17" x14ac:dyDescent="0.2">
      <c r="A92" s="114" t="s">
        <v>227</v>
      </c>
      <c r="B92" s="19">
        <v>42887</v>
      </c>
      <c r="C92" s="20" t="s">
        <v>115</v>
      </c>
      <c r="D92" s="20" t="s">
        <v>99</v>
      </c>
      <c r="E92" s="20" t="s">
        <v>103</v>
      </c>
      <c r="F92" s="22" t="s">
        <v>151</v>
      </c>
      <c r="G92" s="20"/>
      <c r="H92" s="22"/>
      <c r="I92" s="22"/>
      <c r="J92" s="21"/>
      <c r="K92" s="22">
        <v>551</v>
      </c>
      <c r="L92" s="22">
        <v>1</v>
      </c>
      <c r="M92" s="21">
        <v>30</v>
      </c>
      <c r="N92" s="140">
        <v>43666</v>
      </c>
      <c r="O92" s="21">
        <v>2</v>
      </c>
      <c r="P92" s="67">
        <v>43670</v>
      </c>
      <c r="Q92" s="21">
        <v>1</v>
      </c>
      <c r="R92" s="21">
        <f t="shared" ref="R92:R100" si="22">1000-500</f>
        <v>500</v>
      </c>
      <c r="S92" s="21">
        <f>100-1-50</f>
        <v>49</v>
      </c>
      <c r="T92" s="49">
        <v>86</v>
      </c>
      <c r="U92" s="89">
        <v>50</v>
      </c>
      <c r="V92" s="73">
        <f t="shared" si="17"/>
        <v>4.3</v>
      </c>
      <c r="W92" s="89">
        <v>3</v>
      </c>
      <c r="X92" s="155">
        <v>43682</v>
      </c>
      <c r="Y92" s="89">
        <v>50</v>
      </c>
      <c r="Z92" s="185">
        <v>43683</v>
      </c>
      <c r="AA92" s="81">
        <v>96.4</v>
      </c>
      <c r="AB92" s="81"/>
      <c r="AC92" s="89">
        <f t="shared" si="18"/>
        <v>482</v>
      </c>
      <c r="AD92" s="89"/>
      <c r="AE92" s="89"/>
      <c r="AF92" s="155"/>
      <c r="AG92" s="155">
        <v>43692</v>
      </c>
      <c r="AH92" s="155"/>
      <c r="AI92" s="155"/>
      <c r="AJ92" s="258"/>
      <c r="AK92" s="81"/>
      <c r="AL92" s="23"/>
    </row>
    <row r="93" spans="1:38" ht="17" hidden="1" x14ac:dyDescent="0.2">
      <c r="A93" s="114" t="s">
        <v>227</v>
      </c>
      <c r="B93" s="19">
        <v>42889</v>
      </c>
      <c r="C93" s="20" t="s">
        <v>115</v>
      </c>
      <c r="D93" s="20" t="s">
        <v>99</v>
      </c>
      <c r="E93" s="20" t="s">
        <v>103</v>
      </c>
      <c r="F93" s="22" t="s">
        <v>157</v>
      </c>
      <c r="G93" s="20"/>
      <c r="H93" s="22"/>
      <c r="I93" s="22"/>
      <c r="J93" s="21"/>
      <c r="K93" s="22">
        <v>552</v>
      </c>
      <c r="L93" s="22">
        <v>1</v>
      </c>
      <c r="M93" s="21">
        <v>80</v>
      </c>
      <c r="N93" s="140">
        <v>43668</v>
      </c>
      <c r="O93" s="21">
        <v>5</v>
      </c>
      <c r="P93" s="34">
        <v>43672</v>
      </c>
      <c r="Q93" s="21">
        <v>3</v>
      </c>
      <c r="R93" s="21">
        <f>1000-500-250</f>
        <v>250</v>
      </c>
      <c r="S93" s="21">
        <f>75-1</f>
        <v>74</v>
      </c>
      <c r="T93" s="49">
        <v>17.5</v>
      </c>
      <c r="U93" s="89">
        <v>50</v>
      </c>
      <c r="V93" s="73">
        <f t="shared" si="17"/>
        <v>0.875</v>
      </c>
      <c r="W93" s="89"/>
      <c r="X93" s="73"/>
      <c r="Y93" s="89">
        <v>50</v>
      </c>
      <c r="Z93" s="73"/>
      <c r="AA93" s="81"/>
      <c r="AB93" s="81"/>
      <c r="AC93" s="89">
        <f t="shared" si="18"/>
        <v>0</v>
      </c>
      <c r="AD93" s="89"/>
      <c r="AE93" s="89"/>
      <c r="AF93" s="155"/>
      <c r="AG93" s="155"/>
      <c r="AH93" s="155"/>
      <c r="AI93" s="155"/>
      <c r="AJ93" s="258"/>
      <c r="AK93" s="81"/>
      <c r="AL93" s="23" t="s">
        <v>247</v>
      </c>
    </row>
    <row r="94" spans="1:38" ht="17" x14ac:dyDescent="0.2">
      <c r="A94" s="114"/>
      <c r="B94" s="19">
        <v>42889</v>
      </c>
      <c r="C94" s="20" t="s">
        <v>115</v>
      </c>
      <c r="D94" s="20" t="s">
        <v>99</v>
      </c>
      <c r="E94" s="20" t="s">
        <v>103</v>
      </c>
      <c r="F94" s="22" t="s">
        <v>157</v>
      </c>
      <c r="G94" s="20"/>
      <c r="H94" s="22"/>
      <c r="I94" s="22"/>
      <c r="J94" s="21"/>
      <c r="K94" s="22" t="s">
        <v>268</v>
      </c>
      <c r="L94" s="22">
        <v>1</v>
      </c>
      <c r="M94" s="21">
        <v>80</v>
      </c>
      <c r="N94" s="140">
        <v>43668</v>
      </c>
      <c r="O94" s="21">
        <v>5</v>
      </c>
      <c r="P94" s="34">
        <v>43675</v>
      </c>
      <c r="Q94" s="21">
        <v>7</v>
      </c>
      <c r="R94" s="21">
        <f>1000-500-250</f>
        <v>250</v>
      </c>
      <c r="S94" s="21">
        <f>60-1-50</f>
        <v>9</v>
      </c>
      <c r="T94" s="49">
        <v>64.8</v>
      </c>
      <c r="U94" s="89">
        <v>50</v>
      </c>
      <c r="V94" s="73">
        <f t="shared" si="17"/>
        <v>3.24</v>
      </c>
      <c r="W94" s="89">
        <v>1</v>
      </c>
      <c r="X94" s="155">
        <v>43677</v>
      </c>
      <c r="Y94" s="89">
        <v>50</v>
      </c>
      <c r="Z94" s="155">
        <v>43677</v>
      </c>
      <c r="AA94" s="81">
        <v>74.599999999999994</v>
      </c>
      <c r="AB94" s="81"/>
      <c r="AC94" s="89">
        <f t="shared" si="18"/>
        <v>373</v>
      </c>
      <c r="AD94" s="89"/>
      <c r="AE94" s="89"/>
      <c r="AF94" s="155"/>
      <c r="AG94" s="155"/>
      <c r="AH94" s="155"/>
      <c r="AI94" s="155"/>
      <c r="AJ94" s="258"/>
      <c r="AK94" s="81"/>
      <c r="AL94" s="23"/>
    </row>
    <row r="95" spans="1:38" ht="17" x14ac:dyDescent="0.2">
      <c r="A95" s="114" t="s">
        <v>227</v>
      </c>
      <c r="B95" s="19">
        <v>42896</v>
      </c>
      <c r="C95" s="20" t="s">
        <v>115</v>
      </c>
      <c r="D95" s="20" t="s">
        <v>99</v>
      </c>
      <c r="E95" s="20" t="s">
        <v>103</v>
      </c>
      <c r="F95" s="22" t="s">
        <v>171</v>
      </c>
      <c r="G95" s="20"/>
      <c r="H95" s="22"/>
      <c r="I95" s="22"/>
      <c r="J95" s="21"/>
      <c r="K95" s="22">
        <v>553</v>
      </c>
      <c r="L95" s="22">
        <v>1</v>
      </c>
      <c r="M95" s="21">
        <v>30</v>
      </c>
      <c r="N95" s="140">
        <v>43669</v>
      </c>
      <c r="O95" s="21">
        <v>8</v>
      </c>
      <c r="P95" s="67">
        <v>43672</v>
      </c>
      <c r="Q95" s="21">
        <v>4</v>
      </c>
      <c r="R95" s="21">
        <f t="shared" si="22"/>
        <v>500</v>
      </c>
      <c r="S95" s="116">
        <f>75-1+50-50</f>
        <v>74</v>
      </c>
      <c r="T95" s="49">
        <v>200</v>
      </c>
      <c r="U95" s="89">
        <v>50</v>
      </c>
      <c r="V95" s="73">
        <f t="shared" si="17"/>
        <v>10</v>
      </c>
      <c r="W95" s="89">
        <v>3</v>
      </c>
      <c r="X95" s="155">
        <v>43682</v>
      </c>
      <c r="Y95" s="89">
        <v>50</v>
      </c>
      <c r="Z95" s="185">
        <v>43683</v>
      </c>
      <c r="AA95" s="81">
        <v>186</v>
      </c>
      <c r="AB95" s="81"/>
      <c r="AC95" s="89">
        <f t="shared" si="18"/>
        <v>930</v>
      </c>
      <c r="AD95" s="89"/>
      <c r="AE95" s="89"/>
      <c r="AF95" s="256">
        <v>43692</v>
      </c>
      <c r="AG95" s="155">
        <v>43692</v>
      </c>
      <c r="AH95" s="155"/>
      <c r="AI95" s="155"/>
      <c r="AJ95" s="263"/>
      <c r="AK95" s="81"/>
      <c r="AL95" s="23" t="s">
        <v>444</v>
      </c>
    </row>
    <row r="96" spans="1:38" ht="17" x14ac:dyDescent="0.2">
      <c r="A96" s="114" t="s">
        <v>227</v>
      </c>
      <c r="B96" s="19">
        <v>42906</v>
      </c>
      <c r="C96" s="20" t="s">
        <v>115</v>
      </c>
      <c r="D96" s="20" t="s">
        <v>99</v>
      </c>
      <c r="E96" s="20" t="s">
        <v>103</v>
      </c>
      <c r="F96" s="22" t="s">
        <v>194</v>
      </c>
      <c r="G96" s="20"/>
      <c r="H96" s="22"/>
      <c r="I96" s="22"/>
      <c r="J96" s="21"/>
      <c r="K96" s="22">
        <v>554</v>
      </c>
      <c r="L96" s="22">
        <v>1</v>
      </c>
      <c r="M96" s="21">
        <v>30</v>
      </c>
      <c r="N96" s="140">
        <v>43669</v>
      </c>
      <c r="O96" s="21">
        <v>9</v>
      </c>
      <c r="P96" s="67">
        <v>43672</v>
      </c>
      <c r="Q96" s="21">
        <v>5</v>
      </c>
      <c r="R96" s="21">
        <f t="shared" si="22"/>
        <v>500</v>
      </c>
      <c r="S96" s="116">
        <f t="shared" ref="S96" si="23">75-1-50</f>
        <v>24</v>
      </c>
      <c r="T96" s="49">
        <v>156</v>
      </c>
      <c r="U96" s="89">
        <v>50</v>
      </c>
      <c r="V96" s="73">
        <f t="shared" si="17"/>
        <v>7.8</v>
      </c>
      <c r="W96" s="89">
        <v>3</v>
      </c>
      <c r="X96" s="155">
        <v>43682</v>
      </c>
      <c r="Y96" s="89">
        <v>50</v>
      </c>
      <c r="Z96" s="185">
        <v>43683</v>
      </c>
      <c r="AA96" s="81">
        <v>188</v>
      </c>
      <c r="AB96" s="81"/>
      <c r="AC96" s="89">
        <f t="shared" si="18"/>
        <v>940</v>
      </c>
      <c r="AD96" s="89"/>
      <c r="AE96" s="89"/>
      <c r="AF96" s="155"/>
      <c r="AG96" s="155">
        <v>43692</v>
      </c>
      <c r="AH96" s="155"/>
      <c r="AI96" s="155"/>
      <c r="AJ96" s="258"/>
      <c r="AK96" s="81"/>
      <c r="AL96" s="23"/>
    </row>
    <row r="97" spans="1:38" ht="17" x14ac:dyDescent="0.2">
      <c r="A97" s="114" t="s">
        <v>227</v>
      </c>
      <c r="B97" s="19">
        <v>42876</v>
      </c>
      <c r="C97" s="20" t="s">
        <v>98</v>
      </c>
      <c r="D97" s="20" t="s">
        <v>99</v>
      </c>
      <c r="E97" s="20" t="s">
        <v>93</v>
      </c>
      <c r="F97" s="22" t="s">
        <v>122</v>
      </c>
      <c r="G97" s="20"/>
      <c r="H97" s="22"/>
      <c r="I97" s="22"/>
      <c r="J97" s="21"/>
      <c r="K97" s="22">
        <v>561</v>
      </c>
      <c r="L97" s="22">
        <v>1</v>
      </c>
      <c r="M97" s="21">
        <v>40</v>
      </c>
      <c r="N97" s="140">
        <v>43666</v>
      </c>
      <c r="O97" s="21">
        <v>2</v>
      </c>
      <c r="P97" s="67">
        <v>43670</v>
      </c>
      <c r="Q97" s="21">
        <v>1</v>
      </c>
      <c r="R97" s="21">
        <f t="shared" si="22"/>
        <v>500</v>
      </c>
      <c r="S97" s="21">
        <f>100-1-50</f>
        <v>49</v>
      </c>
      <c r="T97" s="49">
        <v>43.4</v>
      </c>
      <c r="U97" s="89">
        <v>50</v>
      </c>
      <c r="V97" s="73">
        <f t="shared" si="17"/>
        <v>2.17</v>
      </c>
      <c r="W97" s="89">
        <v>1</v>
      </c>
      <c r="X97" s="155">
        <v>43677</v>
      </c>
      <c r="Y97" s="89">
        <v>50</v>
      </c>
      <c r="Z97" s="155">
        <v>43677</v>
      </c>
      <c r="AA97" s="81">
        <v>28</v>
      </c>
      <c r="AB97" s="81"/>
      <c r="AC97" s="89">
        <f t="shared" si="18"/>
        <v>140</v>
      </c>
      <c r="AD97" s="89"/>
      <c r="AE97" s="89"/>
      <c r="AF97" s="155"/>
      <c r="AG97" s="155"/>
      <c r="AH97" s="155"/>
      <c r="AI97" s="155"/>
      <c r="AJ97" s="258"/>
      <c r="AK97" s="81"/>
      <c r="AL97" s="23"/>
    </row>
    <row r="98" spans="1:38" ht="17" x14ac:dyDescent="0.2">
      <c r="A98" s="114" t="s">
        <v>227</v>
      </c>
      <c r="B98" s="19">
        <v>42878</v>
      </c>
      <c r="C98" s="20" t="s">
        <v>98</v>
      </c>
      <c r="D98" s="20" t="s">
        <v>99</v>
      </c>
      <c r="E98" s="20" t="s">
        <v>93</v>
      </c>
      <c r="F98" s="22" t="s">
        <v>127</v>
      </c>
      <c r="G98" s="20"/>
      <c r="H98" s="22"/>
      <c r="I98" s="22"/>
      <c r="J98" s="21"/>
      <c r="K98" s="22">
        <v>562</v>
      </c>
      <c r="L98" s="22">
        <v>1</v>
      </c>
      <c r="M98" s="21">
        <v>90</v>
      </c>
      <c r="N98" s="140">
        <v>43668</v>
      </c>
      <c r="O98" s="21">
        <v>5</v>
      </c>
      <c r="P98" s="34">
        <v>43672</v>
      </c>
      <c r="Q98" s="21">
        <v>3</v>
      </c>
      <c r="R98" s="21">
        <f t="shared" si="22"/>
        <v>500</v>
      </c>
      <c r="S98" s="116">
        <f t="shared" ref="S98:S99" si="24">75-1-50</f>
        <v>24</v>
      </c>
      <c r="T98" s="49">
        <v>106</v>
      </c>
      <c r="U98" s="89">
        <v>50</v>
      </c>
      <c r="V98" s="73">
        <f t="shared" si="17"/>
        <v>5.3</v>
      </c>
      <c r="W98" s="89">
        <v>3</v>
      </c>
      <c r="X98" s="155">
        <v>43682</v>
      </c>
      <c r="Y98" s="89">
        <v>50</v>
      </c>
      <c r="Z98" s="185">
        <v>43683</v>
      </c>
      <c r="AA98" s="81">
        <v>126</v>
      </c>
      <c r="AB98" s="81"/>
      <c r="AC98" s="89">
        <f t="shared" si="18"/>
        <v>630</v>
      </c>
      <c r="AD98" s="89"/>
      <c r="AE98" s="89"/>
      <c r="AF98" s="155"/>
      <c r="AG98" s="155">
        <v>43692</v>
      </c>
      <c r="AH98" s="155"/>
      <c r="AI98" s="155"/>
      <c r="AJ98" s="258"/>
      <c r="AK98" s="81"/>
      <c r="AL98" s="23"/>
    </row>
    <row r="99" spans="1:38" ht="17" x14ac:dyDescent="0.2">
      <c r="A99" s="114" t="s">
        <v>227</v>
      </c>
      <c r="B99" s="19">
        <v>42879</v>
      </c>
      <c r="C99" s="20" t="s">
        <v>98</v>
      </c>
      <c r="D99" s="20" t="s">
        <v>99</v>
      </c>
      <c r="E99" s="20" t="s">
        <v>93</v>
      </c>
      <c r="F99" s="22" t="s">
        <v>131</v>
      </c>
      <c r="G99" s="20"/>
      <c r="H99" s="22"/>
      <c r="I99" s="22"/>
      <c r="J99" s="21"/>
      <c r="K99" s="22">
        <v>563</v>
      </c>
      <c r="L99" s="22">
        <v>1</v>
      </c>
      <c r="M99" s="21">
        <v>50</v>
      </c>
      <c r="N99" s="140">
        <v>43668</v>
      </c>
      <c r="O99" s="21">
        <v>6</v>
      </c>
      <c r="P99" s="67">
        <v>43672</v>
      </c>
      <c r="Q99" s="21">
        <v>4</v>
      </c>
      <c r="R99" s="21">
        <f>1000-500</f>
        <v>500</v>
      </c>
      <c r="S99" s="116">
        <f t="shared" si="24"/>
        <v>24</v>
      </c>
      <c r="T99" s="49">
        <v>84.6</v>
      </c>
      <c r="U99" s="89">
        <v>50</v>
      </c>
      <c r="V99" s="73">
        <f t="shared" si="17"/>
        <v>4.2300000000000004</v>
      </c>
      <c r="W99" s="89">
        <v>3</v>
      </c>
      <c r="X99" s="155">
        <v>43682</v>
      </c>
      <c r="Y99" s="89">
        <v>50</v>
      </c>
      <c r="Z99" s="185">
        <v>43683</v>
      </c>
      <c r="AA99" s="81">
        <v>47</v>
      </c>
      <c r="AB99" s="81"/>
      <c r="AC99" s="89">
        <f t="shared" si="18"/>
        <v>235</v>
      </c>
      <c r="AD99" s="89"/>
      <c r="AE99" s="89"/>
      <c r="AF99" s="155"/>
      <c r="AG99" s="155">
        <v>43692</v>
      </c>
      <c r="AH99" s="155"/>
      <c r="AI99" s="155"/>
      <c r="AJ99" s="258"/>
      <c r="AK99" s="81"/>
      <c r="AL99" s="23"/>
    </row>
    <row r="100" spans="1:38" ht="17" x14ac:dyDescent="0.2">
      <c r="A100" s="117" t="s">
        <v>227</v>
      </c>
      <c r="B100" s="19">
        <v>42893</v>
      </c>
      <c r="C100" s="20" t="s">
        <v>98</v>
      </c>
      <c r="D100" s="20" t="s">
        <v>99</v>
      </c>
      <c r="E100" s="20" t="s">
        <v>93</v>
      </c>
      <c r="F100" s="22" t="s">
        <v>168</v>
      </c>
      <c r="G100" s="20"/>
      <c r="H100" s="22"/>
      <c r="I100" s="22"/>
      <c r="J100" s="21"/>
      <c r="K100" s="22">
        <v>564</v>
      </c>
      <c r="L100" s="22">
        <v>1</v>
      </c>
      <c r="M100" s="21" t="s">
        <v>242</v>
      </c>
      <c r="N100" s="140">
        <v>43668</v>
      </c>
      <c r="O100" s="21">
        <v>7</v>
      </c>
      <c r="P100" s="34">
        <v>43673</v>
      </c>
      <c r="Q100" s="21">
        <v>6</v>
      </c>
      <c r="R100" s="21">
        <f t="shared" si="22"/>
        <v>500</v>
      </c>
      <c r="S100" s="116">
        <f>75-1+50-50</f>
        <v>74</v>
      </c>
      <c r="T100" s="49" t="s">
        <v>249</v>
      </c>
      <c r="U100" s="89">
        <v>50</v>
      </c>
      <c r="V100" s="73" t="e">
        <f t="shared" si="17"/>
        <v>#VALUE!</v>
      </c>
      <c r="W100" s="89">
        <v>4</v>
      </c>
      <c r="X100" s="155">
        <v>43682</v>
      </c>
      <c r="Y100" s="89">
        <v>50</v>
      </c>
      <c r="Z100" s="155"/>
      <c r="AA100" s="81">
        <v>152</v>
      </c>
      <c r="AB100" s="81"/>
      <c r="AC100" s="89">
        <f t="shared" si="18"/>
        <v>760</v>
      </c>
      <c r="AD100" s="89"/>
      <c r="AE100" s="89"/>
      <c r="AF100" s="256">
        <v>43692</v>
      </c>
      <c r="AG100" s="155">
        <v>43692</v>
      </c>
      <c r="AH100" s="155"/>
      <c r="AI100" s="155"/>
      <c r="AJ100" s="263"/>
      <c r="AK100" s="81"/>
      <c r="AL100" s="23" t="s">
        <v>298</v>
      </c>
    </row>
    <row r="101" spans="1:38" ht="17" hidden="1" x14ac:dyDescent="0.2">
      <c r="A101" s="118"/>
      <c r="B101" s="104">
        <v>42896</v>
      </c>
      <c r="C101" s="105" t="s">
        <v>98</v>
      </c>
      <c r="D101" s="105" t="s">
        <v>99</v>
      </c>
      <c r="E101" s="105" t="s">
        <v>93</v>
      </c>
      <c r="F101" s="106" t="s">
        <v>173</v>
      </c>
      <c r="G101" s="105"/>
      <c r="H101" s="106"/>
      <c r="I101" s="106"/>
      <c r="J101" s="107"/>
      <c r="K101" s="106" t="s">
        <v>275</v>
      </c>
      <c r="L101" s="106">
        <v>1</v>
      </c>
      <c r="M101" s="107">
        <v>10</v>
      </c>
      <c r="N101" s="145">
        <v>43669</v>
      </c>
      <c r="O101" s="107">
        <v>8</v>
      </c>
      <c r="P101" s="34">
        <v>43675</v>
      </c>
      <c r="Q101" s="21">
        <v>7</v>
      </c>
      <c r="R101" s="21">
        <f>1000-500-250</f>
        <v>250</v>
      </c>
      <c r="S101" s="21">
        <f>60-1</f>
        <v>59</v>
      </c>
      <c r="T101" s="108">
        <v>17.399999999999999</v>
      </c>
      <c r="U101" s="109"/>
      <c r="V101" s="153"/>
      <c r="W101" s="110"/>
      <c r="X101" s="153"/>
      <c r="Y101" s="110"/>
      <c r="Z101" s="153"/>
      <c r="AA101" s="156"/>
      <c r="AB101" s="156"/>
      <c r="AC101" s="89">
        <f t="shared" si="18"/>
        <v>0</v>
      </c>
      <c r="AD101" s="110"/>
      <c r="AE101" s="110"/>
      <c r="AF101" s="253"/>
      <c r="AG101" s="155">
        <v>43692</v>
      </c>
      <c r="AH101" s="253"/>
      <c r="AI101" s="253"/>
      <c r="AJ101" s="259"/>
      <c r="AK101" s="156"/>
      <c r="AL101" s="111"/>
    </row>
    <row r="102" spans="1:38" s="118" customFormat="1" ht="18" thickBot="1" x14ac:dyDescent="0.25">
      <c r="A102" s="118" t="s">
        <v>227</v>
      </c>
      <c r="B102" s="24">
        <v>42896</v>
      </c>
      <c r="C102" s="25" t="s">
        <v>98</v>
      </c>
      <c r="D102" s="25" t="s">
        <v>99</v>
      </c>
      <c r="E102" s="25" t="s">
        <v>93</v>
      </c>
      <c r="F102" s="27" t="s">
        <v>173</v>
      </c>
      <c r="G102" s="25"/>
      <c r="H102" s="27"/>
      <c r="I102" s="27"/>
      <c r="J102" s="26"/>
      <c r="K102" s="27">
        <v>565</v>
      </c>
      <c r="L102" s="27">
        <v>1</v>
      </c>
      <c r="M102" s="26">
        <v>10</v>
      </c>
      <c r="N102" s="141">
        <v>43669</v>
      </c>
      <c r="O102" s="26">
        <v>8</v>
      </c>
      <c r="P102" s="37">
        <v>43673</v>
      </c>
      <c r="Q102" s="26">
        <v>6</v>
      </c>
      <c r="R102" s="26">
        <f>1000-500-250</f>
        <v>250</v>
      </c>
      <c r="S102" s="116">
        <f t="shared" ref="S102" si="25">75-1-50</f>
        <v>24</v>
      </c>
      <c r="T102" s="50">
        <v>31.8</v>
      </c>
      <c r="U102" s="90">
        <v>50</v>
      </c>
      <c r="V102" s="74">
        <f>U102*T102/1000</f>
        <v>1.59</v>
      </c>
      <c r="W102" s="90">
        <v>4</v>
      </c>
      <c r="X102" s="187">
        <v>43682</v>
      </c>
      <c r="Y102" s="90">
        <v>50</v>
      </c>
      <c r="Z102" s="187"/>
      <c r="AA102" s="82">
        <v>31.2</v>
      </c>
      <c r="AB102" s="156"/>
      <c r="AC102" s="89">
        <f t="shared" si="18"/>
        <v>156</v>
      </c>
      <c r="AD102" s="110"/>
      <c r="AE102" s="110"/>
      <c r="AF102" s="253"/>
      <c r="AG102" s="155">
        <v>43692</v>
      </c>
      <c r="AH102" s="253"/>
      <c r="AI102" s="253"/>
      <c r="AJ102" s="259"/>
      <c r="AK102" s="81"/>
      <c r="AL102" s="28"/>
    </row>
    <row r="103" spans="1:38" ht="17" x14ac:dyDescent="0.2">
      <c r="A103" s="118"/>
      <c r="B103" s="29"/>
      <c r="C103" s="30"/>
      <c r="D103" s="30"/>
      <c r="E103" s="30"/>
      <c r="F103" s="32"/>
      <c r="G103" s="30"/>
      <c r="H103" s="32"/>
      <c r="I103" s="32"/>
      <c r="J103" s="31"/>
      <c r="K103" s="32"/>
      <c r="L103" s="32"/>
      <c r="M103" s="31"/>
      <c r="N103" s="142"/>
      <c r="O103" s="31"/>
      <c r="P103" s="35"/>
      <c r="Q103" s="31"/>
      <c r="R103" s="31"/>
      <c r="S103" s="31"/>
      <c r="T103" s="51"/>
      <c r="U103" s="58"/>
      <c r="V103" s="42"/>
      <c r="W103" s="58"/>
      <c r="X103" s="42"/>
      <c r="Y103" s="58"/>
      <c r="Z103" s="42"/>
      <c r="AA103" s="51"/>
      <c r="AB103" s="51"/>
      <c r="AC103" s="58"/>
      <c r="AD103" s="58"/>
      <c r="AE103" s="58"/>
      <c r="AF103" s="174"/>
      <c r="AG103" s="174"/>
      <c r="AH103" s="174"/>
      <c r="AI103" s="174"/>
      <c r="AJ103" s="260"/>
      <c r="AK103" s="51"/>
      <c r="AL103" s="31"/>
    </row>
    <row r="104" spans="1:38" ht="17" thickBot="1" x14ac:dyDescent="0.25">
      <c r="T104" s="52"/>
    </row>
    <row r="105" spans="1:38" ht="17" x14ac:dyDescent="0.2">
      <c r="B105" s="120" t="s">
        <v>236</v>
      </c>
      <c r="C105" s="121"/>
      <c r="D105" s="15" t="s">
        <v>295</v>
      </c>
      <c r="E105" s="15" t="s">
        <v>235</v>
      </c>
      <c r="F105" s="122"/>
      <c r="G105" s="121"/>
      <c r="H105" s="122"/>
      <c r="I105" s="122"/>
      <c r="J105" s="121"/>
      <c r="K105" s="122">
        <v>571</v>
      </c>
      <c r="L105" s="122">
        <v>1</v>
      </c>
      <c r="M105" s="121">
        <v>10</v>
      </c>
      <c r="N105" s="147">
        <v>43668</v>
      </c>
      <c r="O105" s="121">
        <v>4</v>
      </c>
      <c r="P105" s="123">
        <v>43672</v>
      </c>
      <c r="Q105" s="121">
        <v>3</v>
      </c>
      <c r="R105" s="16">
        <f>1000-500</f>
        <v>500</v>
      </c>
      <c r="S105" s="62">
        <v>24</v>
      </c>
      <c r="T105" s="53" t="s">
        <v>244</v>
      </c>
      <c r="U105" s="92"/>
      <c r="V105" s="76"/>
      <c r="W105" s="92">
        <v>1</v>
      </c>
      <c r="X105" s="157">
        <v>43677</v>
      </c>
      <c r="Y105" s="92">
        <v>50</v>
      </c>
      <c r="Z105" s="157">
        <v>43677</v>
      </c>
      <c r="AA105" s="84" t="s">
        <v>244</v>
      </c>
      <c r="AB105" s="84"/>
      <c r="AC105" s="92" t="s">
        <v>244</v>
      </c>
      <c r="AD105" s="92"/>
      <c r="AE105" s="92"/>
      <c r="AF105" s="157"/>
      <c r="AG105" s="157"/>
      <c r="AH105" s="157"/>
      <c r="AI105" s="157"/>
      <c r="AJ105" s="265"/>
      <c r="AK105" s="84"/>
      <c r="AL105" s="124"/>
    </row>
    <row r="106" spans="1:38" ht="17" x14ac:dyDescent="0.2">
      <c r="B106" s="125" t="s">
        <v>236</v>
      </c>
      <c r="C106" s="126"/>
      <c r="D106" s="20" t="s">
        <v>295</v>
      </c>
      <c r="E106" s="20" t="s">
        <v>235</v>
      </c>
      <c r="F106" s="127"/>
      <c r="G106" s="126"/>
      <c r="H106" s="127"/>
      <c r="I106" s="127"/>
      <c r="J106" s="128"/>
      <c r="K106" s="129">
        <v>572</v>
      </c>
      <c r="L106" s="129">
        <v>1</v>
      </c>
      <c r="M106" s="128">
        <v>10</v>
      </c>
      <c r="N106" s="148">
        <v>43669</v>
      </c>
      <c r="O106" s="128">
        <v>10</v>
      </c>
      <c r="P106" s="67">
        <v>43672</v>
      </c>
      <c r="Q106" s="128">
        <v>5</v>
      </c>
      <c r="R106" s="21">
        <f>1000-500</f>
        <v>500</v>
      </c>
      <c r="S106" s="62">
        <v>24</v>
      </c>
      <c r="T106" s="54" t="s">
        <v>244</v>
      </c>
      <c r="U106" s="93"/>
      <c r="V106" s="77"/>
      <c r="W106" s="93">
        <v>4</v>
      </c>
      <c r="X106" s="155">
        <v>43682</v>
      </c>
      <c r="Y106" s="175">
        <v>50</v>
      </c>
      <c r="Z106" s="155"/>
      <c r="AA106" s="85"/>
      <c r="AB106" s="85"/>
      <c r="AC106" s="93"/>
      <c r="AD106" s="93"/>
      <c r="AE106" s="93"/>
      <c r="AF106" s="255"/>
      <c r="AG106" s="255"/>
      <c r="AH106" s="255"/>
      <c r="AI106" s="255"/>
      <c r="AJ106" s="266"/>
      <c r="AK106" s="85"/>
      <c r="AL106" s="131"/>
    </row>
    <row r="107" spans="1:38" ht="17" x14ac:dyDescent="0.2">
      <c r="B107" s="125" t="s">
        <v>236</v>
      </c>
      <c r="C107" s="126"/>
      <c r="D107" s="20" t="s">
        <v>296</v>
      </c>
      <c r="E107" s="20" t="s">
        <v>235</v>
      </c>
      <c r="F107" s="127"/>
      <c r="G107" s="126"/>
      <c r="H107" s="127"/>
      <c r="I107" s="127"/>
      <c r="J107" s="128"/>
      <c r="K107" s="127">
        <v>574</v>
      </c>
      <c r="L107" s="129" t="s">
        <v>236</v>
      </c>
      <c r="M107" s="128" t="s">
        <v>236</v>
      </c>
      <c r="N107" s="148" t="s">
        <v>236</v>
      </c>
      <c r="O107" s="128" t="s">
        <v>236</v>
      </c>
      <c r="P107" s="130">
        <v>43673</v>
      </c>
      <c r="Q107" s="128">
        <v>6</v>
      </c>
      <c r="R107" s="128" t="s">
        <v>236</v>
      </c>
      <c r="S107" s="62">
        <v>24</v>
      </c>
      <c r="T107" s="54" t="s">
        <v>244</v>
      </c>
      <c r="U107" s="93"/>
      <c r="V107" s="77"/>
      <c r="W107" s="93">
        <v>4</v>
      </c>
      <c r="X107" s="155">
        <v>43682</v>
      </c>
      <c r="Y107" s="175">
        <v>50</v>
      </c>
      <c r="Z107" s="155"/>
      <c r="AA107" s="85"/>
      <c r="AB107" s="85"/>
      <c r="AC107" s="93"/>
      <c r="AD107" s="93"/>
      <c r="AE107" s="93"/>
      <c r="AF107" s="255"/>
      <c r="AG107" s="255"/>
      <c r="AH107" s="255"/>
      <c r="AI107" s="255"/>
      <c r="AJ107" s="266"/>
      <c r="AK107" s="85"/>
      <c r="AL107" s="131"/>
    </row>
    <row r="108" spans="1:38" ht="18" thickBot="1" x14ac:dyDescent="0.25">
      <c r="B108" s="132" t="s">
        <v>236</v>
      </c>
      <c r="C108" s="133"/>
      <c r="D108" s="25" t="s">
        <v>297</v>
      </c>
      <c r="E108" s="25" t="s">
        <v>235</v>
      </c>
      <c r="F108" s="134"/>
      <c r="G108" s="133"/>
      <c r="H108" s="134"/>
      <c r="I108" s="134"/>
      <c r="J108" s="133"/>
      <c r="K108" s="134">
        <v>575</v>
      </c>
      <c r="L108" s="134" t="s">
        <v>236</v>
      </c>
      <c r="M108" s="133" t="s">
        <v>236</v>
      </c>
      <c r="N108" s="149" t="s">
        <v>236</v>
      </c>
      <c r="O108" s="133" t="s">
        <v>236</v>
      </c>
      <c r="P108" s="133"/>
      <c r="Q108" s="133"/>
      <c r="R108" s="133"/>
      <c r="S108" s="133" t="s">
        <v>237</v>
      </c>
      <c r="T108" s="56"/>
      <c r="U108" s="94"/>
      <c r="V108" s="78"/>
      <c r="W108" s="94">
        <v>5</v>
      </c>
      <c r="X108" s="188">
        <v>43683</v>
      </c>
      <c r="Y108" s="94"/>
      <c r="Z108" s="185">
        <v>43683</v>
      </c>
      <c r="AA108" s="86"/>
      <c r="AB108" s="86"/>
      <c r="AC108" s="94"/>
      <c r="AD108" s="94"/>
      <c r="AE108" s="94"/>
      <c r="AF108" s="188"/>
      <c r="AG108" s="188"/>
      <c r="AH108" s="188"/>
      <c r="AI108" s="188"/>
      <c r="AJ108" s="267"/>
      <c r="AK108" s="86"/>
      <c r="AL108" s="135"/>
    </row>
    <row r="109" spans="1:38" ht="17" x14ac:dyDescent="0.2">
      <c r="D109" s="30"/>
    </row>
    <row r="110" spans="1:38" ht="17" x14ac:dyDescent="0.2">
      <c r="D110" s="30"/>
      <c r="W110" s="59">
        <f>COUNTA(W2:W108)</f>
        <v>74</v>
      </c>
      <c r="Z110" s="59">
        <f>COUNTA(Z2:Z108)</f>
        <v>63</v>
      </c>
    </row>
    <row r="111" spans="1:38" ht="17" x14ac:dyDescent="0.2">
      <c r="D111" s="30"/>
    </row>
    <row r="112" spans="1:38" ht="17" x14ac:dyDescent="0.2">
      <c r="D112" s="30"/>
    </row>
    <row r="113" spans="4:4" ht="17" x14ac:dyDescent="0.2">
      <c r="D113" s="30"/>
    </row>
    <row r="114" spans="4:4" ht="17" x14ac:dyDescent="0.2">
      <c r="D114" s="30"/>
    </row>
    <row r="115" spans="4:4" ht="17" x14ac:dyDescent="0.2">
      <c r="D115" s="30"/>
    </row>
  </sheetData>
  <sortState xmlns:xlrd2="http://schemas.microsoft.com/office/spreadsheetml/2017/richdata2" ref="A2:AL102">
    <sortCondition ref="D2:D102"/>
    <sortCondition ref="E2:E102"/>
    <sortCondition ref="B2:B102"/>
  </sortState>
  <conditionalFormatting sqref="AC2:AC17 AC19:AC42 AC44:AC83 AC85:AC102">
    <cfRule type="cellIs" dxfId="1" priority="1" operator="lessThan">
      <formula>200</formula>
    </cfRule>
  </conditionalFormatting>
  <dataValidations count="1">
    <dataValidation type="list" allowBlank="1" showInputMessage="1" showErrorMessage="1" promptTitle="Treatment Group" sqref="C2:C103" xr:uid="{B759B6DF-DB6B-0245-B45D-ED71332080DA}">
      <formula1>$C$3:$C$3</formula1>
    </dataValidation>
  </dataValidations>
  <pageMargins left="0.25" right="0.25" top="0.75" bottom="0.75" header="0.3" footer="0.3"/>
  <pageSetup scale="54" fitToHeight="2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428D-AE7C-C44C-98D5-29BE1ABB7456}">
  <dimension ref="A1:O88"/>
  <sheetViews>
    <sheetView tabSelected="1" workbookViewId="0">
      <selection activeCell="N20" sqref="N20"/>
    </sheetView>
  </sheetViews>
  <sheetFormatPr baseColWidth="10" defaultRowHeight="16" x14ac:dyDescent="0.2"/>
  <cols>
    <col min="1" max="1" width="10.83203125" style="115"/>
    <col min="2" max="2" width="16.5" style="115" customWidth="1"/>
    <col min="3" max="3" width="26.1640625" style="115" customWidth="1"/>
    <col min="4" max="4" width="12.6640625" style="115" customWidth="1"/>
    <col min="5" max="6" width="16.6640625" style="119" customWidth="1"/>
    <col min="7" max="7" width="16.1640625" style="115" hidden="1" customWidth="1"/>
    <col min="8" max="8" width="16" style="119" hidden="1" customWidth="1"/>
    <col min="9" max="9" width="10.83203125" style="119" hidden="1" customWidth="1"/>
    <col min="10" max="10" width="12.83203125" style="119" hidden="1" customWidth="1"/>
    <col min="11" max="11" width="14.1640625" customWidth="1"/>
  </cols>
  <sheetData>
    <row r="1" spans="1:15" ht="55" thickBot="1" x14ac:dyDescent="0.25">
      <c r="A1" s="12" t="s">
        <v>243</v>
      </c>
      <c r="B1" s="12" t="s">
        <v>89</v>
      </c>
      <c r="C1" s="12" t="s">
        <v>18</v>
      </c>
      <c r="D1" s="12" t="s">
        <v>90</v>
      </c>
      <c r="E1" s="12" t="s">
        <v>510</v>
      </c>
      <c r="F1" s="12" t="s">
        <v>511</v>
      </c>
      <c r="G1" s="13" t="s">
        <v>198</v>
      </c>
      <c r="H1" s="12" t="s">
        <v>199</v>
      </c>
      <c r="I1" s="12" t="s">
        <v>200</v>
      </c>
      <c r="J1" s="12" t="s">
        <v>254</v>
      </c>
      <c r="K1" s="307" t="s">
        <v>517</v>
      </c>
      <c r="L1" s="305" t="s">
        <v>512</v>
      </c>
      <c r="M1" s="305" t="s">
        <v>513</v>
      </c>
      <c r="N1" s="305" t="s">
        <v>514</v>
      </c>
      <c r="O1" s="305" t="s">
        <v>515</v>
      </c>
    </row>
    <row r="2" spans="1:15" ht="17" x14ac:dyDescent="0.2">
      <c r="A2" s="14">
        <v>42879</v>
      </c>
      <c r="B2" s="15" t="s">
        <v>105</v>
      </c>
      <c r="C2" s="15" t="s">
        <v>37</v>
      </c>
      <c r="D2" s="15" t="s">
        <v>96</v>
      </c>
      <c r="E2" s="17" t="s">
        <v>130</v>
      </c>
      <c r="F2" s="22" t="s">
        <v>203</v>
      </c>
      <c r="G2" s="15"/>
      <c r="H2" s="17"/>
      <c r="I2" s="17"/>
      <c r="J2" s="17">
        <v>401</v>
      </c>
      <c r="K2" s="251" t="s">
        <v>37</v>
      </c>
      <c r="L2" s="61">
        <f>COUNTA(F44)</f>
        <v>0</v>
      </c>
      <c r="M2" s="61">
        <f>COUNTA(F58:F59)</f>
        <v>2</v>
      </c>
      <c r="N2" s="61">
        <f>COUNTA(F2:F5)</f>
        <v>2</v>
      </c>
      <c r="O2" s="61">
        <f>COUNTA(F26:F29)</f>
        <v>3</v>
      </c>
    </row>
    <row r="3" spans="1:15" ht="17" x14ac:dyDescent="0.2">
      <c r="A3" s="19">
        <v>42886</v>
      </c>
      <c r="B3" s="20" t="s">
        <v>105</v>
      </c>
      <c r="C3" s="20" t="s">
        <v>37</v>
      </c>
      <c r="D3" s="20" t="s">
        <v>96</v>
      </c>
      <c r="E3" s="22" t="s">
        <v>147</v>
      </c>
      <c r="F3" s="22"/>
      <c r="G3" s="20"/>
      <c r="H3" s="22"/>
      <c r="I3" s="22"/>
      <c r="J3" s="22">
        <v>402</v>
      </c>
      <c r="K3" s="251" t="s">
        <v>75</v>
      </c>
      <c r="L3" s="61">
        <f>COUNTA(F45)</f>
        <v>1</v>
      </c>
      <c r="M3" s="61">
        <f>COUNTA(F62:F63,F67:F68)</f>
        <v>4</v>
      </c>
      <c r="N3" s="61">
        <f>COUNTA(F6:F10)</f>
        <v>4</v>
      </c>
      <c r="O3" s="61">
        <f>COUNTA(F30:F31)</f>
        <v>2</v>
      </c>
    </row>
    <row r="4" spans="1:15" ht="17" x14ac:dyDescent="0.2">
      <c r="A4" s="19">
        <v>42905</v>
      </c>
      <c r="B4" s="20" t="s">
        <v>105</v>
      </c>
      <c r="C4" s="20" t="s">
        <v>37</v>
      </c>
      <c r="D4" s="20" t="s">
        <v>96</v>
      </c>
      <c r="E4" s="22" t="s">
        <v>191</v>
      </c>
      <c r="F4" s="22"/>
      <c r="G4" s="20"/>
      <c r="H4" s="22"/>
      <c r="I4" s="22"/>
      <c r="J4" s="22">
        <v>403</v>
      </c>
      <c r="K4" s="251" t="s">
        <v>92</v>
      </c>
      <c r="L4" s="61">
        <f>COUNTA(F49)</f>
        <v>1</v>
      </c>
      <c r="M4" s="61">
        <f>COUNTA(F69:F70,F72:F77)</f>
        <v>6</v>
      </c>
      <c r="N4" s="61">
        <f>COUNTA(F11:F22)</f>
        <v>6</v>
      </c>
      <c r="O4" s="61">
        <v>0</v>
      </c>
    </row>
    <row r="5" spans="1:15" ht="17" x14ac:dyDescent="0.2">
      <c r="A5" s="19">
        <v>42915</v>
      </c>
      <c r="B5" s="20" t="s">
        <v>105</v>
      </c>
      <c r="C5" s="20" t="s">
        <v>37</v>
      </c>
      <c r="D5" s="20" t="s">
        <v>96</v>
      </c>
      <c r="E5" s="22" t="s">
        <v>196</v>
      </c>
      <c r="F5" s="22" t="s">
        <v>203</v>
      </c>
      <c r="G5" s="20"/>
      <c r="H5" s="22"/>
      <c r="I5" s="22"/>
      <c r="J5" s="22">
        <v>404</v>
      </c>
      <c r="K5" s="251" t="s">
        <v>99</v>
      </c>
      <c r="L5" s="61">
        <f>COUNTA(F55)</f>
        <v>1</v>
      </c>
      <c r="M5" s="61">
        <f>COUNTA(F78)</f>
        <v>1</v>
      </c>
      <c r="N5" s="61">
        <f>COUNTA(F23:F25)</f>
        <v>0</v>
      </c>
      <c r="O5" s="61">
        <f>COUNTA(F41:F43)</f>
        <v>2</v>
      </c>
    </row>
    <row r="6" spans="1:15" ht="17" x14ac:dyDescent="0.2">
      <c r="A6" s="19">
        <v>42880</v>
      </c>
      <c r="B6" s="20" t="s">
        <v>110</v>
      </c>
      <c r="C6" s="20" t="s">
        <v>75</v>
      </c>
      <c r="D6" s="20" t="s">
        <v>96</v>
      </c>
      <c r="E6" s="22" t="s">
        <v>136</v>
      </c>
      <c r="F6" s="22" t="s">
        <v>203</v>
      </c>
      <c r="G6" s="20"/>
      <c r="H6" s="22"/>
      <c r="I6" s="22"/>
      <c r="J6" s="22">
        <v>441</v>
      </c>
      <c r="K6" s="306" t="s">
        <v>516</v>
      </c>
      <c r="L6" s="251">
        <f>SUM(L2:L5)</f>
        <v>3</v>
      </c>
      <c r="M6" s="251">
        <f>SUM(M2:M5)</f>
        <v>13</v>
      </c>
      <c r="N6" s="251">
        <f>SUM(N2:N5)</f>
        <v>12</v>
      </c>
      <c r="O6" s="251">
        <f>SUM(O2:O5)</f>
        <v>7</v>
      </c>
    </row>
    <row r="7" spans="1:15" ht="17" x14ac:dyDescent="0.2">
      <c r="A7" s="19">
        <v>42889</v>
      </c>
      <c r="B7" s="20" t="s">
        <v>110</v>
      </c>
      <c r="C7" s="20" t="s">
        <v>75</v>
      </c>
      <c r="D7" s="20" t="s">
        <v>96</v>
      </c>
      <c r="E7" s="22" t="s">
        <v>154</v>
      </c>
      <c r="F7" s="22" t="s">
        <v>203</v>
      </c>
      <c r="G7" s="20"/>
      <c r="H7" s="22"/>
      <c r="I7" s="22"/>
      <c r="J7" s="22">
        <v>442</v>
      </c>
      <c r="K7" s="308" t="s">
        <v>520</v>
      </c>
      <c r="L7" s="161">
        <f>COUNTA(F46,F48,F52,F54)</f>
        <v>4</v>
      </c>
      <c r="M7" s="161">
        <f>COUNTA(F60,F66,F71,F79,F80)</f>
        <v>5</v>
      </c>
      <c r="N7" s="161">
        <f>0</f>
        <v>0</v>
      </c>
      <c r="O7" s="161">
        <f>COUNTA(F32,F38,F39)</f>
        <v>3</v>
      </c>
    </row>
    <row r="8" spans="1:15" ht="17" x14ac:dyDescent="0.2">
      <c r="A8" s="19">
        <v>42893</v>
      </c>
      <c r="B8" s="20" t="s">
        <v>110</v>
      </c>
      <c r="C8" s="20" t="s">
        <v>75</v>
      </c>
      <c r="D8" s="20" t="s">
        <v>96</v>
      </c>
      <c r="E8" s="22" t="s">
        <v>169</v>
      </c>
      <c r="F8" s="22" t="s">
        <v>203</v>
      </c>
      <c r="G8" s="20"/>
      <c r="H8" s="22"/>
      <c r="I8" s="22"/>
      <c r="J8" s="22">
        <v>443</v>
      </c>
      <c r="K8" s="308" t="s">
        <v>519</v>
      </c>
      <c r="L8" s="161">
        <f>SUM(L6:L7)</f>
        <v>7</v>
      </c>
      <c r="M8" s="161">
        <f>SUM(M6:M7)</f>
        <v>18</v>
      </c>
      <c r="N8" s="161">
        <f>SUM(N6:N7)</f>
        <v>12</v>
      </c>
      <c r="O8" s="161">
        <f>SUM(O6:O7)</f>
        <v>10</v>
      </c>
    </row>
    <row r="9" spans="1:15" ht="17" x14ac:dyDescent="0.2">
      <c r="A9" s="19">
        <v>42900</v>
      </c>
      <c r="B9" s="20" t="s">
        <v>119</v>
      </c>
      <c r="C9" s="20" t="s">
        <v>75</v>
      </c>
      <c r="D9" s="20" t="s">
        <v>96</v>
      </c>
      <c r="E9" s="22" t="s">
        <v>179</v>
      </c>
      <c r="F9" s="22" t="s">
        <v>203</v>
      </c>
      <c r="G9" s="20"/>
      <c r="H9" s="22"/>
      <c r="I9" s="22"/>
      <c r="J9" s="22">
        <v>444</v>
      </c>
    </row>
    <row r="10" spans="1:15" ht="17" x14ac:dyDescent="0.2">
      <c r="A10" s="19">
        <v>42901</v>
      </c>
      <c r="B10" s="20" t="s">
        <v>119</v>
      </c>
      <c r="C10" s="20" t="s">
        <v>75</v>
      </c>
      <c r="D10" s="20" t="s">
        <v>96</v>
      </c>
      <c r="E10" s="22" t="s">
        <v>181</v>
      </c>
      <c r="F10" s="22"/>
      <c r="G10" s="20"/>
      <c r="H10" s="22"/>
      <c r="I10" s="22"/>
      <c r="J10" s="22">
        <v>445</v>
      </c>
    </row>
    <row r="11" spans="1:15" ht="17" x14ac:dyDescent="0.2">
      <c r="A11" s="19">
        <v>42875</v>
      </c>
      <c r="B11" s="20" t="s">
        <v>95</v>
      </c>
      <c r="C11" s="20" t="s">
        <v>92</v>
      </c>
      <c r="D11" s="20" t="s">
        <v>96</v>
      </c>
      <c r="E11" s="22" t="s">
        <v>272</v>
      </c>
      <c r="F11" s="22" t="s">
        <v>203</v>
      </c>
      <c r="G11" s="20"/>
      <c r="H11" s="22"/>
      <c r="I11" s="22"/>
      <c r="J11" s="22">
        <v>481</v>
      </c>
    </row>
    <row r="12" spans="1:15" ht="17" x14ac:dyDescent="0.2">
      <c r="A12" s="19">
        <v>42875</v>
      </c>
      <c r="B12" s="20" t="s">
        <v>97</v>
      </c>
      <c r="C12" s="20" t="s">
        <v>92</v>
      </c>
      <c r="D12" s="20" t="s">
        <v>96</v>
      </c>
      <c r="E12" s="22" t="s">
        <v>273</v>
      </c>
      <c r="F12" s="22" t="s">
        <v>203</v>
      </c>
      <c r="G12" s="20"/>
      <c r="H12" s="22"/>
      <c r="I12" s="22"/>
      <c r="J12" s="22">
        <v>482</v>
      </c>
    </row>
    <row r="13" spans="1:15" ht="17" x14ac:dyDescent="0.2">
      <c r="A13" s="19">
        <v>42876</v>
      </c>
      <c r="B13" s="20" t="s">
        <v>97</v>
      </c>
      <c r="C13" s="20" t="s">
        <v>92</v>
      </c>
      <c r="D13" s="20" t="s">
        <v>96</v>
      </c>
      <c r="E13" s="22" t="s">
        <v>274</v>
      </c>
      <c r="F13" s="22" t="s">
        <v>203</v>
      </c>
      <c r="G13" s="20"/>
      <c r="H13" s="22"/>
      <c r="I13" s="22"/>
      <c r="J13" s="22">
        <v>483</v>
      </c>
    </row>
    <row r="14" spans="1:15" ht="17" x14ac:dyDescent="0.2">
      <c r="A14" s="19">
        <v>42878</v>
      </c>
      <c r="B14" s="20" t="s">
        <v>95</v>
      </c>
      <c r="C14" s="20" t="s">
        <v>92</v>
      </c>
      <c r="D14" s="20" t="s">
        <v>96</v>
      </c>
      <c r="E14" s="22" t="s">
        <v>125</v>
      </c>
      <c r="F14" s="22"/>
      <c r="G14" s="20"/>
      <c r="H14" s="22"/>
      <c r="I14" s="22"/>
      <c r="J14" s="22">
        <v>484</v>
      </c>
    </row>
    <row r="15" spans="1:15" ht="18" thickBot="1" x14ac:dyDescent="0.25">
      <c r="A15" s="24">
        <v>42887</v>
      </c>
      <c r="B15" s="25" t="s">
        <v>97</v>
      </c>
      <c r="C15" s="25" t="s">
        <v>92</v>
      </c>
      <c r="D15" s="25" t="s">
        <v>96</v>
      </c>
      <c r="E15" s="27" t="s">
        <v>150</v>
      </c>
      <c r="F15" s="27"/>
      <c r="G15" s="25"/>
      <c r="H15" s="27"/>
      <c r="I15" s="27"/>
      <c r="J15" s="27">
        <v>485</v>
      </c>
    </row>
    <row r="16" spans="1:15" ht="17" x14ac:dyDescent="0.2">
      <c r="A16" s="14">
        <v>42889</v>
      </c>
      <c r="B16" s="15" t="s">
        <v>95</v>
      </c>
      <c r="C16" s="15" t="s">
        <v>92</v>
      </c>
      <c r="D16" s="15" t="s">
        <v>96</v>
      </c>
      <c r="E16" s="17" t="s">
        <v>155</v>
      </c>
      <c r="F16" s="17" t="s">
        <v>203</v>
      </c>
      <c r="G16" s="15"/>
      <c r="H16" s="17"/>
      <c r="I16" s="17"/>
      <c r="J16" s="17">
        <v>486</v>
      </c>
    </row>
    <row r="17" spans="1:10" ht="17" x14ac:dyDescent="0.2">
      <c r="A17" s="19">
        <v>42889</v>
      </c>
      <c r="B17" s="20" t="s">
        <v>97</v>
      </c>
      <c r="C17" s="20" t="s">
        <v>92</v>
      </c>
      <c r="D17" s="20" t="s">
        <v>96</v>
      </c>
      <c r="E17" s="22" t="s">
        <v>156</v>
      </c>
      <c r="F17" s="22"/>
      <c r="G17" s="20"/>
      <c r="H17" s="22"/>
      <c r="I17" s="22"/>
      <c r="J17" s="22">
        <v>487</v>
      </c>
    </row>
    <row r="18" spans="1:10" ht="17" x14ac:dyDescent="0.2">
      <c r="A18" s="19">
        <v>42890</v>
      </c>
      <c r="B18" s="20" t="s">
        <v>95</v>
      </c>
      <c r="C18" s="20" t="s">
        <v>92</v>
      </c>
      <c r="D18" s="20" t="s">
        <v>96</v>
      </c>
      <c r="E18" s="22" t="s">
        <v>160</v>
      </c>
      <c r="F18" s="22" t="s">
        <v>203</v>
      </c>
      <c r="G18" s="20"/>
      <c r="H18" s="22"/>
      <c r="I18" s="22"/>
      <c r="J18" s="22">
        <v>488</v>
      </c>
    </row>
    <row r="19" spans="1:10" ht="17" x14ac:dyDescent="0.2">
      <c r="A19" s="19">
        <v>42892</v>
      </c>
      <c r="B19" s="20" t="s">
        <v>95</v>
      </c>
      <c r="C19" s="20" t="s">
        <v>92</v>
      </c>
      <c r="D19" s="20" t="s">
        <v>96</v>
      </c>
      <c r="E19" s="22" t="s">
        <v>165</v>
      </c>
      <c r="F19" s="22"/>
      <c r="G19" s="20"/>
      <c r="H19" s="22"/>
      <c r="I19" s="22"/>
      <c r="J19" s="22">
        <v>489</v>
      </c>
    </row>
    <row r="20" spans="1:10" ht="17" x14ac:dyDescent="0.2">
      <c r="A20" s="19">
        <v>42900</v>
      </c>
      <c r="B20" s="20" t="s">
        <v>97</v>
      </c>
      <c r="C20" s="20" t="s">
        <v>92</v>
      </c>
      <c r="D20" s="20" t="s">
        <v>96</v>
      </c>
      <c r="E20" s="22" t="s">
        <v>180</v>
      </c>
      <c r="F20" s="22"/>
      <c r="G20" s="20"/>
      <c r="H20" s="22"/>
      <c r="I20" s="22"/>
      <c r="J20" s="22">
        <v>490</v>
      </c>
    </row>
    <row r="21" spans="1:10" ht="17" x14ac:dyDescent="0.2">
      <c r="A21" s="19">
        <v>42901</v>
      </c>
      <c r="B21" s="20" t="s">
        <v>97</v>
      </c>
      <c r="C21" s="20" t="s">
        <v>92</v>
      </c>
      <c r="D21" s="20" t="s">
        <v>96</v>
      </c>
      <c r="E21" s="22" t="s">
        <v>182</v>
      </c>
      <c r="F21" s="22"/>
      <c r="G21" s="20"/>
      <c r="H21" s="22"/>
      <c r="I21" s="22"/>
      <c r="J21" s="22">
        <v>491</v>
      </c>
    </row>
    <row r="22" spans="1:10" ht="17" x14ac:dyDescent="0.2">
      <c r="A22" s="19">
        <v>42922</v>
      </c>
      <c r="B22" s="20" t="s">
        <v>97</v>
      </c>
      <c r="C22" s="20" t="s">
        <v>92</v>
      </c>
      <c r="D22" s="20" t="s">
        <v>96</v>
      </c>
      <c r="E22" s="22" t="s">
        <v>197</v>
      </c>
      <c r="F22" s="22" t="s">
        <v>203</v>
      </c>
      <c r="G22" s="20"/>
      <c r="H22" s="22"/>
      <c r="I22" s="22"/>
      <c r="J22" s="22">
        <v>492</v>
      </c>
    </row>
    <row r="23" spans="1:10" ht="17" x14ac:dyDescent="0.2">
      <c r="A23" s="19">
        <v>42879</v>
      </c>
      <c r="B23" s="20" t="s">
        <v>107</v>
      </c>
      <c r="C23" s="20" t="s">
        <v>99</v>
      </c>
      <c r="D23" s="20" t="s">
        <v>96</v>
      </c>
      <c r="E23" s="22" t="s">
        <v>133</v>
      </c>
      <c r="F23" s="22"/>
      <c r="G23" s="20"/>
      <c r="H23" s="22"/>
      <c r="I23" s="22"/>
      <c r="J23" s="22">
        <v>531</v>
      </c>
    </row>
    <row r="24" spans="1:10" ht="17" x14ac:dyDescent="0.2">
      <c r="A24" s="19">
        <v>42889</v>
      </c>
      <c r="B24" s="20" t="s">
        <v>107</v>
      </c>
      <c r="C24" s="20" t="s">
        <v>99</v>
      </c>
      <c r="D24" s="20" t="s">
        <v>96</v>
      </c>
      <c r="E24" s="22" t="s">
        <v>158</v>
      </c>
      <c r="F24" s="22"/>
      <c r="G24" s="20"/>
      <c r="H24" s="22"/>
      <c r="I24" s="22"/>
      <c r="J24" s="22">
        <v>532</v>
      </c>
    </row>
    <row r="25" spans="1:10" ht="17" x14ac:dyDescent="0.2">
      <c r="A25" s="68">
        <v>42896</v>
      </c>
      <c r="B25" s="69" t="s">
        <v>107</v>
      </c>
      <c r="C25" s="69" t="s">
        <v>99</v>
      </c>
      <c r="D25" s="69" t="s">
        <v>96</v>
      </c>
      <c r="E25" s="63" t="s">
        <v>172</v>
      </c>
      <c r="F25" s="63"/>
      <c r="G25" s="69"/>
      <c r="H25" s="63"/>
      <c r="I25" s="63"/>
      <c r="J25" s="63">
        <v>533</v>
      </c>
    </row>
    <row r="26" spans="1:10" ht="17" x14ac:dyDescent="0.2">
      <c r="A26" s="19">
        <v>42881</v>
      </c>
      <c r="B26" s="20" t="s">
        <v>112</v>
      </c>
      <c r="C26" s="20" t="s">
        <v>37</v>
      </c>
      <c r="D26" s="20" t="s">
        <v>101</v>
      </c>
      <c r="E26" s="22" t="s">
        <v>139</v>
      </c>
      <c r="F26" s="22"/>
      <c r="G26" s="20"/>
      <c r="H26" s="22"/>
      <c r="I26" s="22"/>
      <c r="J26" s="22">
        <v>411</v>
      </c>
    </row>
    <row r="27" spans="1:10" ht="17" x14ac:dyDescent="0.2">
      <c r="A27" s="19">
        <v>42882</v>
      </c>
      <c r="B27" s="20" t="s">
        <v>112</v>
      </c>
      <c r="C27" s="20" t="s">
        <v>37</v>
      </c>
      <c r="D27" s="20" t="s">
        <v>101</v>
      </c>
      <c r="E27" s="22" t="s">
        <v>143</v>
      </c>
      <c r="F27" s="22" t="s">
        <v>203</v>
      </c>
      <c r="G27" s="20" t="s">
        <v>211</v>
      </c>
      <c r="H27" s="22"/>
      <c r="I27" s="22"/>
      <c r="J27" s="22">
        <v>412</v>
      </c>
    </row>
    <row r="28" spans="1:10" ht="17" x14ac:dyDescent="0.2">
      <c r="A28" s="19">
        <v>42896</v>
      </c>
      <c r="B28" s="20" t="s">
        <v>112</v>
      </c>
      <c r="C28" s="20" t="s">
        <v>37</v>
      </c>
      <c r="D28" s="20" t="s">
        <v>101</v>
      </c>
      <c r="E28" s="22" t="s">
        <v>174</v>
      </c>
      <c r="F28" s="22" t="s">
        <v>203</v>
      </c>
      <c r="G28" s="20"/>
      <c r="H28" s="22"/>
      <c r="I28" s="22"/>
      <c r="J28" s="22">
        <v>413</v>
      </c>
    </row>
    <row r="29" spans="1:10" ht="17" x14ac:dyDescent="0.2">
      <c r="A29" s="19">
        <v>42898</v>
      </c>
      <c r="B29" s="20" t="s">
        <v>112</v>
      </c>
      <c r="C29" s="20" t="s">
        <v>37</v>
      </c>
      <c r="D29" s="20" t="s">
        <v>101</v>
      </c>
      <c r="E29" s="22" t="s">
        <v>176</v>
      </c>
      <c r="F29" s="22" t="s">
        <v>203</v>
      </c>
      <c r="G29" s="20" t="s">
        <v>217</v>
      </c>
      <c r="H29" s="22"/>
      <c r="I29" s="22"/>
      <c r="J29" s="22">
        <v>414</v>
      </c>
    </row>
    <row r="30" spans="1:10" ht="17" x14ac:dyDescent="0.2">
      <c r="A30" s="19">
        <v>42879</v>
      </c>
      <c r="B30" s="20" t="s">
        <v>106</v>
      </c>
      <c r="C30" s="20" t="s">
        <v>75</v>
      </c>
      <c r="D30" s="20" t="s">
        <v>101</v>
      </c>
      <c r="E30" s="22" t="s">
        <v>132</v>
      </c>
      <c r="F30" s="22" t="s">
        <v>203</v>
      </c>
      <c r="G30" s="20"/>
      <c r="H30" s="22"/>
      <c r="I30" s="22"/>
      <c r="J30" s="22">
        <v>451</v>
      </c>
    </row>
    <row r="31" spans="1:10" ht="17" x14ac:dyDescent="0.2">
      <c r="A31" s="19">
        <v>42879</v>
      </c>
      <c r="B31" s="20" t="s">
        <v>108</v>
      </c>
      <c r="C31" s="20" t="s">
        <v>75</v>
      </c>
      <c r="D31" s="20" t="s">
        <v>101</v>
      </c>
      <c r="E31" s="22" t="s">
        <v>134</v>
      </c>
      <c r="F31" s="22" t="s">
        <v>203</v>
      </c>
      <c r="G31" s="20"/>
      <c r="H31" s="22"/>
      <c r="I31" s="22"/>
      <c r="J31" s="22">
        <v>452</v>
      </c>
    </row>
    <row r="32" spans="1:10" ht="17" x14ac:dyDescent="0.2">
      <c r="A32" s="19">
        <v>42889</v>
      </c>
      <c r="B32" s="20" t="s">
        <v>106</v>
      </c>
      <c r="C32" s="20" t="s">
        <v>75</v>
      </c>
      <c r="D32" s="20" t="s">
        <v>101</v>
      </c>
      <c r="E32" s="22" t="s">
        <v>152</v>
      </c>
      <c r="F32" s="22" t="s">
        <v>518</v>
      </c>
      <c r="G32" s="20"/>
      <c r="H32" s="22"/>
      <c r="I32" s="22"/>
      <c r="J32" s="22">
        <v>453</v>
      </c>
    </row>
    <row r="33" spans="1:10" ht="17" x14ac:dyDescent="0.2">
      <c r="A33" s="19">
        <v>42876</v>
      </c>
      <c r="B33" s="20" t="s">
        <v>100</v>
      </c>
      <c r="C33" s="20" t="s">
        <v>92</v>
      </c>
      <c r="D33" s="20" t="s">
        <v>101</v>
      </c>
      <c r="E33" s="22" t="s">
        <v>271</v>
      </c>
      <c r="F33" s="22"/>
      <c r="G33" s="20" t="s">
        <v>201</v>
      </c>
      <c r="H33" s="22" t="s">
        <v>202</v>
      </c>
      <c r="I33" s="22" t="s">
        <v>203</v>
      </c>
      <c r="J33" s="22">
        <v>501</v>
      </c>
    </row>
    <row r="34" spans="1:10" ht="18" thickBot="1" x14ac:dyDescent="0.25">
      <c r="A34" s="24">
        <v>42878</v>
      </c>
      <c r="B34" s="25" t="s">
        <v>100</v>
      </c>
      <c r="C34" s="25" t="s">
        <v>92</v>
      </c>
      <c r="D34" s="25" t="s">
        <v>101</v>
      </c>
      <c r="E34" s="27" t="s">
        <v>124</v>
      </c>
      <c r="F34" s="27"/>
      <c r="G34" s="25"/>
      <c r="H34" s="27" t="s">
        <v>204</v>
      </c>
      <c r="I34" s="27" t="s">
        <v>205</v>
      </c>
      <c r="J34" s="27">
        <v>43</v>
      </c>
    </row>
    <row r="35" spans="1:10" ht="17" x14ac:dyDescent="0.2">
      <c r="A35" s="14">
        <v>42881</v>
      </c>
      <c r="B35" s="15" t="s">
        <v>100</v>
      </c>
      <c r="C35" s="15" t="s">
        <v>92</v>
      </c>
      <c r="D35" s="15" t="s">
        <v>101</v>
      </c>
      <c r="E35" s="17" t="s">
        <v>140</v>
      </c>
      <c r="F35" s="17"/>
      <c r="G35" s="15"/>
      <c r="H35" s="17" t="s">
        <v>208</v>
      </c>
      <c r="I35" s="17" t="s">
        <v>205</v>
      </c>
      <c r="J35" s="17">
        <v>46</v>
      </c>
    </row>
    <row r="36" spans="1:10" ht="17" x14ac:dyDescent="0.2">
      <c r="A36" s="211">
        <v>42882</v>
      </c>
      <c r="B36" s="212" t="s">
        <v>100</v>
      </c>
      <c r="C36" s="212" t="s">
        <v>92</v>
      </c>
      <c r="D36" s="212" t="s">
        <v>101</v>
      </c>
      <c r="E36" s="213" t="s">
        <v>142</v>
      </c>
      <c r="F36" s="213"/>
      <c r="G36" s="212" t="s">
        <v>209</v>
      </c>
      <c r="H36" s="213" t="s">
        <v>210</v>
      </c>
      <c r="I36" s="213" t="s">
        <v>203</v>
      </c>
      <c r="J36" s="213">
        <v>47</v>
      </c>
    </row>
    <row r="37" spans="1:10" ht="17" x14ac:dyDescent="0.2">
      <c r="A37" s="211">
        <v>42886</v>
      </c>
      <c r="B37" s="212" t="s">
        <v>114</v>
      </c>
      <c r="C37" s="212" t="s">
        <v>92</v>
      </c>
      <c r="D37" s="212" t="s">
        <v>101</v>
      </c>
      <c r="E37" s="213" t="s">
        <v>148</v>
      </c>
      <c r="F37" s="213"/>
      <c r="G37" s="212"/>
      <c r="H37" s="213" t="s">
        <v>212</v>
      </c>
      <c r="I37" s="213" t="s">
        <v>203</v>
      </c>
      <c r="J37" s="213">
        <v>44</v>
      </c>
    </row>
    <row r="38" spans="1:10" ht="17" x14ac:dyDescent="0.2">
      <c r="A38" s="19">
        <v>42900</v>
      </c>
      <c r="B38" s="20" t="s">
        <v>100</v>
      </c>
      <c r="C38" s="20" t="s">
        <v>92</v>
      </c>
      <c r="D38" s="20" t="s">
        <v>101</v>
      </c>
      <c r="E38" s="22" t="s">
        <v>178</v>
      </c>
      <c r="F38" s="22" t="s">
        <v>518</v>
      </c>
      <c r="G38" s="20" t="s">
        <v>218</v>
      </c>
      <c r="H38" s="22" t="s">
        <v>232</v>
      </c>
      <c r="I38" s="22" t="s">
        <v>205</v>
      </c>
      <c r="J38" s="22">
        <v>506</v>
      </c>
    </row>
    <row r="39" spans="1:10" ht="17" x14ac:dyDescent="0.2">
      <c r="A39" s="68">
        <v>42901</v>
      </c>
      <c r="B39" s="69" t="s">
        <v>100</v>
      </c>
      <c r="C39" s="69" t="s">
        <v>92</v>
      </c>
      <c r="D39" s="69" t="s">
        <v>101</v>
      </c>
      <c r="E39" s="63" t="s">
        <v>183</v>
      </c>
      <c r="F39" s="22" t="s">
        <v>518</v>
      </c>
      <c r="G39" s="69" t="s">
        <v>219</v>
      </c>
      <c r="H39" s="63"/>
      <c r="I39" s="63"/>
      <c r="J39" s="63" t="s">
        <v>237</v>
      </c>
    </row>
    <row r="40" spans="1:10" ht="17" x14ac:dyDescent="0.2">
      <c r="A40" s="211">
        <v>42910</v>
      </c>
      <c r="B40" s="212" t="s">
        <v>114</v>
      </c>
      <c r="C40" s="212" t="s">
        <v>92</v>
      </c>
      <c r="D40" s="212" t="s">
        <v>101</v>
      </c>
      <c r="E40" s="213" t="s">
        <v>195</v>
      </c>
      <c r="F40" s="213"/>
      <c r="G40" s="212"/>
      <c r="H40" s="213" t="s">
        <v>225</v>
      </c>
      <c r="I40" s="213" t="s">
        <v>203</v>
      </c>
      <c r="J40" s="213">
        <v>45</v>
      </c>
    </row>
    <row r="41" spans="1:10" ht="17" x14ac:dyDescent="0.2">
      <c r="A41" s="19">
        <v>42878</v>
      </c>
      <c r="B41" s="20" t="s">
        <v>104</v>
      </c>
      <c r="C41" s="20" t="s">
        <v>99</v>
      </c>
      <c r="D41" s="20" t="s">
        <v>101</v>
      </c>
      <c r="E41" s="22" t="s">
        <v>128</v>
      </c>
      <c r="F41" s="22" t="s">
        <v>203</v>
      </c>
      <c r="G41" s="20"/>
      <c r="H41" s="22"/>
      <c r="I41" s="22"/>
      <c r="J41" s="22">
        <v>541</v>
      </c>
    </row>
    <row r="42" spans="1:10" ht="17" x14ac:dyDescent="0.2">
      <c r="A42" s="19">
        <v>42879</v>
      </c>
      <c r="B42" s="20" t="s">
        <v>104</v>
      </c>
      <c r="C42" s="20" t="s">
        <v>99</v>
      </c>
      <c r="D42" s="20" t="s">
        <v>101</v>
      </c>
      <c r="E42" s="22" t="s">
        <v>129</v>
      </c>
      <c r="F42" s="22"/>
      <c r="G42" s="20"/>
      <c r="H42" s="22"/>
      <c r="I42" s="22"/>
      <c r="J42" s="22">
        <v>542</v>
      </c>
    </row>
    <row r="43" spans="1:10" ht="17" x14ac:dyDescent="0.2">
      <c r="A43" s="19">
        <v>42890</v>
      </c>
      <c r="B43" s="20" t="s">
        <v>104</v>
      </c>
      <c r="C43" s="20" t="s">
        <v>99</v>
      </c>
      <c r="D43" s="20" t="s">
        <v>101</v>
      </c>
      <c r="E43" s="22" t="s">
        <v>159</v>
      </c>
      <c r="F43" s="22" t="s">
        <v>203</v>
      </c>
      <c r="G43" s="20"/>
      <c r="H43" s="22"/>
      <c r="I43" s="22"/>
      <c r="J43" s="22">
        <v>543</v>
      </c>
    </row>
    <row r="44" spans="1:10" ht="17" x14ac:dyDescent="0.2">
      <c r="A44" s="19">
        <v>42898</v>
      </c>
      <c r="B44" s="20" t="s">
        <v>118</v>
      </c>
      <c r="C44" s="20" t="s">
        <v>37</v>
      </c>
      <c r="D44" s="20" t="s">
        <v>103</v>
      </c>
      <c r="E44" s="22" t="s">
        <v>175</v>
      </c>
      <c r="F44" s="22"/>
      <c r="G44" s="20" t="s">
        <v>216</v>
      </c>
      <c r="H44" s="22"/>
      <c r="I44" s="22"/>
      <c r="J44" s="22">
        <v>421</v>
      </c>
    </row>
    <row r="45" spans="1:10" ht="17" x14ac:dyDescent="0.2">
      <c r="A45" s="19">
        <v>42881</v>
      </c>
      <c r="B45" s="20" t="s">
        <v>111</v>
      </c>
      <c r="C45" s="20" t="s">
        <v>75</v>
      </c>
      <c r="D45" s="20" t="s">
        <v>103</v>
      </c>
      <c r="E45" s="22" t="s">
        <v>138</v>
      </c>
      <c r="F45" s="22" t="s">
        <v>203</v>
      </c>
      <c r="G45" s="20"/>
      <c r="H45" s="22"/>
      <c r="I45" s="22"/>
      <c r="J45" s="22">
        <v>461</v>
      </c>
    </row>
    <row r="46" spans="1:10" ht="17" x14ac:dyDescent="0.2">
      <c r="A46" s="19">
        <v>42884</v>
      </c>
      <c r="B46" s="20" t="s">
        <v>113</v>
      </c>
      <c r="C46" s="20" t="s">
        <v>75</v>
      </c>
      <c r="D46" s="20" t="s">
        <v>103</v>
      </c>
      <c r="E46" s="22" t="s">
        <v>145</v>
      </c>
      <c r="F46" s="22" t="s">
        <v>518</v>
      </c>
      <c r="G46" s="20"/>
      <c r="H46" s="22"/>
      <c r="I46" s="22"/>
      <c r="J46" s="22">
        <v>462</v>
      </c>
    </row>
    <row r="47" spans="1:10" ht="17" x14ac:dyDescent="0.2">
      <c r="A47" s="211">
        <v>42878</v>
      </c>
      <c r="B47" s="212" t="s">
        <v>102</v>
      </c>
      <c r="C47" s="212" t="s">
        <v>92</v>
      </c>
      <c r="D47" s="212" t="s">
        <v>103</v>
      </c>
      <c r="E47" s="213" t="s">
        <v>126</v>
      </c>
      <c r="F47" s="213"/>
      <c r="G47" s="212" t="s">
        <v>206</v>
      </c>
      <c r="H47" s="213" t="s">
        <v>207</v>
      </c>
      <c r="I47" s="213" t="s">
        <v>203</v>
      </c>
      <c r="J47" s="213">
        <v>35</v>
      </c>
    </row>
    <row r="48" spans="1:10" ht="17" x14ac:dyDescent="0.2">
      <c r="A48" s="68">
        <v>42889</v>
      </c>
      <c r="B48" s="69" t="s">
        <v>102</v>
      </c>
      <c r="C48" s="69" t="s">
        <v>92</v>
      </c>
      <c r="D48" s="69" t="s">
        <v>103</v>
      </c>
      <c r="E48" s="63" t="s">
        <v>153</v>
      </c>
      <c r="F48" s="22" t="s">
        <v>518</v>
      </c>
      <c r="G48" s="69"/>
      <c r="H48" s="63" t="s">
        <v>213</v>
      </c>
      <c r="I48" s="63" t="s">
        <v>205</v>
      </c>
      <c r="J48" s="63">
        <v>38</v>
      </c>
    </row>
    <row r="49" spans="1:10" ht="17" x14ac:dyDescent="0.2">
      <c r="A49" s="19">
        <v>42891</v>
      </c>
      <c r="B49" s="20" t="s">
        <v>102</v>
      </c>
      <c r="C49" s="20" t="s">
        <v>92</v>
      </c>
      <c r="D49" s="20" t="s">
        <v>103</v>
      </c>
      <c r="E49" s="22" t="s">
        <v>161</v>
      </c>
      <c r="F49" s="22" t="s">
        <v>203</v>
      </c>
      <c r="G49" s="20" t="s">
        <v>214</v>
      </c>
      <c r="H49" s="22" t="s">
        <v>233</v>
      </c>
      <c r="I49" s="22" t="s">
        <v>205</v>
      </c>
      <c r="J49" s="22">
        <v>513</v>
      </c>
    </row>
    <row r="50" spans="1:10" ht="17" x14ac:dyDescent="0.2">
      <c r="A50" s="211">
        <v>42892</v>
      </c>
      <c r="B50" s="212" t="s">
        <v>102</v>
      </c>
      <c r="C50" s="212" t="s">
        <v>92</v>
      </c>
      <c r="D50" s="212" t="s">
        <v>103</v>
      </c>
      <c r="E50" s="213" t="s">
        <v>164</v>
      </c>
      <c r="F50" s="213"/>
      <c r="G50" s="212"/>
      <c r="H50" s="213" t="s">
        <v>215</v>
      </c>
      <c r="I50" s="213" t="s">
        <v>203</v>
      </c>
      <c r="J50" s="213">
        <v>39</v>
      </c>
    </row>
    <row r="51" spans="1:10" ht="17" x14ac:dyDescent="0.2">
      <c r="A51" s="211">
        <v>42901</v>
      </c>
      <c r="B51" s="212" t="s">
        <v>102</v>
      </c>
      <c r="C51" s="212" t="s">
        <v>92</v>
      </c>
      <c r="D51" s="212" t="s">
        <v>103</v>
      </c>
      <c r="E51" s="213" t="s">
        <v>185</v>
      </c>
      <c r="F51" s="213"/>
      <c r="G51" s="212" t="s">
        <v>220</v>
      </c>
      <c r="H51" s="213" t="s">
        <v>221</v>
      </c>
      <c r="I51" s="213" t="s">
        <v>203</v>
      </c>
      <c r="J51" s="213">
        <v>37</v>
      </c>
    </row>
    <row r="52" spans="1:10" ht="17" x14ac:dyDescent="0.2">
      <c r="A52" s="68">
        <v>42903</v>
      </c>
      <c r="B52" s="69" t="s">
        <v>102</v>
      </c>
      <c r="C52" s="69" t="s">
        <v>92</v>
      </c>
      <c r="D52" s="69" t="s">
        <v>103</v>
      </c>
      <c r="E52" s="63" t="s">
        <v>187</v>
      </c>
      <c r="F52" s="22" t="s">
        <v>518</v>
      </c>
      <c r="G52" s="69"/>
      <c r="H52" s="63" t="s">
        <v>234</v>
      </c>
      <c r="I52" s="63" t="s">
        <v>205</v>
      </c>
      <c r="J52" s="63">
        <v>40</v>
      </c>
    </row>
    <row r="53" spans="1:10" ht="17" x14ac:dyDescent="0.2">
      <c r="A53" s="211">
        <v>42905</v>
      </c>
      <c r="B53" s="212" t="s">
        <v>121</v>
      </c>
      <c r="C53" s="212" t="s">
        <v>92</v>
      </c>
      <c r="D53" s="212" t="s">
        <v>103</v>
      </c>
      <c r="E53" s="213" t="s">
        <v>193</v>
      </c>
      <c r="F53" s="213"/>
      <c r="G53" s="212" t="s">
        <v>223</v>
      </c>
      <c r="H53" s="213" t="s">
        <v>224</v>
      </c>
      <c r="I53" s="213" t="s">
        <v>203</v>
      </c>
      <c r="J53" s="213">
        <v>34</v>
      </c>
    </row>
    <row r="54" spans="1:10" ht="17" x14ac:dyDescent="0.2">
      <c r="A54" s="19">
        <v>42887</v>
      </c>
      <c r="B54" s="20" t="s">
        <v>115</v>
      </c>
      <c r="C54" s="20" t="s">
        <v>99</v>
      </c>
      <c r="D54" s="20" t="s">
        <v>103</v>
      </c>
      <c r="E54" s="22" t="s">
        <v>151</v>
      </c>
      <c r="F54" s="22" t="s">
        <v>518</v>
      </c>
      <c r="G54" s="20"/>
      <c r="H54" s="22"/>
      <c r="I54" s="22"/>
      <c r="J54" s="22">
        <v>551</v>
      </c>
    </row>
    <row r="55" spans="1:10" ht="17" x14ac:dyDescent="0.2">
      <c r="A55" s="19">
        <v>42889</v>
      </c>
      <c r="B55" s="20" t="s">
        <v>115</v>
      </c>
      <c r="C55" s="20" t="s">
        <v>99</v>
      </c>
      <c r="D55" s="20" t="s">
        <v>103</v>
      </c>
      <c r="E55" s="22" t="s">
        <v>157</v>
      </c>
      <c r="F55" s="22" t="s">
        <v>203</v>
      </c>
      <c r="G55" s="20"/>
      <c r="H55" s="22"/>
      <c r="I55" s="22"/>
      <c r="J55" s="22">
        <v>552</v>
      </c>
    </row>
    <row r="56" spans="1:10" ht="17" x14ac:dyDescent="0.2">
      <c r="A56" s="19">
        <v>42896</v>
      </c>
      <c r="B56" s="20" t="s">
        <v>115</v>
      </c>
      <c r="C56" s="20" t="s">
        <v>99</v>
      </c>
      <c r="D56" s="20" t="s">
        <v>103</v>
      </c>
      <c r="E56" s="22" t="s">
        <v>171</v>
      </c>
      <c r="F56" s="22"/>
      <c r="G56" s="20"/>
      <c r="H56" s="22"/>
      <c r="I56" s="22"/>
      <c r="J56" s="22">
        <v>553</v>
      </c>
    </row>
    <row r="57" spans="1:10" ht="17" x14ac:dyDescent="0.2">
      <c r="A57" s="19">
        <v>42906</v>
      </c>
      <c r="B57" s="20" t="s">
        <v>115</v>
      </c>
      <c r="C57" s="20" t="s">
        <v>99</v>
      </c>
      <c r="D57" s="20" t="s">
        <v>103</v>
      </c>
      <c r="E57" s="22" t="s">
        <v>194</v>
      </c>
      <c r="F57" s="22"/>
      <c r="G57" s="20"/>
      <c r="H57" s="22"/>
      <c r="I57" s="22"/>
      <c r="J57" s="22">
        <v>554</v>
      </c>
    </row>
    <row r="58" spans="1:10" ht="17" x14ac:dyDescent="0.2">
      <c r="A58" s="19">
        <v>42893</v>
      </c>
      <c r="B58" s="20" t="s">
        <v>117</v>
      </c>
      <c r="C58" s="20" t="s">
        <v>37</v>
      </c>
      <c r="D58" s="20" t="s">
        <v>93</v>
      </c>
      <c r="E58" s="22" t="s">
        <v>167</v>
      </c>
      <c r="F58" s="22" t="s">
        <v>203</v>
      </c>
      <c r="G58" s="20"/>
      <c r="H58" s="22"/>
      <c r="I58" s="22"/>
      <c r="J58" s="22">
        <v>431</v>
      </c>
    </row>
    <row r="59" spans="1:10" ht="17" x14ac:dyDescent="0.2">
      <c r="A59" s="19">
        <v>42903</v>
      </c>
      <c r="B59" s="20" t="s">
        <v>117</v>
      </c>
      <c r="C59" s="20" t="s">
        <v>37</v>
      </c>
      <c r="D59" s="20" t="s">
        <v>93</v>
      </c>
      <c r="E59" s="22" t="s">
        <v>188</v>
      </c>
      <c r="F59" s="22" t="s">
        <v>203</v>
      </c>
      <c r="G59" s="20"/>
      <c r="H59" s="22"/>
      <c r="I59" s="22"/>
      <c r="J59" s="22">
        <v>432</v>
      </c>
    </row>
    <row r="60" spans="1:10" ht="17" x14ac:dyDescent="0.2">
      <c r="A60" s="68">
        <v>42903</v>
      </c>
      <c r="B60" s="69" t="s">
        <v>112</v>
      </c>
      <c r="C60" s="69" t="s">
        <v>37</v>
      </c>
      <c r="D60" s="69" t="s">
        <v>93</v>
      </c>
      <c r="E60" s="63" t="s">
        <v>189</v>
      </c>
      <c r="F60" s="22" t="s">
        <v>518</v>
      </c>
      <c r="G60" s="69" t="s">
        <v>222</v>
      </c>
      <c r="H60" s="63"/>
      <c r="I60" s="63"/>
      <c r="J60" s="63">
        <v>433</v>
      </c>
    </row>
    <row r="61" spans="1:10" ht="17" x14ac:dyDescent="0.2">
      <c r="A61" s="19">
        <v>42905</v>
      </c>
      <c r="B61" s="20" t="s">
        <v>117</v>
      </c>
      <c r="C61" s="20" t="s">
        <v>37</v>
      </c>
      <c r="D61" s="20" t="s">
        <v>93</v>
      </c>
      <c r="E61" s="22" t="s">
        <v>190</v>
      </c>
      <c r="F61" s="22" t="s">
        <v>203</v>
      </c>
      <c r="G61" s="20"/>
      <c r="H61" s="22"/>
      <c r="I61" s="22"/>
      <c r="J61" s="22">
        <v>434</v>
      </c>
    </row>
    <row r="62" spans="1:10" ht="17" x14ac:dyDescent="0.2">
      <c r="A62" s="19">
        <v>42880</v>
      </c>
      <c r="B62" s="20" t="s">
        <v>109</v>
      </c>
      <c r="C62" s="20" t="s">
        <v>75</v>
      </c>
      <c r="D62" s="20" t="s">
        <v>93</v>
      </c>
      <c r="E62" s="22" t="s">
        <v>135</v>
      </c>
      <c r="F62" s="22" t="s">
        <v>203</v>
      </c>
      <c r="G62" s="20"/>
      <c r="H62" s="22"/>
      <c r="I62" s="22"/>
      <c r="J62" s="22">
        <v>471</v>
      </c>
    </row>
    <row r="63" spans="1:10" ht="17" x14ac:dyDescent="0.2">
      <c r="A63" s="19">
        <v>42881</v>
      </c>
      <c r="B63" s="20" t="s">
        <v>109</v>
      </c>
      <c r="C63" s="20" t="s">
        <v>75</v>
      </c>
      <c r="D63" s="20" t="s">
        <v>93</v>
      </c>
      <c r="E63" s="22" t="s">
        <v>137</v>
      </c>
      <c r="F63" s="22" t="s">
        <v>203</v>
      </c>
      <c r="G63" s="20"/>
      <c r="H63" s="22"/>
      <c r="I63" s="22"/>
      <c r="J63" s="22">
        <v>472</v>
      </c>
    </row>
    <row r="64" spans="1:10" ht="17" x14ac:dyDescent="0.2">
      <c r="A64" s="19">
        <v>42891</v>
      </c>
      <c r="B64" s="20" t="s">
        <v>109</v>
      </c>
      <c r="C64" s="20" t="s">
        <v>75</v>
      </c>
      <c r="D64" s="20" t="s">
        <v>93</v>
      </c>
      <c r="E64" s="22" t="s">
        <v>162</v>
      </c>
      <c r="F64" s="22"/>
      <c r="G64" s="20"/>
      <c r="H64" s="22"/>
      <c r="I64" s="22"/>
      <c r="J64" s="22">
        <v>473</v>
      </c>
    </row>
    <row r="65" spans="1:10" ht="17" x14ac:dyDescent="0.2">
      <c r="A65" s="19">
        <v>42891</v>
      </c>
      <c r="B65" s="20" t="s">
        <v>116</v>
      </c>
      <c r="C65" s="20" t="s">
        <v>75</v>
      </c>
      <c r="D65" s="20" t="s">
        <v>93</v>
      </c>
      <c r="E65" s="22" t="s">
        <v>163</v>
      </c>
      <c r="F65" s="22"/>
      <c r="G65" s="20"/>
      <c r="H65" s="22"/>
      <c r="I65" s="22"/>
      <c r="J65" s="22">
        <v>474</v>
      </c>
    </row>
    <row r="66" spans="1:10" ht="17" x14ac:dyDescent="0.2">
      <c r="A66" s="19">
        <v>42892</v>
      </c>
      <c r="B66" s="20" t="s">
        <v>116</v>
      </c>
      <c r="C66" s="20" t="s">
        <v>75</v>
      </c>
      <c r="D66" s="20" t="s">
        <v>93</v>
      </c>
      <c r="E66" s="22" t="s">
        <v>166</v>
      </c>
      <c r="F66" s="22" t="s">
        <v>518</v>
      </c>
      <c r="G66" s="20"/>
      <c r="H66" s="22"/>
      <c r="I66" s="22"/>
      <c r="J66" s="22">
        <v>475</v>
      </c>
    </row>
    <row r="67" spans="1:10" ht="18" thickBot="1" x14ac:dyDescent="0.25">
      <c r="A67" s="24">
        <v>42896</v>
      </c>
      <c r="B67" s="25" t="s">
        <v>116</v>
      </c>
      <c r="C67" s="25" t="s">
        <v>75</v>
      </c>
      <c r="D67" s="25" t="s">
        <v>93</v>
      </c>
      <c r="E67" s="27" t="s">
        <v>170</v>
      </c>
      <c r="F67" s="27" t="s">
        <v>203</v>
      </c>
      <c r="G67" s="25"/>
      <c r="H67" s="27"/>
      <c r="I67" s="27"/>
      <c r="J67" s="27">
        <v>476</v>
      </c>
    </row>
    <row r="68" spans="1:10" ht="17" x14ac:dyDescent="0.2">
      <c r="A68" s="14">
        <v>42905</v>
      </c>
      <c r="B68" s="15" t="s">
        <v>116</v>
      </c>
      <c r="C68" s="15" t="s">
        <v>75</v>
      </c>
      <c r="D68" s="15" t="s">
        <v>93</v>
      </c>
      <c r="E68" s="17" t="s">
        <v>192</v>
      </c>
      <c r="F68" s="17" t="s">
        <v>203</v>
      </c>
      <c r="G68" s="15"/>
      <c r="H68" s="17"/>
      <c r="I68" s="17"/>
      <c r="J68" s="17">
        <v>477</v>
      </c>
    </row>
    <row r="69" spans="1:10" ht="17" x14ac:dyDescent="0.2">
      <c r="A69" s="19">
        <v>42876</v>
      </c>
      <c r="B69" s="20" t="s">
        <v>91</v>
      </c>
      <c r="C69" s="20" t="s">
        <v>92</v>
      </c>
      <c r="D69" s="20" t="s">
        <v>93</v>
      </c>
      <c r="E69" s="22" t="s">
        <v>270</v>
      </c>
      <c r="F69" s="22" t="s">
        <v>203</v>
      </c>
      <c r="G69" s="20"/>
      <c r="H69" s="22"/>
      <c r="I69" s="22"/>
      <c r="J69" s="22">
        <v>521</v>
      </c>
    </row>
    <row r="70" spans="1:10" ht="17" x14ac:dyDescent="0.2">
      <c r="A70" s="19">
        <v>42877</v>
      </c>
      <c r="B70" s="20" t="s">
        <v>91</v>
      </c>
      <c r="C70" s="20" t="s">
        <v>92</v>
      </c>
      <c r="D70" s="20" t="s">
        <v>93</v>
      </c>
      <c r="E70" s="22" t="s">
        <v>123</v>
      </c>
      <c r="F70" s="22" t="s">
        <v>203</v>
      </c>
      <c r="G70" s="20"/>
      <c r="H70" s="22"/>
      <c r="I70" s="22"/>
      <c r="J70" s="22">
        <v>522</v>
      </c>
    </row>
    <row r="71" spans="1:10" ht="17" x14ac:dyDescent="0.2">
      <c r="A71" s="19">
        <v>42882</v>
      </c>
      <c r="B71" s="20" t="s">
        <v>94</v>
      </c>
      <c r="C71" s="20" t="s">
        <v>92</v>
      </c>
      <c r="D71" s="20" t="s">
        <v>93</v>
      </c>
      <c r="E71" s="22" t="s">
        <v>141</v>
      </c>
      <c r="F71" s="22" t="s">
        <v>518</v>
      </c>
      <c r="G71" s="20"/>
      <c r="H71" s="22"/>
      <c r="I71" s="22"/>
      <c r="J71" s="22">
        <v>523</v>
      </c>
    </row>
    <row r="72" spans="1:10" ht="17" x14ac:dyDescent="0.2">
      <c r="A72" s="19">
        <v>42882</v>
      </c>
      <c r="B72" s="20" t="s">
        <v>94</v>
      </c>
      <c r="C72" s="20" t="s">
        <v>92</v>
      </c>
      <c r="D72" s="20" t="s">
        <v>93</v>
      </c>
      <c r="E72" s="22" t="s">
        <v>144</v>
      </c>
      <c r="F72" s="22" t="s">
        <v>203</v>
      </c>
      <c r="G72" s="20"/>
      <c r="H72" s="22"/>
      <c r="I72" s="22"/>
      <c r="J72" s="22">
        <v>524</v>
      </c>
    </row>
    <row r="73" spans="1:10" ht="17" x14ac:dyDescent="0.2">
      <c r="A73" s="19">
        <v>42884</v>
      </c>
      <c r="B73" s="20" t="s">
        <v>94</v>
      </c>
      <c r="C73" s="20" t="s">
        <v>92</v>
      </c>
      <c r="D73" s="20" t="s">
        <v>93</v>
      </c>
      <c r="E73" s="22" t="s">
        <v>146</v>
      </c>
      <c r="F73" s="22"/>
      <c r="G73" s="20"/>
      <c r="H73" s="22"/>
      <c r="I73" s="22"/>
      <c r="J73" s="22">
        <v>525</v>
      </c>
    </row>
    <row r="74" spans="1:10" ht="17" x14ac:dyDescent="0.2">
      <c r="A74" s="19">
        <v>42886</v>
      </c>
      <c r="B74" s="20" t="s">
        <v>91</v>
      </c>
      <c r="C74" s="20" t="s">
        <v>92</v>
      </c>
      <c r="D74" s="20" t="s">
        <v>93</v>
      </c>
      <c r="E74" s="22" t="s">
        <v>149</v>
      </c>
      <c r="F74" s="22"/>
      <c r="G74" s="20"/>
      <c r="H74" s="22"/>
      <c r="I74" s="22"/>
      <c r="J74" s="22">
        <v>526</v>
      </c>
    </row>
    <row r="75" spans="1:10" ht="17" x14ac:dyDescent="0.2">
      <c r="A75" s="19">
        <v>42900</v>
      </c>
      <c r="B75" s="20" t="s">
        <v>94</v>
      </c>
      <c r="C75" s="20" t="s">
        <v>92</v>
      </c>
      <c r="D75" s="20" t="s">
        <v>93</v>
      </c>
      <c r="E75" s="22" t="s">
        <v>177</v>
      </c>
      <c r="F75" s="22" t="s">
        <v>203</v>
      </c>
      <c r="G75" s="20"/>
      <c r="H75" s="22"/>
      <c r="I75" s="22"/>
      <c r="J75" s="22">
        <v>527</v>
      </c>
    </row>
    <row r="76" spans="1:10" ht="17" x14ac:dyDescent="0.2">
      <c r="A76" s="19">
        <v>42901</v>
      </c>
      <c r="B76" s="20" t="s">
        <v>94</v>
      </c>
      <c r="C76" s="20" t="s">
        <v>92</v>
      </c>
      <c r="D76" s="20" t="s">
        <v>93</v>
      </c>
      <c r="E76" s="22" t="s">
        <v>184</v>
      </c>
      <c r="F76" s="22" t="s">
        <v>203</v>
      </c>
      <c r="G76" s="20"/>
      <c r="H76" s="22"/>
      <c r="I76" s="22"/>
      <c r="J76" s="22">
        <v>528</v>
      </c>
    </row>
    <row r="77" spans="1:10" ht="17" x14ac:dyDescent="0.2">
      <c r="A77" s="19">
        <v>42903</v>
      </c>
      <c r="B77" s="20" t="s">
        <v>120</v>
      </c>
      <c r="C77" s="20" t="s">
        <v>92</v>
      </c>
      <c r="D77" s="20" t="s">
        <v>93</v>
      </c>
      <c r="E77" s="22" t="s">
        <v>186</v>
      </c>
      <c r="F77" s="22" t="s">
        <v>203</v>
      </c>
      <c r="G77" s="20"/>
      <c r="H77" s="22"/>
      <c r="I77" s="22"/>
      <c r="J77" s="22">
        <v>529</v>
      </c>
    </row>
    <row r="78" spans="1:10" ht="17" x14ac:dyDescent="0.2">
      <c r="A78" s="19">
        <v>42876</v>
      </c>
      <c r="B78" s="20" t="s">
        <v>98</v>
      </c>
      <c r="C78" s="20" t="s">
        <v>99</v>
      </c>
      <c r="D78" s="20" t="s">
        <v>93</v>
      </c>
      <c r="E78" s="22" t="s">
        <v>122</v>
      </c>
      <c r="F78" s="22" t="s">
        <v>203</v>
      </c>
      <c r="G78" s="20"/>
      <c r="H78" s="22"/>
      <c r="I78" s="22"/>
      <c r="J78" s="22">
        <v>561</v>
      </c>
    </row>
    <row r="79" spans="1:10" ht="17" x14ac:dyDescent="0.2">
      <c r="A79" s="19">
        <v>42878</v>
      </c>
      <c r="B79" s="20" t="s">
        <v>98</v>
      </c>
      <c r="C79" s="20" t="s">
        <v>99</v>
      </c>
      <c r="D79" s="20" t="s">
        <v>93</v>
      </c>
      <c r="E79" s="22" t="s">
        <v>127</v>
      </c>
      <c r="F79" s="22" t="s">
        <v>518</v>
      </c>
      <c r="G79" s="20"/>
      <c r="H79" s="22"/>
      <c r="I79" s="22"/>
      <c r="J79" s="22">
        <v>562</v>
      </c>
    </row>
    <row r="80" spans="1:10" ht="17" x14ac:dyDescent="0.2">
      <c r="A80" s="19">
        <v>42879</v>
      </c>
      <c r="B80" s="20" t="s">
        <v>98</v>
      </c>
      <c r="C80" s="20" t="s">
        <v>99</v>
      </c>
      <c r="D80" s="20" t="s">
        <v>93</v>
      </c>
      <c r="E80" s="22" t="s">
        <v>131</v>
      </c>
      <c r="F80" s="22" t="s">
        <v>518</v>
      </c>
      <c r="G80" s="20"/>
      <c r="H80" s="22"/>
      <c r="I80" s="22"/>
      <c r="J80" s="22">
        <v>563</v>
      </c>
    </row>
    <row r="81" spans="1:10" ht="17" x14ac:dyDescent="0.2">
      <c r="A81" s="104">
        <v>42893</v>
      </c>
      <c r="B81" s="105" t="s">
        <v>98</v>
      </c>
      <c r="C81" s="105" t="s">
        <v>99</v>
      </c>
      <c r="D81" s="105" t="s">
        <v>93</v>
      </c>
      <c r="E81" s="106" t="s">
        <v>168</v>
      </c>
      <c r="F81" s="22"/>
      <c r="G81" s="105"/>
      <c r="H81" s="106"/>
      <c r="I81" s="106"/>
      <c r="J81" s="106">
        <v>564</v>
      </c>
    </row>
    <row r="82" spans="1:10" ht="18" thickBot="1" x14ac:dyDescent="0.25">
      <c r="A82" s="24">
        <v>42896</v>
      </c>
      <c r="B82" s="25" t="s">
        <v>98</v>
      </c>
      <c r="C82" s="25" t="s">
        <v>99</v>
      </c>
      <c r="D82" s="25" t="s">
        <v>93</v>
      </c>
      <c r="E82" s="27" t="s">
        <v>173</v>
      </c>
      <c r="F82" s="22"/>
      <c r="G82" s="25"/>
      <c r="H82" s="27"/>
      <c r="I82" s="27"/>
      <c r="J82" s="27">
        <v>565</v>
      </c>
    </row>
    <row r="83" spans="1:10" ht="17" x14ac:dyDescent="0.2">
      <c r="C83" s="30"/>
    </row>
    <row r="84" spans="1:10" ht="17" x14ac:dyDescent="0.2">
      <c r="C84" s="30"/>
    </row>
    <row r="85" spans="1:10" ht="17" x14ac:dyDescent="0.2">
      <c r="C85" s="30"/>
    </row>
    <row r="86" spans="1:10" ht="17" x14ac:dyDescent="0.2">
      <c r="C86" s="30"/>
    </row>
    <row r="87" spans="1:10" ht="17" x14ac:dyDescent="0.2">
      <c r="C87" s="30"/>
    </row>
    <row r="88" spans="1:10" ht="17" x14ac:dyDescent="0.2">
      <c r="C88" s="30"/>
    </row>
  </sheetData>
  <sortState xmlns:xlrd2="http://schemas.microsoft.com/office/spreadsheetml/2017/richdata2" ref="A2:K118">
    <sortCondition ref="D2:D118"/>
    <sortCondition ref="C2:C118"/>
    <sortCondition ref="A2:A118"/>
  </sortState>
  <dataValidations disablePrompts="1" count="1">
    <dataValidation type="list" allowBlank="1" showInputMessage="1" showErrorMessage="1" promptTitle="Treatment Group" sqref="B2:B82" xr:uid="{8E47FAAF-4426-4448-A895-1829DABF54A6}">
      <formula1>$C$3:$C$3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F407-8683-9E40-8AC4-E169CD2B7D2C}">
  <dimension ref="A1:R41"/>
  <sheetViews>
    <sheetView topLeftCell="A15" zoomScale="110" zoomScaleNormal="110" workbookViewId="0">
      <selection activeCell="O35" sqref="O35"/>
    </sheetView>
  </sheetViews>
  <sheetFormatPr baseColWidth="10" defaultRowHeight="16" x14ac:dyDescent="0.2"/>
  <cols>
    <col min="1" max="1" width="26.33203125" style="250" customWidth="1"/>
    <col min="2" max="2" width="16.1640625" style="250" customWidth="1"/>
    <col min="3" max="3" width="16" style="226" customWidth="1"/>
    <col min="4" max="4" width="11.1640625" style="229" customWidth="1"/>
    <col min="5" max="5" width="12.5" style="229" hidden="1" customWidth="1"/>
    <col min="6" max="6" width="11.1640625" style="229" hidden="1" customWidth="1"/>
    <col min="7" max="8" width="12.5" style="229" hidden="1" customWidth="1"/>
    <col min="9" max="10" width="12.5" style="228" hidden="1" customWidth="1"/>
    <col min="11" max="11" width="11" hidden="1" customWidth="1"/>
    <col min="12" max="12" width="11.1640625" hidden="1" customWidth="1"/>
    <col min="13" max="13" width="0" hidden="1" customWidth="1"/>
    <col min="16" max="16" width="10.6640625" customWidth="1"/>
  </cols>
  <sheetData>
    <row r="1" spans="1:18" ht="68" x14ac:dyDescent="0.2">
      <c r="A1" s="296" t="s">
        <v>18</v>
      </c>
      <c r="B1" s="296" t="s">
        <v>90</v>
      </c>
      <c r="C1" s="296" t="s">
        <v>446</v>
      </c>
      <c r="D1" s="297" t="s">
        <v>501</v>
      </c>
      <c r="E1" s="298" t="s">
        <v>315</v>
      </c>
      <c r="F1" s="298" t="s">
        <v>500</v>
      </c>
      <c r="G1" s="298" t="s">
        <v>494</v>
      </c>
      <c r="H1" s="298" t="s">
        <v>464</v>
      </c>
      <c r="I1" s="298" t="s">
        <v>493</v>
      </c>
      <c r="J1" s="299" t="s">
        <v>468</v>
      </c>
      <c r="K1" s="299" t="s">
        <v>467</v>
      </c>
      <c r="L1" s="300" t="s">
        <v>495</v>
      </c>
      <c r="M1" s="301" t="s">
        <v>496</v>
      </c>
      <c r="N1" s="293" t="s">
        <v>497</v>
      </c>
      <c r="O1" s="293" t="s">
        <v>498</v>
      </c>
      <c r="P1" s="293" t="s">
        <v>502</v>
      </c>
      <c r="Q1" s="293" t="s">
        <v>503</v>
      </c>
      <c r="R1" s="294" t="s">
        <v>499</v>
      </c>
    </row>
    <row r="2" spans="1:18" x14ac:dyDescent="0.2">
      <c r="A2" s="245" t="s">
        <v>37</v>
      </c>
      <c r="B2" s="245" t="s">
        <v>470</v>
      </c>
      <c r="C2" s="245" t="s">
        <v>447</v>
      </c>
      <c r="D2" s="8">
        <v>296</v>
      </c>
      <c r="E2" s="239">
        <v>180</v>
      </c>
      <c r="F2" s="239">
        <v>900</v>
      </c>
      <c r="G2" s="39">
        <v>2.7777777777777777</v>
      </c>
      <c r="H2" s="39">
        <v>2.2222222222222223</v>
      </c>
      <c r="I2" s="39">
        <f>G2*E2</f>
        <v>500</v>
      </c>
      <c r="J2" s="238">
        <v>43697</v>
      </c>
      <c r="K2" s="238">
        <v>43698</v>
      </c>
      <c r="L2" s="192">
        <v>43711</v>
      </c>
      <c r="M2" s="162">
        <v>42983</v>
      </c>
      <c r="N2" s="61">
        <v>3530</v>
      </c>
      <c r="O2" s="163">
        <f>0.5*N2</f>
        <v>1765</v>
      </c>
      <c r="P2" s="189">
        <v>16.97</v>
      </c>
      <c r="Q2" s="189">
        <f>P2-3</f>
        <v>13.969999999999999</v>
      </c>
      <c r="R2" s="61">
        <v>14</v>
      </c>
    </row>
    <row r="3" spans="1:18" ht="17" x14ac:dyDescent="0.2">
      <c r="A3" s="245" t="s">
        <v>74</v>
      </c>
      <c r="B3" s="247" t="s">
        <v>103</v>
      </c>
      <c r="C3" s="245" t="s">
        <v>447</v>
      </c>
      <c r="D3" s="8">
        <v>323</v>
      </c>
      <c r="E3" s="239">
        <v>102</v>
      </c>
      <c r="F3" s="239">
        <v>510</v>
      </c>
      <c r="G3" s="39">
        <v>4.9019607843137258</v>
      </c>
      <c r="H3" s="39">
        <v>9.8039215686274161E-2</v>
      </c>
      <c r="I3" s="39">
        <f>G3*E3</f>
        <v>500.00000000000006</v>
      </c>
      <c r="J3" s="238">
        <v>43697</v>
      </c>
      <c r="K3" s="238">
        <v>43698</v>
      </c>
      <c r="L3" s="192">
        <v>43711</v>
      </c>
      <c r="M3" s="162">
        <v>42983</v>
      </c>
      <c r="N3" s="61">
        <v>3829</v>
      </c>
      <c r="O3" s="163">
        <f t="shared" ref="O3:O10" si="0">0.5*N3</f>
        <v>1914.5</v>
      </c>
      <c r="P3" s="189">
        <v>17.52</v>
      </c>
      <c r="Q3" s="189">
        <f t="shared" ref="Q3:Q10" si="1">P3-3</f>
        <v>14.52</v>
      </c>
      <c r="R3" s="61">
        <v>14</v>
      </c>
    </row>
    <row r="4" spans="1:18" ht="17" x14ac:dyDescent="0.2">
      <c r="A4" s="246" t="s">
        <v>75</v>
      </c>
      <c r="B4" s="247" t="s">
        <v>103</v>
      </c>
      <c r="C4" s="245" t="s">
        <v>447</v>
      </c>
      <c r="D4" s="199">
        <v>341</v>
      </c>
      <c r="E4" s="239">
        <v>89.6</v>
      </c>
      <c r="F4" s="239">
        <v>448</v>
      </c>
      <c r="G4" s="39">
        <v>5.5803571428571432</v>
      </c>
      <c r="H4" s="39">
        <v>0</v>
      </c>
      <c r="I4" s="39">
        <f>G4*E4</f>
        <v>500</v>
      </c>
      <c r="J4" s="238">
        <v>43697</v>
      </c>
      <c r="K4" s="238">
        <v>43698</v>
      </c>
      <c r="L4" s="192">
        <v>43711</v>
      </c>
      <c r="M4" s="162">
        <v>42983</v>
      </c>
      <c r="N4" s="61">
        <v>3848</v>
      </c>
      <c r="O4" s="163">
        <f t="shared" si="0"/>
        <v>1924</v>
      </c>
      <c r="P4" s="189">
        <v>17.59</v>
      </c>
      <c r="Q4" s="189">
        <f t="shared" si="1"/>
        <v>14.59</v>
      </c>
      <c r="R4" s="61">
        <v>14</v>
      </c>
    </row>
    <row r="5" spans="1:18" ht="17" x14ac:dyDescent="0.2">
      <c r="A5" s="247" t="s">
        <v>37</v>
      </c>
      <c r="B5" s="247" t="s">
        <v>96</v>
      </c>
      <c r="C5" s="247" t="s">
        <v>448</v>
      </c>
      <c r="D5" s="22">
        <v>403</v>
      </c>
      <c r="E5" s="49">
        <v>136</v>
      </c>
      <c r="F5" s="57">
        <v>680</v>
      </c>
      <c r="G5" s="45">
        <v>3.6764705882352939</v>
      </c>
      <c r="H5" s="45">
        <v>1.3235294117647061</v>
      </c>
      <c r="I5" s="39">
        <f t="shared" ref="I5:I9" si="2">G5*E5</f>
        <v>500</v>
      </c>
      <c r="J5" s="178">
        <v>43697</v>
      </c>
      <c r="K5" s="178">
        <v>43698</v>
      </c>
      <c r="L5" s="192">
        <v>43711</v>
      </c>
      <c r="M5" s="162">
        <v>42983</v>
      </c>
      <c r="N5" s="61">
        <v>3850</v>
      </c>
      <c r="O5" s="163">
        <f t="shared" si="0"/>
        <v>1925</v>
      </c>
      <c r="P5" s="189">
        <v>18.38</v>
      </c>
      <c r="Q5" s="189">
        <f t="shared" si="1"/>
        <v>15.379999999999999</v>
      </c>
      <c r="R5" s="61">
        <v>15</v>
      </c>
    </row>
    <row r="6" spans="1:18" ht="17" x14ac:dyDescent="0.2">
      <c r="A6" s="247" t="s">
        <v>75</v>
      </c>
      <c r="B6" s="247" t="s">
        <v>93</v>
      </c>
      <c r="C6" s="247" t="s">
        <v>448</v>
      </c>
      <c r="D6" s="22" t="s">
        <v>263</v>
      </c>
      <c r="E6" s="49">
        <v>97</v>
      </c>
      <c r="F6" s="57">
        <v>485</v>
      </c>
      <c r="G6" s="45">
        <v>5.1546391752577323</v>
      </c>
      <c r="H6" s="45">
        <v>0</v>
      </c>
      <c r="I6" s="39">
        <f t="shared" si="2"/>
        <v>500.00000000000006</v>
      </c>
      <c r="J6" s="178">
        <v>43697</v>
      </c>
      <c r="K6" s="178">
        <v>43698</v>
      </c>
      <c r="L6" s="192">
        <v>43711</v>
      </c>
      <c r="M6" s="162">
        <v>42983</v>
      </c>
      <c r="N6" s="61">
        <v>3118</v>
      </c>
      <c r="O6" s="163">
        <f t="shared" si="0"/>
        <v>1559</v>
      </c>
      <c r="P6" s="189">
        <v>17.27</v>
      </c>
      <c r="Q6" s="189">
        <f t="shared" si="1"/>
        <v>14.27</v>
      </c>
      <c r="R6" s="61">
        <v>14</v>
      </c>
    </row>
    <row r="7" spans="1:18" ht="17" x14ac:dyDescent="0.2">
      <c r="A7" s="247" t="s">
        <v>92</v>
      </c>
      <c r="B7" s="247" t="s">
        <v>96</v>
      </c>
      <c r="C7" s="247" t="s">
        <v>448</v>
      </c>
      <c r="D7" s="22">
        <v>490</v>
      </c>
      <c r="E7" s="49">
        <v>186</v>
      </c>
      <c r="F7" s="57">
        <v>930</v>
      </c>
      <c r="G7" s="45">
        <v>2.6881720430107525</v>
      </c>
      <c r="H7" s="272">
        <v>2.3118279569892475</v>
      </c>
      <c r="I7" s="39">
        <f t="shared" si="2"/>
        <v>499.99999999999994</v>
      </c>
      <c r="J7" s="178">
        <v>43697</v>
      </c>
      <c r="K7" s="178">
        <v>43698</v>
      </c>
      <c r="L7" s="192">
        <v>43711</v>
      </c>
      <c r="M7" s="162">
        <v>42983</v>
      </c>
      <c r="N7" s="61">
        <v>3253</v>
      </c>
      <c r="O7" s="163">
        <f t="shared" si="0"/>
        <v>1626.5</v>
      </c>
      <c r="P7" s="189">
        <v>18.809999999999999</v>
      </c>
      <c r="Q7" s="189">
        <f t="shared" si="1"/>
        <v>15.809999999999999</v>
      </c>
      <c r="R7" s="61">
        <v>15</v>
      </c>
    </row>
    <row r="8" spans="1:18" ht="17" x14ac:dyDescent="0.2">
      <c r="A8" s="247" t="s">
        <v>92</v>
      </c>
      <c r="B8" s="247" t="s">
        <v>103</v>
      </c>
      <c r="C8" s="247" t="s">
        <v>448</v>
      </c>
      <c r="D8" s="22">
        <v>513</v>
      </c>
      <c r="E8" s="49">
        <v>142</v>
      </c>
      <c r="F8" s="57">
        <v>710</v>
      </c>
      <c r="G8" s="45">
        <v>3.5211267605633805</v>
      </c>
      <c r="H8" s="45">
        <v>1.4788732394366195</v>
      </c>
      <c r="I8" s="39">
        <f t="shared" si="2"/>
        <v>500</v>
      </c>
      <c r="J8" s="273">
        <v>43697</v>
      </c>
      <c r="K8" s="178">
        <v>43698</v>
      </c>
      <c r="L8" s="192">
        <v>43711</v>
      </c>
      <c r="M8" s="162">
        <v>42983</v>
      </c>
      <c r="N8" s="61">
        <v>3735</v>
      </c>
      <c r="O8" s="163">
        <f t="shared" si="0"/>
        <v>1867.5</v>
      </c>
      <c r="P8" s="189">
        <v>29.17</v>
      </c>
      <c r="Q8" s="189">
        <f t="shared" si="1"/>
        <v>26.17</v>
      </c>
      <c r="R8" s="295" t="s">
        <v>236</v>
      </c>
    </row>
    <row r="9" spans="1:18" ht="17" x14ac:dyDescent="0.2">
      <c r="A9" s="247" t="s">
        <v>99</v>
      </c>
      <c r="B9" s="247" t="s">
        <v>96</v>
      </c>
      <c r="C9" s="247" t="s">
        <v>448</v>
      </c>
      <c r="D9" s="22">
        <v>531</v>
      </c>
      <c r="E9" s="49">
        <v>95.4</v>
      </c>
      <c r="F9" s="57">
        <v>477</v>
      </c>
      <c r="G9" s="45">
        <v>5.2410901467505235</v>
      </c>
      <c r="H9" s="45">
        <v>0</v>
      </c>
      <c r="I9" s="39">
        <f t="shared" si="2"/>
        <v>500</v>
      </c>
      <c r="J9" s="178">
        <v>43697</v>
      </c>
      <c r="K9" s="178">
        <v>43698</v>
      </c>
      <c r="L9" s="192">
        <v>43711</v>
      </c>
      <c r="M9" s="162">
        <v>42983</v>
      </c>
      <c r="N9" s="61">
        <v>3784</v>
      </c>
      <c r="O9" s="163">
        <f t="shared" si="0"/>
        <v>1892</v>
      </c>
      <c r="P9" s="189">
        <v>16.68</v>
      </c>
      <c r="Q9" s="189">
        <f t="shared" si="1"/>
        <v>13.68</v>
      </c>
      <c r="R9" s="61">
        <v>13</v>
      </c>
    </row>
    <row r="10" spans="1:18" ht="17" x14ac:dyDescent="0.2">
      <c r="A10" s="247"/>
      <c r="B10" s="247"/>
      <c r="C10" s="247"/>
      <c r="D10" s="22" t="s">
        <v>411</v>
      </c>
      <c r="E10" s="49"/>
      <c r="F10" s="57"/>
      <c r="G10" s="45"/>
      <c r="H10" s="45"/>
      <c r="I10" s="45"/>
      <c r="J10" s="178"/>
      <c r="K10" s="178"/>
      <c r="L10" s="61"/>
      <c r="M10" s="61"/>
      <c r="N10" s="61">
        <v>3840</v>
      </c>
      <c r="O10" s="163">
        <f t="shared" si="0"/>
        <v>1920</v>
      </c>
      <c r="P10" s="189">
        <v>28.2</v>
      </c>
      <c r="Q10" s="189">
        <f t="shared" si="1"/>
        <v>25.2</v>
      </c>
      <c r="R10" s="295" t="s">
        <v>236</v>
      </c>
    </row>
    <row r="11" spans="1:18" x14ac:dyDescent="0.2">
      <c r="A11" s="277" t="s">
        <v>471</v>
      </c>
      <c r="C11" s="275"/>
      <c r="D11" s="227"/>
    </row>
    <row r="12" spans="1:18" x14ac:dyDescent="0.2">
      <c r="A12" s="274" t="s">
        <v>472</v>
      </c>
      <c r="B12" s="274" t="s">
        <v>475</v>
      </c>
      <c r="C12" s="276" t="s">
        <v>480</v>
      </c>
      <c r="D12" s="229" t="s">
        <v>479</v>
      </c>
    </row>
    <row r="13" spans="1:18" x14ac:dyDescent="0.2">
      <c r="A13" s="274" t="s">
        <v>478</v>
      </c>
      <c r="B13" s="276">
        <v>1</v>
      </c>
      <c r="C13" s="276">
        <v>9</v>
      </c>
      <c r="D13" s="279"/>
    </row>
    <row r="14" spans="1:18" x14ac:dyDescent="0.2">
      <c r="A14" s="250" t="s">
        <v>474</v>
      </c>
      <c r="B14" s="226">
        <v>1.7</v>
      </c>
      <c r="C14" s="226">
        <f>B14*$C$13</f>
        <v>15.299999999999999</v>
      </c>
      <c r="D14" s="279"/>
    </row>
    <row r="15" spans="1:18" x14ac:dyDescent="0.2">
      <c r="A15" s="250" t="s">
        <v>491</v>
      </c>
      <c r="B15" s="226">
        <v>7</v>
      </c>
      <c r="C15" s="226">
        <f>B15*$C$13</f>
        <v>63</v>
      </c>
      <c r="D15" s="279">
        <f t="shared" ref="D15:D19" si="3">C15*1.1</f>
        <v>69.300000000000011</v>
      </c>
    </row>
    <row r="16" spans="1:18" x14ac:dyDescent="0.2">
      <c r="A16" s="250" t="s">
        <v>490</v>
      </c>
      <c r="B16" s="226">
        <v>5</v>
      </c>
      <c r="C16" s="226">
        <f t="shared" ref="C16:C19" si="4">B16*$C$13</f>
        <v>45</v>
      </c>
      <c r="D16" s="279">
        <f t="shared" si="3"/>
        <v>49.500000000000007</v>
      </c>
    </row>
    <row r="17" spans="1:13" x14ac:dyDescent="0.2">
      <c r="A17" s="250" t="s">
        <v>476</v>
      </c>
      <c r="B17" s="226">
        <v>1</v>
      </c>
      <c r="C17" s="226">
        <f t="shared" si="4"/>
        <v>9</v>
      </c>
      <c r="D17" s="279">
        <f t="shared" si="3"/>
        <v>9.9</v>
      </c>
    </row>
    <row r="18" spans="1:13" ht="34" x14ac:dyDescent="0.2">
      <c r="A18" s="278" t="s">
        <v>477</v>
      </c>
      <c r="B18" s="226">
        <v>1.2</v>
      </c>
      <c r="C18" s="226">
        <f t="shared" si="4"/>
        <v>10.799999999999999</v>
      </c>
      <c r="D18" s="279">
        <f t="shared" si="3"/>
        <v>11.879999999999999</v>
      </c>
    </row>
    <row r="19" spans="1:13" x14ac:dyDescent="0.2">
      <c r="A19" s="250" t="s">
        <v>492</v>
      </c>
      <c r="B19" s="226">
        <v>14.1</v>
      </c>
      <c r="C19" s="226">
        <f t="shared" si="4"/>
        <v>126.89999999999999</v>
      </c>
      <c r="D19" s="279">
        <f t="shared" si="3"/>
        <v>139.59</v>
      </c>
    </row>
    <row r="20" spans="1:13" x14ac:dyDescent="0.2">
      <c r="A20" s="280" t="s">
        <v>481</v>
      </c>
      <c r="B20" s="281">
        <f>SUM(B15:B19)</f>
        <v>28.299999999999997</v>
      </c>
      <c r="C20" s="281">
        <f>SUM(C15:C19)</f>
        <v>254.7</v>
      </c>
      <c r="D20" s="282">
        <f>SUM(D15:D19)</f>
        <v>280.17</v>
      </c>
    </row>
    <row r="23" spans="1:13" ht="17" x14ac:dyDescent="0.2">
      <c r="A23" s="284" t="s">
        <v>482</v>
      </c>
      <c r="B23" s="284"/>
    </row>
    <row r="24" spans="1:13" ht="17" x14ac:dyDescent="0.2">
      <c r="A24" s="283" t="s">
        <v>483</v>
      </c>
      <c r="B24" s="30">
        <v>100</v>
      </c>
    </row>
    <row r="25" spans="1:13" ht="17" x14ac:dyDescent="0.2">
      <c r="A25" s="283" t="s">
        <v>484</v>
      </c>
      <c r="B25" s="30">
        <v>2.5</v>
      </c>
    </row>
    <row r="26" spans="1:13" x14ac:dyDescent="0.2">
      <c r="A26" s="250" t="s">
        <v>485</v>
      </c>
      <c r="B26" s="285">
        <v>20</v>
      </c>
    </row>
    <row r="27" spans="1:13" x14ac:dyDescent="0.2">
      <c r="A27" s="250" t="s">
        <v>486</v>
      </c>
      <c r="B27" s="288">
        <f>(B25*B26)/B24</f>
        <v>0.5</v>
      </c>
      <c r="D27" s="286"/>
    </row>
    <row r="28" spans="1:13" x14ac:dyDescent="0.2">
      <c r="A28" s="250" t="s">
        <v>487</v>
      </c>
      <c r="B28" s="289">
        <f>B26-B27</f>
        <v>19.5</v>
      </c>
    </row>
    <row r="29" spans="1:13" x14ac:dyDescent="0.2">
      <c r="A29" s="280" t="s">
        <v>489</v>
      </c>
      <c r="B29" s="287">
        <f>B27/B26</f>
        <v>2.5000000000000001E-2</v>
      </c>
    </row>
    <row r="30" spans="1:13" x14ac:dyDescent="0.2">
      <c r="A30" s="280" t="s">
        <v>488</v>
      </c>
      <c r="B30" s="287">
        <f>(B27*B24)/B26</f>
        <v>2.5</v>
      </c>
    </row>
    <row r="32" spans="1:13" x14ac:dyDescent="0.2">
      <c r="A32" s="250" t="s">
        <v>504</v>
      </c>
      <c r="B32" s="226" t="s">
        <v>473</v>
      </c>
      <c r="C32" s="226" t="s">
        <v>508</v>
      </c>
      <c r="D32" s="290" t="s">
        <v>509</v>
      </c>
      <c r="E32" s="290"/>
      <c r="F32" s="290"/>
      <c r="G32" s="290"/>
      <c r="H32" s="290"/>
      <c r="I32" s="290"/>
      <c r="J32" s="290"/>
      <c r="K32" s="290"/>
      <c r="L32" s="290"/>
      <c r="M32" s="290"/>
    </row>
    <row r="33" spans="1:15" x14ac:dyDescent="0.2">
      <c r="A33" s="250" t="s">
        <v>507</v>
      </c>
      <c r="B33" s="226">
        <v>1</v>
      </c>
      <c r="C33" s="226">
        <v>4</v>
      </c>
      <c r="D33" s="290"/>
      <c r="E33" s="290"/>
      <c r="F33" s="290"/>
      <c r="G33" s="290"/>
      <c r="H33" s="290"/>
      <c r="I33" s="290"/>
      <c r="J33" s="290"/>
      <c r="K33" s="290"/>
      <c r="L33" s="290"/>
      <c r="M33" s="290"/>
    </row>
    <row r="34" spans="1:15" x14ac:dyDescent="0.2">
      <c r="A34" s="250" t="s">
        <v>505</v>
      </c>
      <c r="B34" s="302">
        <v>7</v>
      </c>
      <c r="C34" s="290">
        <f>($C$33+1)*B34</f>
        <v>35</v>
      </c>
      <c r="D34" s="303">
        <f>C34*1.1</f>
        <v>38.5</v>
      </c>
      <c r="E34" s="291"/>
      <c r="F34" s="250"/>
      <c r="G34" s="250"/>
      <c r="H34" s="250"/>
      <c r="I34" s="250"/>
      <c r="J34" s="250"/>
      <c r="K34" s="250"/>
      <c r="L34" s="250"/>
      <c r="M34" s="250"/>
      <c r="O34" s="159"/>
    </row>
    <row r="35" spans="1:15" x14ac:dyDescent="0.2">
      <c r="A35" s="250" t="s">
        <v>506</v>
      </c>
      <c r="B35" s="302">
        <v>1</v>
      </c>
      <c r="C35" s="290">
        <f>($C$33+1)*B35</f>
        <v>5</v>
      </c>
      <c r="D35" s="303">
        <f>C35*1.1</f>
        <v>5.5</v>
      </c>
      <c r="E35" s="291"/>
      <c r="F35" s="292"/>
      <c r="G35" s="250"/>
      <c r="H35" s="250"/>
      <c r="I35" s="250"/>
      <c r="J35" s="250"/>
      <c r="K35" s="250"/>
      <c r="L35" s="250"/>
      <c r="M35" s="250"/>
    </row>
    <row r="36" spans="1:15" x14ac:dyDescent="0.2"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250"/>
    </row>
    <row r="37" spans="1:15" x14ac:dyDescent="0.2"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50"/>
    </row>
    <row r="38" spans="1:15" x14ac:dyDescent="0.2"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250"/>
    </row>
    <row r="39" spans="1:15" x14ac:dyDescent="0.2"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250"/>
    </row>
    <row r="40" spans="1:15" x14ac:dyDescent="0.2"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250"/>
    </row>
    <row r="41" spans="1:15" x14ac:dyDescent="0.2"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2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12B5-5179-0F4D-8022-E3D2A9273370}">
  <dimension ref="A2:J31"/>
  <sheetViews>
    <sheetView workbookViewId="0">
      <selection activeCell="B30" sqref="B30"/>
    </sheetView>
  </sheetViews>
  <sheetFormatPr baseColWidth="10" defaultRowHeight="16" x14ac:dyDescent="0.2"/>
  <cols>
    <col min="1" max="1" width="30.1640625" customWidth="1"/>
    <col min="2" max="4" width="10.83203125" customWidth="1"/>
    <col min="5" max="5" width="14.5" customWidth="1"/>
    <col min="6" max="6" width="12.83203125" customWidth="1"/>
    <col min="7" max="7" width="27.5" customWidth="1"/>
  </cols>
  <sheetData>
    <row r="2" spans="1:10" x14ac:dyDescent="0.2">
      <c r="A2" s="160" t="s">
        <v>288</v>
      </c>
      <c r="B2" s="161" t="s">
        <v>292</v>
      </c>
      <c r="C2" s="192" t="s">
        <v>309</v>
      </c>
      <c r="D2" s="162">
        <v>43677</v>
      </c>
      <c r="E2" s="195" t="s">
        <v>308</v>
      </c>
      <c r="F2" t="s">
        <v>310</v>
      </c>
      <c r="G2" s="203" t="s">
        <v>440</v>
      </c>
      <c r="H2" s="203" t="s">
        <v>441</v>
      </c>
    </row>
    <row r="3" spans="1:10" x14ac:dyDescent="0.2">
      <c r="A3" s="160" t="s">
        <v>287</v>
      </c>
      <c r="B3" s="163">
        <v>1</v>
      </c>
      <c r="C3" s="61">
        <v>46</v>
      </c>
      <c r="D3" s="61">
        <v>30</v>
      </c>
      <c r="E3" s="61">
        <v>32</v>
      </c>
      <c r="F3" s="164">
        <f t="shared" ref="F3:F10" si="0">E3*3</f>
        <v>96</v>
      </c>
      <c r="G3" s="208">
        <v>3</v>
      </c>
      <c r="H3" s="61">
        <v>46</v>
      </c>
    </row>
    <row r="4" spans="1:10" x14ac:dyDescent="0.2">
      <c r="A4" s="160" t="s">
        <v>283</v>
      </c>
      <c r="B4" s="164">
        <f>B3</f>
        <v>1</v>
      </c>
      <c r="C4" s="61">
        <f>(C3+2)*2</f>
        <v>96</v>
      </c>
      <c r="D4" s="61">
        <f>(D3+1)*2</f>
        <v>62</v>
      </c>
      <c r="E4" s="61">
        <f>(E3+2)*2</f>
        <v>68</v>
      </c>
      <c r="F4" s="164">
        <f t="shared" si="0"/>
        <v>204</v>
      </c>
      <c r="G4">
        <v>6</v>
      </c>
      <c r="H4" s="61">
        <f>(H3+2)*2</f>
        <v>96</v>
      </c>
    </row>
    <row r="5" spans="1:10" x14ac:dyDescent="0.2">
      <c r="A5" s="160" t="s">
        <v>284</v>
      </c>
      <c r="B5" s="164">
        <v>1</v>
      </c>
      <c r="C5" s="164">
        <f>C4*$B$5</f>
        <v>96</v>
      </c>
      <c r="D5" s="164">
        <f>D4*$B$5</f>
        <v>62</v>
      </c>
      <c r="E5" s="164">
        <f>E4*$B$5</f>
        <v>68</v>
      </c>
      <c r="F5" s="164">
        <f t="shared" si="0"/>
        <v>204</v>
      </c>
      <c r="G5" s="164">
        <f>G4*$B$5</f>
        <v>6</v>
      </c>
      <c r="H5" s="164">
        <f>H4*$B$5</f>
        <v>96</v>
      </c>
    </row>
    <row r="6" spans="1:10" x14ac:dyDescent="0.2">
      <c r="A6" s="160" t="s">
        <v>285</v>
      </c>
      <c r="B6" s="164">
        <v>10</v>
      </c>
      <c r="C6" s="164">
        <f>($B$6*C4)*1.1</f>
        <v>1056</v>
      </c>
      <c r="D6" s="164">
        <f>($B$6*D4)*1.1</f>
        <v>682</v>
      </c>
      <c r="E6" s="164">
        <f>($B$6*E4)*1.1</f>
        <v>748.00000000000011</v>
      </c>
      <c r="F6" s="164">
        <f t="shared" si="0"/>
        <v>2244.0000000000005</v>
      </c>
      <c r="G6" s="164">
        <f>($B$6*G4)*1.1</f>
        <v>66</v>
      </c>
      <c r="H6" s="164">
        <f>($B$6*H4)*1.1</f>
        <v>1056</v>
      </c>
    </row>
    <row r="7" spans="1:10" x14ac:dyDescent="0.2">
      <c r="A7" s="160" t="s">
        <v>290</v>
      </c>
      <c r="B7" s="164">
        <v>0.5</v>
      </c>
      <c r="C7" s="164">
        <f>($B$7*C4)*1.1</f>
        <v>52.800000000000004</v>
      </c>
      <c r="D7" s="164">
        <f>($B$7*D4)*1.1</f>
        <v>34.1</v>
      </c>
      <c r="E7" s="164">
        <f>($B$7*E4)*1.1</f>
        <v>37.400000000000006</v>
      </c>
      <c r="F7" s="164">
        <f t="shared" si="0"/>
        <v>112.20000000000002</v>
      </c>
      <c r="G7" s="164">
        <f>($B$7*G4)*1.1</f>
        <v>3.3000000000000003</v>
      </c>
      <c r="H7" s="164">
        <f>($B$7*H4)*1.1</f>
        <v>52.800000000000004</v>
      </c>
    </row>
    <row r="8" spans="1:10" x14ac:dyDescent="0.2">
      <c r="A8" s="160" t="s">
        <v>291</v>
      </c>
      <c r="B8" s="164">
        <v>0.5</v>
      </c>
      <c r="C8" s="164">
        <f>($B$8*C4)*1.1</f>
        <v>52.800000000000004</v>
      </c>
      <c r="D8" s="164">
        <f>($B$8*D4)*1.1</f>
        <v>34.1</v>
      </c>
      <c r="E8" s="164">
        <f>($B$8*E4)*1.1</f>
        <v>37.400000000000006</v>
      </c>
      <c r="F8" s="164">
        <f t="shared" si="0"/>
        <v>112.20000000000002</v>
      </c>
      <c r="G8" s="164">
        <f>($B$8*G4)*1.1</f>
        <v>3.3000000000000003</v>
      </c>
      <c r="H8" s="164">
        <f>($B$8*H4)*1.1</f>
        <v>52.800000000000004</v>
      </c>
    </row>
    <row r="9" spans="1:10" x14ac:dyDescent="0.2">
      <c r="A9" s="160" t="s">
        <v>286</v>
      </c>
      <c r="B9" s="164">
        <v>8</v>
      </c>
      <c r="C9" s="164">
        <f>($B$9*C4)*1.1</f>
        <v>844.80000000000007</v>
      </c>
      <c r="D9" s="164">
        <f>($B$9*D4)*1.1</f>
        <v>545.6</v>
      </c>
      <c r="E9" s="164">
        <f>($B$9*E4)*1.1</f>
        <v>598.40000000000009</v>
      </c>
      <c r="F9" s="164">
        <f t="shared" si="0"/>
        <v>1795.2000000000003</v>
      </c>
      <c r="G9" s="164">
        <f>($B$9*G4)*1.1</f>
        <v>52.800000000000004</v>
      </c>
      <c r="H9" s="164">
        <f>($B$9*H4)*1.1</f>
        <v>844.80000000000007</v>
      </c>
      <c r="I9" s="166"/>
      <c r="J9" s="166"/>
    </row>
    <row r="10" spans="1:10" x14ac:dyDescent="0.2">
      <c r="A10" s="160" t="s">
        <v>289</v>
      </c>
      <c r="B10" s="165">
        <f>SUM(B5:B9)</f>
        <v>20</v>
      </c>
      <c r="C10" s="165">
        <f>SUM(C6:C9)</f>
        <v>2006.4</v>
      </c>
      <c r="D10" s="165">
        <f>SUM(D6:D9)</f>
        <v>1295.8000000000002</v>
      </c>
      <c r="E10" s="165">
        <f>SUM(E6:E9)</f>
        <v>1421.2000000000003</v>
      </c>
      <c r="F10" s="164">
        <f t="shared" si="0"/>
        <v>4263.6000000000004</v>
      </c>
      <c r="G10" s="165">
        <f>SUM(G6:G9)</f>
        <v>125.4</v>
      </c>
      <c r="H10" s="165">
        <f>SUM(H6:H9)</f>
        <v>2006.4</v>
      </c>
      <c r="I10" s="209"/>
      <c r="J10" s="166"/>
    </row>
    <row r="11" spans="1:10" x14ac:dyDescent="0.2">
      <c r="A11" s="191"/>
      <c r="C11" s="159"/>
      <c r="D11" s="159"/>
      <c r="F11" s="166"/>
      <c r="G11" s="167"/>
      <c r="H11" s="168"/>
      <c r="I11" s="169"/>
      <c r="J11" s="166"/>
    </row>
    <row r="12" spans="1:10" x14ac:dyDescent="0.2">
      <c r="A12" s="190" t="s">
        <v>301</v>
      </c>
      <c r="B12" s="193">
        <v>100</v>
      </c>
      <c r="C12" s="159"/>
      <c r="F12" s="166"/>
      <c r="G12" s="167"/>
      <c r="H12" s="170"/>
      <c r="I12" s="171"/>
      <c r="J12" s="166"/>
    </row>
    <row r="13" spans="1:10" x14ac:dyDescent="0.2">
      <c r="A13" s="190" t="s">
        <v>302</v>
      </c>
      <c r="B13" s="193">
        <v>10</v>
      </c>
      <c r="F13" s="166"/>
      <c r="G13" s="167"/>
      <c r="H13" s="172"/>
      <c r="I13" s="171"/>
      <c r="J13" s="166"/>
    </row>
    <row r="14" spans="1:10" x14ac:dyDescent="0.2">
      <c r="A14" s="190" t="s">
        <v>303</v>
      </c>
      <c r="B14" s="193">
        <f>F7</f>
        <v>112.20000000000002</v>
      </c>
      <c r="F14" s="166"/>
      <c r="G14" s="167"/>
      <c r="H14" s="172"/>
      <c r="I14" s="172"/>
      <c r="J14" s="112"/>
    </row>
    <row r="15" spans="1:10" x14ac:dyDescent="0.2">
      <c r="A15" s="190" t="s">
        <v>311</v>
      </c>
      <c r="B15">
        <v>12</v>
      </c>
      <c r="F15" s="166"/>
      <c r="G15" s="167"/>
      <c r="H15" s="172"/>
      <c r="I15" s="172"/>
      <c r="J15" s="112"/>
    </row>
    <row r="16" spans="1:10" x14ac:dyDescent="0.2">
      <c r="A16" s="194" t="s">
        <v>312</v>
      </c>
      <c r="B16">
        <f>(B15*10)-B15</f>
        <v>108</v>
      </c>
      <c r="F16" s="166"/>
      <c r="G16" s="167"/>
      <c r="H16" s="172"/>
      <c r="I16" s="172"/>
      <c r="J16" s="112"/>
    </row>
    <row r="17" spans="1:10" x14ac:dyDescent="0.2">
      <c r="A17" s="196" t="s">
        <v>313</v>
      </c>
      <c r="B17" s="197">
        <f>B15*B12/(B15+B16)</f>
        <v>10</v>
      </c>
      <c r="F17" s="166"/>
      <c r="G17" s="167"/>
      <c r="H17" s="172"/>
      <c r="I17" s="172"/>
      <c r="J17" s="112"/>
    </row>
    <row r="18" spans="1:10" x14ac:dyDescent="0.2">
      <c r="F18" s="166"/>
      <c r="G18" s="167"/>
      <c r="H18" s="172"/>
      <c r="I18" s="172"/>
      <c r="J18" s="112"/>
    </row>
    <row r="19" spans="1:10" x14ac:dyDescent="0.2">
      <c r="A19" s="194" t="s">
        <v>304</v>
      </c>
      <c r="B19">
        <f>74+52</f>
        <v>126</v>
      </c>
      <c r="F19" s="166"/>
      <c r="G19" s="167"/>
      <c r="H19" s="172"/>
      <c r="I19" s="172"/>
      <c r="J19" s="166"/>
    </row>
    <row r="20" spans="1:10" x14ac:dyDescent="0.2">
      <c r="A20" s="194" t="s">
        <v>305</v>
      </c>
      <c r="B20">
        <f>B19-D3</f>
        <v>96</v>
      </c>
      <c r="F20" s="166"/>
      <c r="G20" s="167"/>
      <c r="H20" s="172"/>
      <c r="I20" s="172"/>
      <c r="J20" s="166"/>
    </row>
    <row r="21" spans="1:10" x14ac:dyDescent="0.2">
      <c r="A21" s="194" t="s">
        <v>306</v>
      </c>
      <c r="B21">
        <f>B20/3</f>
        <v>32</v>
      </c>
      <c r="F21" s="166"/>
      <c r="G21" s="167"/>
      <c r="H21" s="173"/>
      <c r="I21" s="173"/>
      <c r="J21" s="166"/>
    </row>
    <row r="22" spans="1:10" x14ac:dyDescent="0.2">
      <c r="A22" s="194" t="s">
        <v>307</v>
      </c>
      <c r="B22">
        <v>3</v>
      </c>
      <c r="F22" s="166"/>
      <c r="G22" s="166"/>
      <c r="H22" s="166"/>
      <c r="I22" s="166"/>
      <c r="J22" s="166"/>
    </row>
    <row r="23" spans="1:10" x14ac:dyDescent="0.2">
      <c r="F23" s="166"/>
      <c r="G23" s="166"/>
      <c r="H23" s="166"/>
      <c r="I23" s="166"/>
      <c r="J23" s="166"/>
    </row>
    <row r="24" spans="1:10" x14ac:dyDescent="0.2">
      <c r="F24" s="166"/>
      <c r="G24" s="166"/>
      <c r="H24" s="166"/>
      <c r="I24" s="166"/>
      <c r="J24" s="166"/>
    </row>
    <row r="25" spans="1:10" x14ac:dyDescent="0.2">
      <c r="A25" s="304" t="s">
        <v>435</v>
      </c>
      <c r="B25" s="304"/>
      <c r="F25" s="166"/>
      <c r="G25" s="166"/>
      <c r="H25" s="166"/>
      <c r="I25" s="166"/>
      <c r="J25" s="166"/>
    </row>
    <row r="26" spans="1:10" x14ac:dyDescent="0.2">
      <c r="A26" s="204" t="s">
        <v>301</v>
      </c>
      <c r="B26" s="205">
        <v>100</v>
      </c>
    </row>
    <row r="27" spans="1:10" x14ac:dyDescent="0.2">
      <c r="A27" s="204" t="s">
        <v>302</v>
      </c>
      <c r="B27" s="205">
        <v>10</v>
      </c>
    </row>
    <row r="28" spans="1:10" x14ac:dyDescent="0.2">
      <c r="A28" s="204" t="s">
        <v>303</v>
      </c>
      <c r="B28" s="205">
        <v>10</v>
      </c>
    </row>
    <row r="29" spans="1:10" x14ac:dyDescent="0.2">
      <c r="A29" s="204" t="s">
        <v>311</v>
      </c>
      <c r="B29" s="61">
        <v>5.5</v>
      </c>
      <c r="C29">
        <f>B29+B30</f>
        <v>55</v>
      </c>
    </row>
    <row r="30" spans="1:10" x14ac:dyDescent="0.2">
      <c r="A30" s="204" t="s">
        <v>312</v>
      </c>
      <c r="B30" s="61">
        <f>(B29*10)-B29</f>
        <v>49.5</v>
      </c>
    </row>
    <row r="31" spans="1:10" x14ac:dyDescent="0.2">
      <c r="A31" s="206" t="s">
        <v>313</v>
      </c>
      <c r="B31" s="207">
        <f>B29*B26/(B29+B30)</f>
        <v>10</v>
      </c>
    </row>
  </sheetData>
  <mergeCells count="1">
    <mergeCell ref="A25:B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4CA4-82CE-1D4C-BCE0-F34524DFC50E}">
  <dimension ref="A1:I64"/>
  <sheetViews>
    <sheetView topLeftCell="A35" workbookViewId="0">
      <selection activeCell="M20" sqref="M20"/>
    </sheetView>
  </sheetViews>
  <sheetFormatPr baseColWidth="10" defaultRowHeight="16" x14ac:dyDescent="0.2"/>
  <cols>
    <col min="5" max="5" width="10.83203125" style="158"/>
  </cols>
  <sheetData>
    <row r="1" spans="1:9" x14ac:dyDescent="0.2">
      <c r="A1" t="s">
        <v>317</v>
      </c>
      <c r="B1" t="s">
        <v>318</v>
      </c>
      <c r="C1" t="s">
        <v>319</v>
      </c>
      <c r="D1" t="s">
        <v>320</v>
      </c>
      <c r="E1" s="158" t="s">
        <v>321</v>
      </c>
      <c r="F1" t="s">
        <v>322</v>
      </c>
      <c r="G1" t="s">
        <v>323</v>
      </c>
      <c r="H1" t="s">
        <v>324</v>
      </c>
      <c r="I1" t="s">
        <v>325</v>
      </c>
    </row>
    <row r="2" spans="1:9" x14ac:dyDescent="0.2">
      <c r="A2" t="s">
        <v>326</v>
      </c>
      <c r="B2" t="s">
        <v>327</v>
      </c>
      <c r="C2" t="s">
        <v>417</v>
      </c>
      <c r="D2" t="s">
        <v>328</v>
      </c>
      <c r="E2" s="158">
        <v>401</v>
      </c>
      <c r="F2" t="s">
        <v>329</v>
      </c>
      <c r="G2" t="s">
        <v>329</v>
      </c>
      <c r="H2" t="s">
        <v>329</v>
      </c>
      <c r="I2" t="s">
        <v>329</v>
      </c>
    </row>
    <row r="3" spans="1:9" x14ac:dyDescent="0.2">
      <c r="A3" t="s">
        <v>330</v>
      </c>
      <c r="B3" t="s">
        <v>327</v>
      </c>
      <c r="C3" t="s">
        <v>417</v>
      </c>
      <c r="D3" t="s">
        <v>328</v>
      </c>
      <c r="E3" s="158">
        <v>401</v>
      </c>
      <c r="F3" t="s">
        <v>329</v>
      </c>
      <c r="G3" t="s">
        <v>329</v>
      </c>
      <c r="H3" t="s">
        <v>329</v>
      </c>
      <c r="I3" t="s">
        <v>329</v>
      </c>
    </row>
    <row r="4" spans="1:9" x14ac:dyDescent="0.2">
      <c r="A4" t="s">
        <v>331</v>
      </c>
      <c r="B4" t="s">
        <v>327</v>
      </c>
      <c r="C4" t="s">
        <v>417</v>
      </c>
      <c r="D4" t="s">
        <v>328</v>
      </c>
      <c r="E4" s="158">
        <v>402</v>
      </c>
      <c r="F4" t="s">
        <v>329</v>
      </c>
      <c r="G4" t="s">
        <v>329</v>
      </c>
      <c r="H4" t="s">
        <v>329</v>
      </c>
      <c r="I4" t="s">
        <v>329</v>
      </c>
    </row>
    <row r="5" spans="1:9" x14ac:dyDescent="0.2">
      <c r="A5" t="s">
        <v>332</v>
      </c>
      <c r="B5" t="s">
        <v>327</v>
      </c>
      <c r="C5" t="s">
        <v>417</v>
      </c>
      <c r="D5" t="s">
        <v>328</v>
      </c>
      <c r="E5" s="158">
        <v>402</v>
      </c>
      <c r="F5" t="s">
        <v>329</v>
      </c>
      <c r="G5" t="s">
        <v>329</v>
      </c>
      <c r="H5" t="s">
        <v>329</v>
      </c>
      <c r="I5" t="s">
        <v>329</v>
      </c>
    </row>
    <row r="6" spans="1:9" x14ac:dyDescent="0.2">
      <c r="A6" t="s">
        <v>333</v>
      </c>
      <c r="B6" t="s">
        <v>327</v>
      </c>
      <c r="C6" t="s">
        <v>417</v>
      </c>
      <c r="D6" t="s">
        <v>328</v>
      </c>
      <c r="E6" s="158">
        <v>411</v>
      </c>
      <c r="F6" t="s">
        <v>329</v>
      </c>
      <c r="G6" t="s">
        <v>329</v>
      </c>
      <c r="H6" t="s">
        <v>329</v>
      </c>
      <c r="I6" t="s">
        <v>329</v>
      </c>
    </row>
    <row r="7" spans="1:9" x14ac:dyDescent="0.2">
      <c r="A7" t="s">
        <v>334</v>
      </c>
      <c r="B7" t="s">
        <v>327</v>
      </c>
      <c r="C7" t="s">
        <v>417</v>
      </c>
      <c r="D7" t="s">
        <v>328</v>
      </c>
      <c r="E7" s="158">
        <v>411</v>
      </c>
      <c r="F7" t="s">
        <v>329</v>
      </c>
      <c r="G7" t="s">
        <v>329</v>
      </c>
      <c r="H7" t="s">
        <v>329</v>
      </c>
      <c r="I7" t="s">
        <v>329</v>
      </c>
    </row>
    <row r="8" spans="1:9" x14ac:dyDescent="0.2">
      <c r="A8" t="s">
        <v>335</v>
      </c>
      <c r="B8" t="s">
        <v>327</v>
      </c>
      <c r="C8" t="s">
        <v>417</v>
      </c>
      <c r="D8" t="s">
        <v>328</v>
      </c>
      <c r="E8" s="158">
        <v>412</v>
      </c>
      <c r="F8" t="s">
        <v>329</v>
      </c>
      <c r="G8" t="s">
        <v>329</v>
      </c>
      <c r="H8" t="s">
        <v>329</v>
      </c>
      <c r="I8" t="s">
        <v>329</v>
      </c>
    </row>
    <row r="9" spans="1:9" x14ac:dyDescent="0.2">
      <c r="A9" t="s">
        <v>336</v>
      </c>
      <c r="B9" t="s">
        <v>327</v>
      </c>
      <c r="C9" t="s">
        <v>417</v>
      </c>
      <c r="D9" t="s">
        <v>328</v>
      </c>
      <c r="E9" s="158">
        <v>412</v>
      </c>
      <c r="F9" t="s">
        <v>329</v>
      </c>
      <c r="G9" t="s">
        <v>329</v>
      </c>
      <c r="H9" t="s">
        <v>329</v>
      </c>
      <c r="I9" t="s">
        <v>329</v>
      </c>
    </row>
    <row r="10" spans="1:9" x14ac:dyDescent="0.2">
      <c r="A10" t="s">
        <v>337</v>
      </c>
      <c r="B10" t="s">
        <v>327</v>
      </c>
      <c r="C10" t="s">
        <v>417</v>
      </c>
      <c r="D10" t="s">
        <v>328</v>
      </c>
      <c r="E10" s="158">
        <v>421</v>
      </c>
      <c r="F10" t="s">
        <v>329</v>
      </c>
      <c r="G10" t="s">
        <v>329</v>
      </c>
      <c r="H10" t="s">
        <v>329</v>
      </c>
      <c r="I10" t="s">
        <v>329</v>
      </c>
    </row>
    <row r="11" spans="1:9" x14ac:dyDescent="0.2">
      <c r="A11" t="s">
        <v>338</v>
      </c>
      <c r="B11" t="s">
        <v>327</v>
      </c>
      <c r="C11" t="s">
        <v>417</v>
      </c>
      <c r="D11" t="s">
        <v>328</v>
      </c>
      <c r="E11" s="158">
        <v>421</v>
      </c>
      <c r="F11" t="s">
        <v>329</v>
      </c>
      <c r="G11" t="s">
        <v>329</v>
      </c>
      <c r="H11" t="s">
        <v>329</v>
      </c>
      <c r="I11" t="s">
        <v>329</v>
      </c>
    </row>
    <row r="12" spans="1:9" x14ac:dyDescent="0.2">
      <c r="A12" t="s">
        <v>339</v>
      </c>
      <c r="B12" t="s">
        <v>327</v>
      </c>
      <c r="C12" t="s">
        <v>417</v>
      </c>
      <c r="D12" t="s">
        <v>328</v>
      </c>
      <c r="E12" s="158" t="s">
        <v>255</v>
      </c>
      <c r="F12" t="s">
        <v>329</v>
      </c>
      <c r="G12" t="s">
        <v>329</v>
      </c>
      <c r="H12" t="s">
        <v>329</v>
      </c>
      <c r="I12" t="s">
        <v>329</v>
      </c>
    </row>
    <row r="13" spans="1:9" x14ac:dyDescent="0.2">
      <c r="A13" t="s">
        <v>340</v>
      </c>
      <c r="B13" t="s">
        <v>327</v>
      </c>
      <c r="C13" t="s">
        <v>417</v>
      </c>
      <c r="D13" t="s">
        <v>328</v>
      </c>
      <c r="E13" s="158" t="s">
        <v>255</v>
      </c>
      <c r="F13" t="s">
        <v>329</v>
      </c>
      <c r="G13" t="s">
        <v>329</v>
      </c>
      <c r="H13" t="s">
        <v>329</v>
      </c>
      <c r="I13" t="s">
        <v>329</v>
      </c>
    </row>
    <row r="14" spans="1:9" x14ac:dyDescent="0.2">
      <c r="A14" t="s">
        <v>341</v>
      </c>
      <c r="B14" t="s">
        <v>327</v>
      </c>
      <c r="C14" t="s">
        <v>417</v>
      </c>
      <c r="D14" t="s">
        <v>328</v>
      </c>
      <c r="E14" s="158">
        <v>432</v>
      </c>
      <c r="F14" t="s">
        <v>329</v>
      </c>
      <c r="G14" t="s">
        <v>329</v>
      </c>
      <c r="H14" t="s">
        <v>329</v>
      </c>
      <c r="I14" t="s">
        <v>329</v>
      </c>
    </row>
    <row r="15" spans="1:9" x14ac:dyDescent="0.2">
      <c r="A15" t="s">
        <v>342</v>
      </c>
      <c r="B15" t="s">
        <v>327</v>
      </c>
      <c r="C15" t="s">
        <v>417</v>
      </c>
      <c r="D15" t="s">
        <v>328</v>
      </c>
      <c r="E15" s="158">
        <v>432</v>
      </c>
      <c r="F15" t="s">
        <v>329</v>
      </c>
      <c r="G15" t="s">
        <v>329</v>
      </c>
      <c r="H15" t="s">
        <v>329</v>
      </c>
      <c r="I15" t="s">
        <v>329</v>
      </c>
    </row>
    <row r="16" spans="1:9" x14ac:dyDescent="0.2">
      <c r="A16" t="s">
        <v>343</v>
      </c>
      <c r="B16" t="s">
        <v>327</v>
      </c>
      <c r="C16" t="s">
        <v>417</v>
      </c>
      <c r="D16" t="s">
        <v>328</v>
      </c>
      <c r="E16" s="158">
        <v>441</v>
      </c>
      <c r="F16" t="s">
        <v>329</v>
      </c>
      <c r="G16" t="s">
        <v>329</v>
      </c>
      <c r="H16" t="s">
        <v>329</v>
      </c>
      <c r="I16" t="s">
        <v>329</v>
      </c>
    </row>
    <row r="17" spans="1:9" x14ac:dyDescent="0.2">
      <c r="A17" t="s">
        <v>344</v>
      </c>
      <c r="B17" t="s">
        <v>327</v>
      </c>
      <c r="C17" t="s">
        <v>417</v>
      </c>
      <c r="D17" t="s">
        <v>328</v>
      </c>
      <c r="E17" s="158">
        <v>441</v>
      </c>
      <c r="F17" t="s">
        <v>329</v>
      </c>
      <c r="G17" t="s">
        <v>329</v>
      </c>
      <c r="H17" t="s">
        <v>329</v>
      </c>
      <c r="I17" t="s">
        <v>329</v>
      </c>
    </row>
    <row r="18" spans="1:9" x14ac:dyDescent="0.2">
      <c r="A18" t="s">
        <v>345</v>
      </c>
      <c r="B18" t="s">
        <v>327</v>
      </c>
      <c r="C18" t="s">
        <v>417</v>
      </c>
      <c r="D18" t="s">
        <v>328</v>
      </c>
      <c r="E18" s="158" t="s">
        <v>257</v>
      </c>
      <c r="F18" t="s">
        <v>329</v>
      </c>
      <c r="G18" t="s">
        <v>329</v>
      </c>
      <c r="H18" t="s">
        <v>329</v>
      </c>
      <c r="I18" t="s">
        <v>329</v>
      </c>
    </row>
    <row r="19" spans="1:9" x14ac:dyDescent="0.2">
      <c r="A19" t="s">
        <v>346</v>
      </c>
      <c r="B19" t="s">
        <v>327</v>
      </c>
      <c r="C19" t="s">
        <v>417</v>
      </c>
      <c r="D19" t="s">
        <v>328</v>
      </c>
      <c r="E19" s="158" t="s">
        <v>257</v>
      </c>
      <c r="F19" t="s">
        <v>329</v>
      </c>
      <c r="G19" t="s">
        <v>329</v>
      </c>
      <c r="H19" t="s">
        <v>329</v>
      </c>
      <c r="I19" t="s">
        <v>329</v>
      </c>
    </row>
    <row r="20" spans="1:9" x14ac:dyDescent="0.2">
      <c r="A20" t="s">
        <v>347</v>
      </c>
      <c r="B20" t="s">
        <v>327</v>
      </c>
      <c r="C20" t="s">
        <v>417</v>
      </c>
      <c r="D20" t="s">
        <v>328</v>
      </c>
      <c r="E20" s="158">
        <v>451</v>
      </c>
      <c r="F20" t="s">
        <v>329</v>
      </c>
      <c r="G20" t="s">
        <v>329</v>
      </c>
      <c r="H20" t="s">
        <v>329</v>
      </c>
      <c r="I20" t="s">
        <v>329</v>
      </c>
    </row>
    <row r="21" spans="1:9" x14ac:dyDescent="0.2">
      <c r="A21" t="s">
        <v>348</v>
      </c>
      <c r="B21" t="s">
        <v>327</v>
      </c>
      <c r="C21" t="s">
        <v>417</v>
      </c>
      <c r="D21" t="s">
        <v>328</v>
      </c>
      <c r="E21" s="158">
        <v>451</v>
      </c>
      <c r="F21" t="s">
        <v>329</v>
      </c>
      <c r="G21" t="s">
        <v>329</v>
      </c>
      <c r="H21" t="s">
        <v>329</v>
      </c>
      <c r="I21" t="s">
        <v>329</v>
      </c>
    </row>
    <row r="22" spans="1:9" x14ac:dyDescent="0.2">
      <c r="A22" t="s">
        <v>349</v>
      </c>
      <c r="B22" t="s">
        <v>327</v>
      </c>
      <c r="C22" t="s">
        <v>417</v>
      </c>
      <c r="D22" t="s">
        <v>328</v>
      </c>
      <c r="E22" s="158" t="s">
        <v>259</v>
      </c>
      <c r="F22" t="s">
        <v>329</v>
      </c>
      <c r="G22" t="s">
        <v>329</v>
      </c>
      <c r="H22" t="s">
        <v>329</v>
      </c>
      <c r="I22" t="s">
        <v>329</v>
      </c>
    </row>
    <row r="23" spans="1:9" x14ac:dyDescent="0.2">
      <c r="A23" t="s">
        <v>350</v>
      </c>
      <c r="B23" t="s">
        <v>327</v>
      </c>
      <c r="C23" t="s">
        <v>417</v>
      </c>
      <c r="D23" t="s">
        <v>328</v>
      </c>
      <c r="E23" s="158" t="s">
        <v>259</v>
      </c>
      <c r="F23" t="s">
        <v>329</v>
      </c>
      <c r="G23" t="s">
        <v>329</v>
      </c>
      <c r="H23" t="s">
        <v>329</v>
      </c>
      <c r="I23" t="s">
        <v>329</v>
      </c>
    </row>
    <row r="24" spans="1:9" x14ac:dyDescent="0.2">
      <c r="A24" t="s">
        <v>351</v>
      </c>
      <c r="B24" t="s">
        <v>327</v>
      </c>
      <c r="C24" t="s">
        <v>417</v>
      </c>
      <c r="D24" t="s">
        <v>328</v>
      </c>
      <c r="E24" s="158" t="s">
        <v>260</v>
      </c>
      <c r="F24" t="s">
        <v>329</v>
      </c>
      <c r="G24" t="s">
        <v>329</v>
      </c>
      <c r="H24" t="s">
        <v>329</v>
      </c>
      <c r="I24" t="s">
        <v>329</v>
      </c>
    </row>
    <row r="25" spans="1:9" x14ac:dyDescent="0.2">
      <c r="A25" t="s">
        <v>352</v>
      </c>
      <c r="B25" t="s">
        <v>327</v>
      </c>
      <c r="C25" t="s">
        <v>417</v>
      </c>
      <c r="D25" t="s">
        <v>328</v>
      </c>
      <c r="E25" s="158" t="s">
        <v>260</v>
      </c>
      <c r="F25" t="s">
        <v>329</v>
      </c>
      <c r="G25" t="s">
        <v>329</v>
      </c>
      <c r="H25" t="s">
        <v>329</v>
      </c>
      <c r="I25" t="s">
        <v>329</v>
      </c>
    </row>
    <row r="26" spans="1:9" x14ac:dyDescent="0.2">
      <c r="A26" t="s">
        <v>353</v>
      </c>
      <c r="B26" t="s">
        <v>327</v>
      </c>
      <c r="C26" t="s">
        <v>417</v>
      </c>
      <c r="D26" t="s">
        <v>328</v>
      </c>
      <c r="E26" s="158" t="s">
        <v>261</v>
      </c>
      <c r="F26" t="s">
        <v>329</v>
      </c>
      <c r="G26" t="s">
        <v>329</v>
      </c>
      <c r="H26" t="s">
        <v>329</v>
      </c>
      <c r="I26" t="s">
        <v>329</v>
      </c>
    </row>
    <row r="27" spans="1:9" x14ac:dyDescent="0.2">
      <c r="A27" t="s">
        <v>354</v>
      </c>
      <c r="B27" t="s">
        <v>327</v>
      </c>
      <c r="C27" t="s">
        <v>417</v>
      </c>
      <c r="D27" t="s">
        <v>328</v>
      </c>
      <c r="E27" s="158" t="s">
        <v>261</v>
      </c>
      <c r="F27" t="s">
        <v>329</v>
      </c>
      <c r="G27" t="s">
        <v>329</v>
      </c>
      <c r="H27" t="s">
        <v>329</v>
      </c>
      <c r="I27" t="s">
        <v>329</v>
      </c>
    </row>
    <row r="28" spans="1:9" x14ac:dyDescent="0.2">
      <c r="A28" t="s">
        <v>355</v>
      </c>
      <c r="B28" t="s">
        <v>327</v>
      </c>
      <c r="C28" t="s">
        <v>417</v>
      </c>
      <c r="D28" t="s">
        <v>328</v>
      </c>
      <c r="E28" s="158" t="s">
        <v>262</v>
      </c>
      <c r="F28" t="s">
        <v>329</v>
      </c>
      <c r="G28" t="s">
        <v>329</v>
      </c>
      <c r="H28" t="s">
        <v>329</v>
      </c>
      <c r="I28" t="s">
        <v>329</v>
      </c>
    </row>
    <row r="29" spans="1:9" x14ac:dyDescent="0.2">
      <c r="A29" t="s">
        <v>356</v>
      </c>
      <c r="B29" t="s">
        <v>327</v>
      </c>
      <c r="C29" t="s">
        <v>417</v>
      </c>
      <c r="D29" t="s">
        <v>328</v>
      </c>
      <c r="E29" s="158" t="s">
        <v>262</v>
      </c>
      <c r="F29" t="s">
        <v>329</v>
      </c>
      <c r="G29" t="s">
        <v>329</v>
      </c>
      <c r="H29" t="s">
        <v>329</v>
      </c>
      <c r="I29" t="s">
        <v>329</v>
      </c>
    </row>
    <row r="30" spans="1:9" x14ac:dyDescent="0.2">
      <c r="A30" t="s">
        <v>357</v>
      </c>
      <c r="B30" t="s">
        <v>327</v>
      </c>
      <c r="C30" t="s">
        <v>417</v>
      </c>
      <c r="D30" t="s">
        <v>328</v>
      </c>
      <c r="E30" s="158" t="s">
        <v>263</v>
      </c>
      <c r="F30" t="s">
        <v>329</v>
      </c>
      <c r="G30" t="s">
        <v>329</v>
      </c>
      <c r="H30" t="s">
        <v>329</v>
      </c>
      <c r="I30" t="s">
        <v>329</v>
      </c>
    </row>
    <row r="31" spans="1:9" x14ac:dyDescent="0.2">
      <c r="A31" t="s">
        <v>358</v>
      </c>
      <c r="B31" t="s">
        <v>327</v>
      </c>
      <c r="C31" t="s">
        <v>417</v>
      </c>
      <c r="D31" t="s">
        <v>328</v>
      </c>
      <c r="E31" s="158" t="s">
        <v>263</v>
      </c>
      <c r="F31" t="s">
        <v>329</v>
      </c>
      <c r="G31" t="s">
        <v>329</v>
      </c>
      <c r="H31" t="s">
        <v>329</v>
      </c>
      <c r="I31" t="s">
        <v>329</v>
      </c>
    </row>
    <row r="32" spans="1:9" x14ac:dyDescent="0.2">
      <c r="A32" t="s">
        <v>359</v>
      </c>
      <c r="B32" t="s">
        <v>327</v>
      </c>
      <c r="C32" t="s">
        <v>417</v>
      </c>
      <c r="D32" t="s">
        <v>328</v>
      </c>
      <c r="E32" s="158">
        <v>481</v>
      </c>
      <c r="F32" t="s">
        <v>329</v>
      </c>
      <c r="G32" t="s">
        <v>329</v>
      </c>
      <c r="H32" t="s">
        <v>329</v>
      </c>
      <c r="I32" t="s">
        <v>329</v>
      </c>
    </row>
    <row r="33" spans="1:9" x14ac:dyDescent="0.2">
      <c r="A33" t="s">
        <v>360</v>
      </c>
      <c r="B33" t="s">
        <v>327</v>
      </c>
      <c r="C33" t="s">
        <v>417</v>
      </c>
      <c r="D33" t="s">
        <v>328</v>
      </c>
      <c r="E33" s="158">
        <v>481</v>
      </c>
      <c r="F33" t="s">
        <v>329</v>
      </c>
      <c r="G33" t="s">
        <v>329</v>
      </c>
      <c r="H33" t="s">
        <v>329</v>
      </c>
      <c r="I33" t="s">
        <v>329</v>
      </c>
    </row>
    <row r="34" spans="1:9" x14ac:dyDescent="0.2">
      <c r="A34" t="s">
        <v>361</v>
      </c>
      <c r="B34" t="s">
        <v>327</v>
      </c>
      <c r="C34" t="s">
        <v>417</v>
      </c>
      <c r="D34" t="s">
        <v>328</v>
      </c>
      <c r="E34" s="158">
        <v>482</v>
      </c>
      <c r="F34" t="s">
        <v>329</v>
      </c>
      <c r="G34" t="s">
        <v>329</v>
      </c>
      <c r="H34" t="s">
        <v>329</v>
      </c>
      <c r="I34" t="s">
        <v>329</v>
      </c>
    </row>
    <row r="35" spans="1:9" x14ac:dyDescent="0.2">
      <c r="A35" t="s">
        <v>362</v>
      </c>
      <c r="B35" t="s">
        <v>327</v>
      </c>
      <c r="C35" t="s">
        <v>417</v>
      </c>
      <c r="D35" t="s">
        <v>328</v>
      </c>
      <c r="E35" s="158">
        <v>482</v>
      </c>
      <c r="F35" t="s">
        <v>329</v>
      </c>
      <c r="G35" t="s">
        <v>329</v>
      </c>
      <c r="H35" t="s">
        <v>329</v>
      </c>
      <c r="I35" t="s">
        <v>329</v>
      </c>
    </row>
    <row r="36" spans="1:9" x14ac:dyDescent="0.2">
      <c r="A36" t="s">
        <v>363</v>
      </c>
      <c r="B36" t="s">
        <v>327</v>
      </c>
      <c r="C36" t="s">
        <v>417</v>
      </c>
      <c r="D36" t="s">
        <v>328</v>
      </c>
      <c r="E36" s="158">
        <v>484</v>
      </c>
      <c r="F36" t="s">
        <v>329</v>
      </c>
      <c r="G36" t="s">
        <v>329</v>
      </c>
      <c r="H36" t="s">
        <v>329</v>
      </c>
      <c r="I36" t="s">
        <v>329</v>
      </c>
    </row>
    <row r="37" spans="1:9" x14ac:dyDescent="0.2">
      <c r="A37" t="s">
        <v>364</v>
      </c>
      <c r="B37" t="s">
        <v>327</v>
      </c>
      <c r="C37" t="s">
        <v>417</v>
      </c>
      <c r="D37" t="s">
        <v>328</v>
      </c>
      <c r="E37" s="158">
        <v>484</v>
      </c>
      <c r="F37" t="s">
        <v>329</v>
      </c>
      <c r="G37" t="s">
        <v>329</v>
      </c>
      <c r="H37" t="s">
        <v>329</v>
      </c>
      <c r="I37" t="s">
        <v>329</v>
      </c>
    </row>
    <row r="38" spans="1:9" x14ac:dyDescent="0.2">
      <c r="A38" t="s">
        <v>365</v>
      </c>
      <c r="B38" t="s">
        <v>327</v>
      </c>
      <c r="C38" t="s">
        <v>417</v>
      </c>
      <c r="D38" t="s">
        <v>328</v>
      </c>
      <c r="E38" s="158">
        <v>491</v>
      </c>
      <c r="F38" t="s">
        <v>329</v>
      </c>
      <c r="G38" t="s">
        <v>329</v>
      </c>
      <c r="H38" t="s">
        <v>329</v>
      </c>
      <c r="I38" t="s">
        <v>329</v>
      </c>
    </row>
    <row r="39" spans="1:9" x14ac:dyDescent="0.2">
      <c r="A39" t="s">
        <v>366</v>
      </c>
      <c r="B39" t="s">
        <v>327</v>
      </c>
      <c r="C39" t="s">
        <v>417</v>
      </c>
      <c r="D39" t="s">
        <v>328</v>
      </c>
      <c r="E39" s="158">
        <v>491</v>
      </c>
      <c r="F39" t="s">
        <v>329</v>
      </c>
      <c r="G39" t="s">
        <v>329</v>
      </c>
      <c r="H39" t="s">
        <v>329</v>
      </c>
      <c r="I39" t="s">
        <v>329</v>
      </c>
    </row>
    <row r="40" spans="1:9" x14ac:dyDescent="0.2">
      <c r="A40" t="s">
        <v>367</v>
      </c>
      <c r="B40" t="s">
        <v>327</v>
      </c>
      <c r="C40" t="s">
        <v>417</v>
      </c>
      <c r="D40" t="s">
        <v>328</v>
      </c>
      <c r="E40" s="158">
        <v>506</v>
      </c>
      <c r="F40" t="s">
        <v>329</v>
      </c>
      <c r="G40" t="s">
        <v>329</v>
      </c>
      <c r="H40" t="s">
        <v>329</v>
      </c>
      <c r="I40" t="s">
        <v>329</v>
      </c>
    </row>
    <row r="41" spans="1:9" x14ac:dyDescent="0.2">
      <c r="A41" t="s">
        <v>368</v>
      </c>
      <c r="B41" t="s">
        <v>327</v>
      </c>
      <c r="C41" t="s">
        <v>417</v>
      </c>
      <c r="D41" t="s">
        <v>328</v>
      </c>
      <c r="E41" s="158">
        <v>506</v>
      </c>
      <c r="F41" t="s">
        <v>329</v>
      </c>
      <c r="G41" t="s">
        <v>329</v>
      </c>
      <c r="H41" t="s">
        <v>329</v>
      </c>
      <c r="I41" t="s">
        <v>329</v>
      </c>
    </row>
    <row r="42" spans="1:9" x14ac:dyDescent="0.2">
      <c r="A42" t="s">
        <v>369</v>
      </c>
      <c r="B42" t="s">
        <v>327</v>
      </c>
      <c r="C42" t="s">
        <v>417</v>
      </c>
      <c r="D42" t="s">
        <v>328</v>
      </c>
      <c r="E42" s="158">
        <v>513</v>
      </c>
      <c r="F42" t="s">
        <v>329</v>
      </c>
      <c r="G42" t="s">
        <v>329</v>
      </c>
      <c r="H42" t="s">
        <v>329</v>
      </c>
      <c r="I42" t="s">
        <v>329</v>
      </c>
    </row>
    <row r="43" spans="1:9" x14ac:dyDescent="0.2">
      <c r="A43" t="s">
        <v>370</v>
      </c>
      <c r="B43" t="s">
        <v>327</v>
      </c>
      <c r="C43" t="s">
        <v>417</v>
      </c>
      <c r="D43" t="s">
        <v>328</v>
      </c>
      <c r="E43" s="158">
        <v>513</v>
      </c>
      <c r="F43" t="s">
        <v>329</v>
      </c>
      <c r="G43" t="s">
        <v>329</v>
      </c>
      <c r="H43" t="s">
        <v>329</v>
      </c>
      <c r="I43" t="s">
        <v>329</v>
      </c>
    </row>
    <row r="44" spans="1:9" x14ac:dyDescent="0.2">
      <c r="A44" t="s">
        <v>371</v>
      </c>
      <c r="B44" t="s">
        <v>327</v>
      </c>
      <c r="C44" t="s">
        <v>417</v>
      </c>
      <c r="D44" t="s">
        <v>328</v>
      </c>
      <c r="E44" s="158">
        <v>521</v>
      </c>
      <c r="F44" t="s">
        <v>329</v>
      </c>
      <c r="G44" t="s">
        <v>329</v>
      </c>
      <c r="H44" t="s">
        <v>329</v>
      </c>
      <c r="I44" t="s">
        <v>329</v>
      </c>
    </row>
    <row r="45" spans="1:9" x14ac:dyDescent="0.2">
      <c r="A45" t="s">
        <v>372</v>
      </c>
      <c r="B45" t="s">
        <v>327</v>
      </c>
      <c r="C45" t="s">
        <v>417</v>
      </c>
      <c r="D45" t="s">
        <v>328</v>
      </c>
      <c r="E45" s="158">
        <v>521</v>
      </c>
      <c r="F45" t="s">
        <v>329</v>
      </c>
      <c r="G45" t="s">
        <v>329</v>
      </c>
      <c r="H45" t="s">
        <v>329</v>
      </c>
      <c r="I45" t="s">
        <v>329</v>
      </c>
    </row>
    <row r="46" spans="1:9" x14ac:dyDescent="0.2">
      <c r="A46" t="s">
        <v>373</v>
      </c>
      <c r="B46" t="s">
        <v>327</v>
      </c>
      <c r="C46" t="s">
        <v>417</v>
      </c>
      <c r="D46" t="s">
        <v>328</v>
      </c>
      <c r="E46" s="158">
        <v>522</v>
      </c>
      <c r="F46" t="s">
        <v>329</v>
      </c>
      <c r="G46" t="s">
        <v>329</v>
      </c>
      <c r="H46" t="s">
        <v>329</v>
      </c>
      <c r="I46" t="s">
        <v>329</v>
      </c>
    </row>
    <row r="47" spans="1:9" x14ac:dyDescent="0.2">
      <c r="A47" t="s">
        <v>374</v>
      </c>
      <c r="B47" t="s">
        <v>327</v>
      </c>
      <c r="C47" t="s">
        <v>417</v>
      </c>
      <c r="D47" t="s">
        <v>328</v>
      </c>
      <c r="E47" s="158">
        <v>522</v>
      </c>
      <c r="F47" t="s">
        <v>329</v>
      </c>
      <c r="G47" t="s">
        <v>329</v>
      </c>
      <c r="H47" t="s">
        <v>329</v>
      </c>
      <c r="I47" t="s">
        <v>329</v>
      </c>
    </row>
    <row r="48" spans="1:9" x14ac:dyDescent="0.2">
      <c r="A48" t="s">
        <v>375</v>
      </c>
      <c r="B48" t="s">
        <v>327</v>
      </c>
      <c r="C48" t="s">
        <v>417</v>
      </c>
      <c r="D48" t="s">
        <v>328</v>
      </c>
      <c r="E48" s="158">
        <v>528</v>
      </c>
      <c r="F48" t="s">
        <v>329</v>
      </c>
      <c r="G48" t="s">
        <v>329</v>
      </c>
      <c r="H48" t="s">
        <v>329</v>
      </c>
      <c r="I48" t="s">
        <v>329</v>
      </c>
    </row>
    <row r="49" spans="1:9" x14ac:dyDescent="0.2">
      <c r="A49" t="s">
        <v>376</v>
      </c>
      <c r="B49" t="s">
        <v>327</v>
      </c>
      <c r="C49" t="s">
        <v>417</v>
      </c>
      <c r="D49" t="s">
        <v>328</v>
      </c>
      <c r="E49" s="158">
        <v>528</v>
      </c>
      <c r="F49" t="s">
        <v>329</v>
      </c>
      <c r="G49" t="s">
        <v>329</v>
      </c>
      <c r="H49" t="s">
        <v>329</v>
      </c>
      <c r="I49" t="s">
        <v>329</v>
      </c>
    </row>
    <row r="50" spans="1:9" x14ac:dyDescent="0.2">
      <c r="A50" t="s">
        <v>377</v>
      </c>
      <c r="B50" t="s">
        <v>327</v>
      </c>
      <c r="C50" t="s">
        <v>417</v>
      </c>
      <c r="D50" t="s">
        <v>328</v>
      </c>
      <c r="E50" s="158">
        <v>531</v>
      </c>
      <c r="F50" t="s">
        <v>329</v>
      </c>
      <c r="G50" t="s">
        <v>329</v>
      </c>
      <c r="H50" t="s">
        <v>329</v>
      </c>
      <c r="I50" t="s">
        <v>329</v>
      </c>
    </row>
    <row r="51" spans="1:9" x14ac:dyDescent="0.2">
      <c r="A51" t="s">
        <v>378</v>
      </c>
      <c r="B51" t="s">
        <v>327</v>
      </c>
      <c r="C51" t="s">
        <v>417</v>
      </c>
      <c r="D51" t="s">
        <v>328</v>
      </c>
      <c r="E51" s="158">
        <v>531</v>
      </c>
      <c r="F51" t="s">
        <v>329</v>
      </c>
      <c r="G51" t="s">
        <v>329</v>
      </c>
      <c r="H51" t="s">
        <v>329</v>
      </c>
      <c r="I51" t="s">
        <v>329</v>
      </c>
    </row>
    <row r="52" spans="1:9" x14ac:dyDescent="0.2">
      <c r="A52" t="s">
        <v>379</v>
      </c>
      <c r="B52" t="s">
        <v>327</v>
      </c>
      <c r="C52" t="s">
        <v>417</v>
      </c>
      <c r="D52" t="s">
        <v>328</v>
      </c>
      <c r="E52" s="158">
        <v>541</v>
      </c>
      <c r="F52" t="s">
        <v>329</v>
      </c>
      <c r="G52" t="s">
        <v>329</v>
      </c>
      <c r="H52" t="s">
        <v>329</v>
      </c>
      <c r="I52" t="s">
        <v>329</v>
      </c>
    </row>
    <row r="53" spans="1:9" x14ac:dyDescent="0.2">
      <c r="A53" t="s">
        <v>380</v>
      </c>
      <c r="B53" t="s">
        <v>327</v>
      </c>
      <c r="C53" t="s">
        <v>417</v>
      </c>
      <c r="D53" t="s">
        <v>328</v>
      </c>
      <c r="E53" s="158">
        <v>541</v>
      </c>
      <c r="F53" t="s">
        <v>329</v>
      </c>
      <c r="G53" t="s">
        <v>329</v>
      </c>
      <c r="H53" t="s">
        <v>329</v>
      </c>
      <c r="I53" t="s">
        <v>329</v>
      </c>
    </row>
    <row r="54" spans="1:9" x14ac:dyDescent="0.2">
      <c r="A54" t="s">
        <v>381</v>
      </c>
      <c r="B54" t="s">
        <v>327</v>
      </c>
      <c r="C54" t="s">
        <v>417</v>
      </c>
      <c r="D54" t="s">
        <v>328</v>
      </c>
      <c r="E54" s="158">
        <v>542</v>
      </c>
      <c r="F54" t="s">
        <v>329</v>
      </c>
      <c r="G54" t="s">
        <v>329</v>
      </c>
      <c r="H54" t="s">
        <v>329</v>
      </c>
      <c r="I54" t="s">
        <v>329</v>
      </c>
    </row>
    <row r="55" spans="1:9" x14ac:dyDescent="0.2">
      <c r="A55" t="s">
        <v>382</v>
      </c>
      <c r="B55" t="s">
        <v>327</v>
      </c>
      <c r="C55" t="s">
        <v>417</v>
      </c>
      <c r="D55" t="s">
        <v>328</v>
      </c>
      <c r="E55" s="158">
        <v>542</v>
      </c>
      <c r="F55" t="s">
        <v>329</v>
      </c>
      <c r="G55" t="s">
        <v>329</v>
      </c>
      <c r="H55" t="s">
        <v>329</v>
      </c>
      <c r="I55" t="s">
        <v>329</v>
      </c>
    </row>
    <row r="56" spans="1:9" x14ac:dyDescent="0.2">
      <c r="A56" t="s">
        <v>383</v>
      </c>
      <c r="B56" t="s">
        <v>327</v>
      </c>
      <c r="C56" t="s">
        <v>417</v>
      </c>
      <c r="D56" t="s">
        <v>328</v>
      </c>
      <c r="E56" s="158" t="s">
        <v>268</v>
      </c>
      <c r="F56" t="s">
        <v>329</v>
      </c>
      <c r="G56" t="s">
        <v>329</v>
      </c>
      <c r="H56" t="s">
        <v>329</v>
      </c>
      <c r="I56" t="s">
        <v>329</v>
      </c>
    </row>
    <row r="57" spans="1:9" x14ac:dyDescent="0.2">
      <c r="A57" t="s">
        <v>384</v>
      </c>
      <c r="B57" t="s">
        <v>327</v>
      </c>
      <c r="C57" t="s">
        <v>417</v>
      </c>
      <c r="D57" t="s">
        <v>328</v>
      </c>
      <c r="E57" s="158" t="s">
        <v>268</v>
      </c>
      <c r="F57" t="s">
        <v>329</v>
      </c>
      <c r="G57" t="s">
        <v>329</v>
      </c>
      <c r="H57" t="s">
        <v>329</v>
      </c>
      <c r="I57" t="s">
        <v>329</v>
      </c>
    </row>
    <row r="58" spans="1:9" x14ac:dyDescent="0.2">
      <c r="A58" t="s">
        <v>385</v>
      </c>
      <c r="B58" t="s">
        <v>327</v>
      </c>
      <c r="C58" t="s">
        <v>417</v>
      </c>
      <c r="D58" t="s">
        <v>328</v>
      </c>
      <c r="E58" s="158">
        <v>561</v>
      </c>
      <c r="F58" t="s">
        <v>329</v>
      </c>
      <c r="G58" t="s">
        <v>329</v>
      </c>
      <c r="H58" t="s">
        <v>329</v>
      </c>
      <c r="I58" t="s">
        <v>329</v>
      </c>
    </row>
    <row r="59" spans="1:9" x14ac:dyDescent="0.2">
      <c r="A59" t="s">
        <v>386</v>
      </c>
      <c r="B59" t="s">
        <v>327</v>
      </c>
      <c r="C59" t="s">
        <v>417</v>
      </c>
      <c r="D59" t="s">
        <v>328</v>
      </c>
      <c r="E59" s="158">
        <v>561</v>
      </c>
      <c r="F59" t="s">
        <v>329</v>
      </c>
      <c r="G59" t="s">
        <v>329</v>
      </c>
      <c r="H59" t="s">
        <v>329</v>
      </c>
      <c r="I59" t="s">
        <v>329</v>
      </c>
    </row>
    <row r="60" spans="1:9" x14ac:dyDescent="0.2">
      <c r="A60" t="s">
        <v>387</v>
      </c>
      <c r="B60" t="s">
        <v>327</v>
      </c>
      <c r="C60" t="s">
        <v>417</v>
      </c>
      <c r="D60" t="s">
        <v>328</v>
      </c>
      <c r="E60" s="158">
        <v>571</v>
      </c>
      <c r="F60" t="s">
        <v>329</v>
      </c>
      <c r="G60" t="s">
        <v>329</v>
      </c>
      <c r="H60" t="s">
        <v>329</v>
      </c>
      <c r="I60" t="s">
        <v>329</v>
      </c>
    </row>
    <row r="61" spans="1:9" x14ac:dyDescent="0.2">
      <c r="A61" t="s">
        <v>388</v>
      </c>
      <c r="B61" t="s">
        <v>327</v>
      </c>
      <c r="C61" t="s">
        <v>417</v>
      </c>
      <c r="D61" t="s">
        <v>328</v>
      </c>
      <c r="E61" s="158">
        <v>571</v>
      </c>
      <c r="F61" t="s">
        <v>329</v>
      </c>
      <c r="G61" t="s">
        <v>329</v>
      </c>
      <c r="H61" t="s">
        <v>329</v>
      </c>
      <c r="I61" t="s">
        <v>329</v>
      </c>
    </row>
    <row r="62" spans="1:9" x14ac:dyDescent="0.2">
      <c r="A62" t="s">
        <v>389</v>
      </c>
      <c r="B62" t="s">
        <v>327</v>
      </c>
      <c r="C62" t="s">
        <v>417</v>
      </c>
      <c r="D62" t="s">
        <v>414</v>
      </c>
      <c r="E62" s="158" t="s">
        <v>418</v>
      </c>
      <c r="F62">
        <v>77.400000000000006</v>
      </c>
      <c r="G62">
        <v>483.01</v>
      </c>
      <c r="H62">
        <v>76</v>
      </c>
      <c r="I62">
        <v>88.8</v>
      </c>
    </row>
    <row r="63" spans="1:9" x14ac:dyDescent="0.2">
      <c r="A63" t="s">
        <v>390</v>
      </c>
      <c r="B63" t="s">
        <v>327</v>
      </c>
      <c r="C63" t="s">
        <v>417</v>
      </c>
      <c r="D63" t="s">
        <v>414</v>
      </c>
      <c r="E63" s="158" t="s">
        <v>418</v>
      </c>
      <c r="F63">
        <v>78.2</v>
      </c>
      <c r="G63">
        <v>566.47</v>
      </c>
      <c r="H63">
        <v>76</v>
      </c>
      <c r="I63">
        <v>88.6</v>
      </c>
    </row>
    <row r="64" spans="1:9" x14ac:dyDescent="0.2">
      <c r="A64" t="s">
        <v>391</v>
      </c>
      <c r="B64" t="s">
        <v>327</v>
      </c>
      <c r="C64" t="s">
        <v>417</v>
      </c>
      <c r="D64" t="s">
        <v>411</v>
      </c>
      <c r="E64" s="158" t="s">
        <v>411</v>
      </c>
      <c r="F64" t="s">
        <v>329</v>
      </c>
      <c r="G64" t="s">
        <v>329</v>
      </c>
      <c r="H64" t="s">
        <v>329</v>
      </c>
      <c r="I64" t="s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95ED-8161-1C45-B46B-0307AFE3E236}">
  <dimension ref="A1:I85"/>
  <sheetViews>
    <sheetView workbookViewId="0">
      <selection activeCell="L34" sqref="L34"/>
    </sheetView>
  </sheetViews>
  <sheetFormatPr baseColWidth="10" defaultRowHeight="16" x14ac:dyDescent="0.2"/>
  <sheetData>
    <row r="1" spans="1:9" x14ac:dyDescent="0.2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</row>
    <row r="2" spans="1:9" x14ac:dyDescent="0.2">
      <c r="A2" t="s">
        <v>326</v>
      </c>
      <c r="B2" t="s">
        <v>327</v>
      </c>
      <c r="D2" t="s">
        <v>328</v>
      </c>
      <c r="E2">
        <v>292</v>
      </c>
      <c r="F2" t="s">
        <v>329</v>
      </c>
      <c r="G2" t="s">
        <v>329</v>
      </c>
      <c r="H2" t="s">
        <v>329</v>
      </c>
      <c r="I2" t="s">
        <v>329</v>
      </c>
    </row>
    <row r="3" spans="1:9" x14ac:dyDescent="0.2">
      <c r="A3" t="s">
        <v>330</v>
      </c>
      <c r="B3" t="s">
        <v>327</v>
      </c>
      <c r="D3" t="s">
        <v>328</v>
      </c>
      <c r="E3">
        <v>292</v>
      </c>
      <c r="F3" t="s">
        <v>329</v>
      </c>
      <c r="G3" t="s">
        <v>329</v>
      </c>
      <c r="H3" t="s">
        <v>329</v>
      </c>
      <c r="I3" t="s">
        <v>329</v>
      </c>
    </row>
    <row r="4" spans="1:9" x14ac:dyDescent="0.2">
      <c r="A4" t="s">
        <v>331</v>
      </c>
      <c r="B4" t="s">
        <v>327</v>
      </c>
      <c r="D4" t="s">
        <v>328</v>
      </c>
      <c r="E4">
        <v>293</v>
      </c>
      <c r="F4" t="s">
        <v>329</v>
      </c>
      <c r="G4" t="s">
        <v>329</v>
      </c>
      <c r="H4" t="s">
        <v>329</v>
      </c>
      <c r="I4" t="s">
        <v>329</v>
      </c>
    </row>
    <row r="5" spans="1:9" x14ac:dyDescent="0.2">
      <c r="A5" t="s">
        <v>332</v>
      </c>
      <c r="B5" t="s">
        <v>327</v>
      </c>
      <c r="D5" t="s">
        <v>328</v>
      </c>
      <c r="E5">
        <v>293</v>
      </c>
      <c r="F5" t="s">
        <v>329</v>
      </c>
      <c r="G5" t="s">
        <v>329</v>
      </c>
      <c r="H5" t="s">
        <v>329</v>
      </c>
      <c r="I5" t="s">
        <v>329</v>
      </c>
    </row>
    <row r="6" spans="1:9" x14ac:dyDescent="0.2">
      <c r="A6" t="s">
        <v>333</v>
      </c>
      <c r="B6" t="s">
        <v>327</v>
      </c>
      <c r="D6" t="s">
        <v>328</v>
      </c>
      <c r="E6">
        <v>295</v>
      </c>
      <c r="F6" t="s">
        <v>329</v>
      </c>
      <c r="G6" t="s">
        <v>329</v>
      </c>
      <c r="H6" t="s">
        <v>329</v>
      </c>
      <c r="I6" t="s">
        <v>329</v>
      </c>
    </row>
    <row r="7" spans="1:9" x14ac:dyDescent="0.2">
      <c r="A7" t="s">
        <v>334</v>
      </c>
      <c r="B7" t="s">
        <v>327</v>
      </c>
      <c r="D7" t="s">
        <v>328</v>
      </c>
      <c r="E7">
        <v>295</v>
      </c>
      <c r="F7" t="s">
        <v>329</v>
      </c>
      <c r="G7" t="s">
        <v>329</v>
      </c>
      <c r="H7" t="s">
        <v>329</v>
      </c>
      <c r="I7" t="s">
        <v>329</v>
      </c>
    </row>
    <row r="8" spans="1:9" x14ac:dyDescent="0.2">
      <c r="A8" t="s">
        <v>335</v>
      </c>
      <c r="B8" t="s">
        <v>327</v>
      </c>
      <c r="D8" t="s">
        <v>328</v>
      </c>
      <c r="E8">
        <v>296</v>
      </c>
      <c r="F8" t="s">
        <v>329</v>
      </c>
      <c r="G8" t="s">
        <v>329</v>
      </c>
      <c r="H8" t="s">
        <v>329</v>
      </c>
      <c r="I8" t="s">
        <v>329</v>
      </c>
    </row>
    <row r="9" spans="1:9" x14ac:dyDescent="0.2">
      <c r="A9" t="s">
        <v>336</v>
      </c>
      <c r="B9" t="s">
        <v>327</v>
      </c>
      <c r="D9" t="s">
        <v>328</v>
      </c>
      <c r="E9">
        <v>296</v>
      </c>
      <c r="F9" t="s">
        <v>329</v>
      </c>
      <c r="G9" t="s">
        <v>329</v>
      </c>
      <c r="H9" t="s">
        <v>329</v>
      </c>
      <c r="I9" t="s">
        <v>329</v>
      </c>
    </row>
    <row r="10" spans="1:9" x14ac:dyDescent="0.2">
      <c r="A10" t="s">
        <v>337</v>
      </c>
      <c r="B10" t="s">
        <v>327</v>
      </c>
      <c r="D10" t="s">
        <v>328</v>
      </c>
      <c r="E10">
        <v>298</v>
      </c>
      <c r="F10" t="s">
        <v>329</v>
      </c>
      <c r="G10" t="s">
        <v>329</v>
      </c>
      <c r="H10" t="s">
        <v>329</v>
      </c>
      <c r="I10" t="s">
        <v>329</v>
      </c>
    </row>
    <row r="11" spans="1:9" x14ac:dyDescent="0.2">
      <c r="A11" t="s">
        <v>338</v>
      </c>
      <c r="B11" t="s">
        <v>327</v>
      </c>
      <c r="D11" t="s">
        <v>328</v>
      </c>
      <c r="E11">
        <v>298</v>
      </c>
      <c r="F11" t="s">
        <v>329</v>
      </c>
      <c r="G11" t="s">
        <v>329</v>
      </c>
      <c r="H11" t="s">
        <v>329</v>
      </c>
      <c r="I11" t="s">
        <v>329</v>
      </c>
    </row>
    <row r="12" spans="1:9" x14ac:dyDescent="0.2">
      <c r="A12" t="s">
        <v>339</v>
      </c>
      <c r="B12" t="s">
        <v>327</v>
      </c>
      <c r="D12" t="s">
        <v>328</v>
      </c>
      <c r="E12">
        <v>301</v>
      </c>
      <c r="F12" t="s">
        <v>329</v>
      </c>
      <c r="G12" t="s">
        <v>329</v>
      </c>
      <c r="H12" t="s">
        <v>329</v>
      </c>
      <c r="I12" t="s">
        <v>329</v>
      </c>
    </row>
    <row r="13" spans="1:9" x14ac:dyDescent="0.2">
      <c r="A13" t="s">
        <v>340</v>
      </c>
      <c r="B13" t="s">
        <v>327</v>
      </c>
      <c r="D13" t="s">
        <v>328</v>
      </c>
      <c r="E13">
        <v>301</v>
      </c>
      <c r="F13" t="s">
        <v>329</v>
      </c>
      <c r="G13" t="s">
        <v>329</v>
      </c>
      <c r="H13" t="s">
        <v>329</v>
      </c>
      <c r="I13" t="s">
        <v>329</v>
      </c>
    </row>
    <row r="14" spans="1:9" x14ac:dyDescent="0.2">
      <c r="A14" t="s">
        <v>341</v>
      </c>
      <c r="B14" t="s">
        <v>327</v>
      </c>
      <c r="D14" t="s">
        <v>328</v>
      </c>
      <c r="E14">
        <v>303</v>
      </c>
      <c r="F14" t="s">
        <v>329</v>
      </c>
      <c r="G14" t="s">
        <v>329</v>
      </c>
      <c r="H14" t="s">
        <v>329</v>
      </c>
      <c r="I14" t="s">
        <v>329</v>
      </c>
    </row>
    <row r="15" spans="1:9" x14ac:dyDescent="0.2">
      <c r="A15" t="s">
        <v>342</v>
      </c>
      <c r="B15" t="s">
        <v>327</v>
      </c>
      <c r="D15" t="s">
        <v>328</v>
      </c>
      <c r="E15">
        <v>303</v>
      </c>
      <c r="F15" t="s">
        <v>329</v>
      </c>
      <c r="G15" t="s">
        <v>329</v>
      </c>
      <c r="H15" t="s">
        <v>329</v>
      </c>
      <c r="I15" t="s">
        <v>329</v>
      </c>
    </row>
    <row r="16" spans="1:9" x14ac:dyDescent="0.2">
      <c r="A16" t="s">
        <v>343</v>
      </c>
      <c r="B16" t="s">
        <v>327</v>
      </c>
      <c r="D16" t="s">
        <v>328</v>
      </c>
      <c r="E16">
        <v>305</v>
      </c>
      <c r="F16" t="s">
        <v>329</v>
      </c>
      <c r="G16" t="s">
        <v>329</v>
      </c>
      <c r="H16" t="s">
        <v>329</v>
      </c>
      <c r="I16" t="s">
        <v>329</v>
      </c>
    </row>
    <row r="17" spans="1:9" x14ac:dyDescent="0.2">
      <c r="A17" t="s">
        <v>344</v>
      </c>
      <c r="B17" t="s">
        <v>327</v>
      </c>
      <c r="D17" t="s">
        <v>328</v>
      </c>
      <c r="E17">
        <v>305</v>
      </c>
      <c r="F17" t="s">
        <v>329</v>
      </c>
      <c r="G17" t="s">
        <v>329</v>
      </c>
      <c r="H17" t="s">
        <v>329</v>
      </c>
      <c r="I17" t="s">
        <v>329</v>
      </c>
    </row>
    <row r="18" spans="1:9" x14ac:dyDescent="0.2">
      <c r="A18" t="s">
        <v>345</v>
      </c>
      <c r="B18" t="s">
        <v>327</v>
      </c>
      <c r="D18" t="s">
        <v>328</v>
      </c>
      <c r="E18">
        <v>307</v>
      </c>
      <c r="F18" t="s">
        <v>329</v>
      </c>
      <c r="G18" t="s">
        <v>329</v>
      </c>
      <c r="H18" t="s">
        <v>329</v>
      </c>
      <c r="I18" t="s">
        <v>329</v>
      </c>
    </row>
    <row r="19" spans="1:9" x14ac:dyDescent="0.2">
      <c r="A19" t="s">
        <v>346</v>
      </c>
      <c r="B19" t="s">
        <v>327</v>
      </c>
      <c r="D19" t="s">
        <v>328</v>
      </c>
      <c r="E19">
        <v>307</v>
      </c>
      <c r="F19" t="s">
        <v>329</v>
      </c>
      <c r="G19" t="s">
        <v>329</v>
      </c>
      <c r="H19" t="s">
        <v>329</v>
      </c>
      <c r="I19" t="s">
        <v>329</v>
      </c>
    </row>
    <row r="20" spans="1:9" x14ac:dyDescent="0.2">
      <c r="A20" t="s">
        <v>347</v>
      </c>
      <c r="B20" t="s">
        <v>327</v>
      </c>
      <c r="D20" t="s">
        <v>328</v>
      </c>
      <c r="E20">
        <v>308</v>
      </c>
      <c r="F20" t="s">
        <v>329</v>
      </c>
      <c r="G20" t="s">
        <v>329</v>
      </c>
      <c r="H20" t="s">
        <v>329</v>
      </c>
      <c r="I20" t="s">
        <v>329</v>
      </c>
    </row>
    <row r="21" spans="1:9" x14ac:dyDescent="0.2">
      <c r="A21" t="s">
        <v>348</v>
      </c>
      <c r="B21" t="s">
        <v>327</v>
      </c>
      <c r="D21" t="s">
        <v>328</v>
      </c>
      <c r="E21">
        <v>308</v>
      </c>
      <c r="F21" t="s">
        <v>329</v>
      </c>
      <c r="G21" t="s">
        <v>329</v>
      </c>
      <c r="H21" t="s">
        <v>329</v>
      </c>
      <c r="I21" t="s">
        <v>329</v>
      </c>
    </row>
    <row r="22" spans="1:9" x14ac:dyDescent="0.2">
      <c r="A22" t="s">
        <v>349</v>
      </c>
      <c r="B22" t="s">
        <v>327</v>
      </c>
      <c r="D22" t="s">
        <v>328</v>
      </c>
      <c r="E22">
        <v>311</v>
      </c>
      <c r="F22" t="s">
        <v>329</v>
      </c>
      <c r="G22" t="s">
        <v>329</v>
      </c>
      <c r="H22" t="s">
        <v>329</v>
      </c>
      <c r="I22" t="s">
        <v>329</v>
      </c>
    </row>
    <row r="23" spans="1:9" x14ac:dyDescent="0.2">
      <c r="A23" t="s">
        <v>350</v>
      </c>
      <c r="B23" t="s">
        <v>327</v>
      </c>
      <c r="D23" t="s">
        <v>328</v>
      </c>
      <c r="E23">
        <v>311</v>
      </c>
      <c r="F23" t="s">
        <v>329</v>
      </c>
      <c r="G23" t="s">
        <v>329</v>
      </c>
      <c r="H23" t="s">
        <v>329</v>
      </c>
      <c r="I23" t="s">
        <v>329</v>
      </c>
    </row>
    <row r="24" spans="1:9" x14ac:dyDescent="0.2">
      <c r="A24" t="s">
        <v>351</v>
      </c>
      <c r="B24" t="s">
        <v>327</v>
      </c>
      <c r="D24" t="s">
        <v>328</v>
      </c>
      <c r="E24">
        <v>312</v>
      </c>
      <c r="F24" t="s">
        <v>329</v>
      </c>
      <c r="G24" t="s">
        <v>329</v>
      </c>
      <c r="H24" t="s">
        <v>329</v>
      </c>
      <c r="I24" t="s">
        <v>329</v>
      </c>
    </row>
    <row r="25" spans="1:9" x14ac:dyDescent="0.2">
      <c r="A25" t="s">
        <v>352</v>
      </c>
      <c r="B25" t="s">
        <v>327</v>
      </c>
      <c r="D25" t="s">
        <v>328</v>
      </c>
      <c r="E25">
        <v>312</v>
      </c>
      <c r="F25" t="s">
        <v>329</v>
      </c>
      <c r="G25" t="s">
        <v>329</v>
      </c>
      <c r="H25" t="s">
        <v>329</v>
      </c>
      <c r="I25" t="s">
        <v>329</v>
      </c>
    </row>
    <row r="26" spans="1:9" x14ac:dyDescent="0.2">
      <c r="A26" t="s">
        <v>353</v>
      </c>
      <c r="B26" t="s">
        <v>327</v>
      </c>
      <c r="D26" t="s">
        <v>328</v>
      </c>
      <c r="E26">
        <v>313</v>
      </c>
      <c r="F26" t="s">
        <v>329</v>
      </c>
      <c r="G26" t="s">
        <v>329</v>
      </c>
      <c r="H26" t="s">
        <v>329</v>
      </c>
      <c r="I26" t="s">
        <v>329</v>
      </c>
    </row>
    <row r="27" spans="1:9" x14ac:dyDescent="0.2">
      <c r="A27" t="s">
        <v>354</v>
      </c>
      <c r="B27" t="s">
        <v>327</v>
      </c>
      <c r="D27" t="s">
        <v>328</v>
      </c>
      <c r="E27">
        <v>313</v>
      </c>
      <c r="F27" t="s">
        <v>329</v>
      </c>
      <c r="G27" t="s">
        <v>329</v>
      </c>
      <c r="H27" t="s">
        <v>329</v>
      </c>
      <c r="I27" t="s">
        <v>329</v>
      </c>
    </row>
    <row r="28" spans="1:9" x14ac:dyDescent="0.2">
      <c r="A28" t="s">
        <v>355</v>
      </c>
      <c r="B28" t="s">
        <v>327</v>
      </c>
      <c r="D28" t="s">
        <v>328</v>
      </c>
      <c r="E28">
        <v>314</v>
      </c>
      <c r="F28" t="s">
        <v>329</v>
      </c>
      <c r="G28" t="s">
        <v>329</v>
      </c>
      <c r="H28" t="s">
        <v>329</v>
      </c>
      <c r="I28" t="s">
        <v>329</v>
      </c>
    </row>
    <row r="29" spans="1:9" x14ac:dyDescent="0.2">
      <c r="A29" t="s">
        <v>356</v>
      </c>
      <c r="B29" t="s">
        <v>327</v>
      </c>
      <c r="D29" t="s">
        <v>328</v>
      </c>
      <c r="E29">
        <v>314</v>
      </c>
      <c r="F29" t="s">
        <v>329</v>
      </c>
      <c r="G29" t="s">
        <v>329</v>
      </c>
      <c r="H29" t="s">
        <v>329</v>
      </c>
      <c r="I29" t="s">
        <v>329</v>
      </c>
    </row>
    <row r="30" spans="1:9" x14ac:dyDescent="0.2">
      <c r="A30" t="s">
        <v>357</v>
      </c>
      <c r="B30" t="s">
        <v>327</v>
      </c>
      <c r="D30" t="s">
        <v>328</v>
      </c>
      <c r="E30">
        <v>318</v>
      </c>
      <c r="F30" t="s">
        <v>329</v>
      </c>
      <c r="G30" t="s">
        <v>329</v>
      </c>
      <c r="H30" t="s">
        <v>329</v>
      </c>
      <c r="I30" t="s">
        <v>329</v>
      </c>
    </row>
    <row r="31" spans="1:9" x14ac:dyDescent="0.2">
      <c r="A31" t="s">
        <v>358</v>
      </c>
      <c r="B31" t="s">
        <v>327</v>
      </c>
      <c r="D31" t="s">
        <v>328</v>
      </c>
      <c r="E31">
        <v>318</v>
      </c>
      <c r="F31" t="s">
        <v>329</v>
      </c>
      <c r="G31" t="s">
        <v>329</v>
      </c>
      <c r="H31" t="s">
        <v>329</v>
      </c>
      <c r="I31" t="s">
        <v>329</v>
      </c>
    </row>
    <row r="32" spans="1:9" x14ac:dyDescent="0.2">
      <c r="A32" t="s">
        <v>359</v>
      </c>
      <c r="B32" t="s">
        <v>327</v>
      </c>
      <c r="D32" t="s">
        <v>328</v>
      </c>
      <c r="E32">
        <v>322</v>
      </c>
      <c r="F32" t="s">
        <v>329</v>
      </c>
      <c r="G32" t="s">
        <v>329</v>
      </c>
      <c r="H32" t="s">
        <v>329</v>
      </c>
      <c r="I32" t="s">
        <v>329</v>
      </c>
    </row>
    <row r="33" spans="1:9" x14ac:dyDescent="0.2">
      <c r="A33" t="s">
        <v>360</v>
      </c>
      <c r="B33" t="s">
        <v>327</v>
      </c>
      <c r="D33" t="s">
        <v>328</v>
      </c>
      <c r="E33">
        <v>322</v>
      </c>
      <c r="F33" t="s">
        <v>329</v>
      </c>
      <c r="G33" t="s">
        <v>329</v>
      </c>
      <c r="H33" t="s">
        <v>329</v>
      </c>
      <c r="I33" t="s">
        <v>329</v>
      </c>
    </row>
    <row r="34" spans="1:9" x14ac:dyDescent="0.2">
      <c r="A34" t="s">
        <v>361</v>
      </c>
      <c r="B34" t="s">
        <v>327</v>
      </c>
      <c r="D34" t="s">
        <v>328</v>
      </c>
      <c r="E34">
        <v>323</v>
      </c>
      <c r="F34" t="s">
        <v>329</v>
      </c>
      <c r="G34" t="s">
        <v>329</v>
      </c>
      <c r="H34" t="s">
        <v>329</v>
      </c>
      <c r="I34" t="s">
        <v>329</v>
      </c>
    </row>
    <row r="35" spans="1:9" x14ac:dyDescent="0.2">
      <c r="A35" t="s">
        <v>362</v>
      </c>
      <c r="B35" t="s">
        <v>327</v>
      </c>
      <c r="D35" t="s">
        <v>328</v>
      </c>
      <c r="E35">
        <v>323</v>
      </c>
      <c r="F35" t="s">
        <v>329</v>
      </c>
      <c r="G35" t="s">
        <v>329</v>
      </c>
      <c r="H35" t="s">
        <v>329</v>
      </c>
      <c r="I35" t="s">
        <v>329</v>
      </c>
    </row>
    <row r="36" spans="1:9" x14ac:dyDescent="0.2">
      <c r="A36" t="s">
        <v>363</v>
      </c>
      <c r="B36" t="s">
        <v>327</v>
      </c>
      <c r="D36" t="s">
        <v>328</v>
      </c>
      <c r="E36">
        <v>326</v>
      </c>
      <c r="F36" t="s">
        <v>329</v>
      </c>
      <c r="G36" t="s">
        <v>329</v>
      </c>
      <c r="H36" t="s">
        <v>329</v>
      </c>
      <c r="I36" t="s">
        <v>329</v>
      </c>
    </row>
    <row r="37" spans="1:9" x14ac:dyDescent="0.2">
      <c r="A37" t="s">
        <v>364</v>
      </c>
      <c r="B37" t="s">
        <v>327</v>
      </c>
      <c r="D37" t="s">
        <v>328</v>
      </c>
      <c r="E37">
        <v>326</v>
      </c>
      <c r="F37" t="s">
        <v>329</v>
      </c>
      <c r="G37" t="s">
        <v>329</v>
      </c>
      <c r="H37" t="s">
        <v>329</v>
      </c>
      <c r="I37" t="s">
        <v>329</v>
      </c>
    </row>
    <row r="38" spans="1:9" x14ac:dyDescent="0.2">
      <c r="A38" t="s">
        <v>365</v>
      </c>
      <c r="B38" t="s">
        <v>327</v>
      </c>
      <c r="D38" t="s">
        <v>328</v>
      </c>
      <c r="E38">
        <v>327</v>
      </c>
      <c r="F38" t="s">
        <v>329</v>
      </c>
      <c r="G38" t="s">
        <v>329</v>
      </c>
      <c r="H38" t="s">
        <v>329</v>
      </c>
      <c r="I38" t="s">
        <v>329</v>
      </c>
    </row>
    <row r="39" spans="1:9" x14ac:dyDescent="0.2">
      <c r="A39" t="s">
        <v>366</v>
      </c>
      <c r="B39" t="s">
        <v>327</v>
      </c>
      <c r="D39" t="s">
        <v>328</v>
      </c>
      <c r="E39">
        <v>327</v>
      </c>
      <c r="F39" t="s">
        <v>329</v>
      </c>
      <c r="G39" t="s">
        <v>329</v>
      </c>
      <c r="H39" t="s">
        <v>329</v>
      </c>
      <c r="I39" t="s">
        <v>329</v>
      </c>
    </row>
    <row r="40" spans="1:9" x14ac:dyDescent="0.2">
      <c r="A40" t="s">
        <v>367</v>
      </c>
      <c r="B40" t="s">
        <v>327</v>
      </c>
      <c r="D40" t="s">
        <v>328</v>
      </c>
      <c r="E40">
        <v>328</v>
      </c>
      <c r="F40" t="s">
        <v>329</v>
      </c>
      <c r="G40" t="s">
        <v>329</v>
      </c>
      <c r="H40" t="s">
        <v>329</v>
      </c>
      <c r="I40" t="s">
        <v>329</v>
      </c>
    </row>
    <row r="41" spans="1:9" x14ac:dyDescent="0.2">
      <c r="A41" t="s">
        <v>368</v>
      </c>
      <c r="B41" t="s">
        <v>327</v>
      </c>
      <c r="D41" t="s">
        <v>328</v>
      </c>
      <c r="E41">
        <v>328</v>
      </c>
      <c r="F41" t="s">
        <v>329</v>
      </c>
      <c r="G41" t="s">
        <v>329</v>
      </c>
      <c r="H41" t="s">
        <v>329</v>
      </c>
      <c r="I41" t="s">
        <v>329</v>
      </c>
    </row>
    <row r="42" spans="1:9" x14ac:dyDescent="0.2">
      <c r="A42" t="s">
        <v>369</v>
      </c>
      <c r="B42" t="s">
        <v>327</v>
      </c>
      <c r="D42" t="s">
        <v>328</v>
      </c>
      <c r="E42">
        <v>331</v>
      </c>
      <c r="F42" t="s">
        <v>329</v>
      </c>
      <c r="G42" t="s">
        <v>329</v>
      </c>
      <c r="H42" t="s">
        <v>329</v>
      </c>
      <c r="I42" t="s">
        <v>329</v>
      </c>
    </row>
    <row r="43" spans="1:9" x14ac:dyDescent="0.2">
      <c r="A43" t="s">
        <v>370</v>
      </c>
      <c r="B43" t="s">
        <v>327</v>
      </c>
      <c r="D43" t="s">
        <v>328</v>
      </c>
      <c r="E43">
        <v>331</v>
      </c>
      <c r="F43" t="s">
        <v>329</v>
      </c>
      <c r="G43" t="s">
        <v>329</v>
      </c>
      <c r="H43" t="s">
        <v>329</v>
      </c>
      <c r="I43" t="s">
        <v>329</v>
      </c>
    </row>
    <row r="44" spans="1:9" x14ac:dyDescent="0.2">
      <c r="A44" t="s">
        <v>371</v>
      </c>
      <c r="B44" t="s">
        <v>327</v>
      </c>
      <c r="D44" t="s">
        <v>328</v>
      </c>
      <c r="E44">
        <v>332</v>
      </c>
      <c r="F44" t="s">
        <v>329</v>
      </c>
      <c r="G44" t="s">
        <v>329</v>
      </c>
      <c r="H44" t="s">
        <v>329</v>
      </c>
      <c r="I44" t="s">
        <v>329</v>
      </c>
    </row>
    <row r="45" spans="1:9" x14ac:dyDescent="0.2">
      <c r="A45" t="s">
        <v>372</v>
      </c>
      <c r="B45" t="s">
        <v>327</v>
      </c>
      <c r="D45" t="s">
        <v>328</v>
      </c>
      <c r="E45">
        <v>332</v>
      </c>
      <c r="F45" t="s">
        <v>329</v>
      </c>
      <c r="G45" t="s">
        <v>329</v>
      </c>
      <c r="H45" t="s">
        <v>329</v>
      </c>
      <c r="I45" t="s">
        <v>329</v>
      </c>
    </row>
    <row r="46" spans="1:9" x14ac:dyDescent="0.2">
      <c r="A46" t="s">
        <v>373</v>
      </c>
      <c r="B46" t="s">
        <v>327</v>
      </c>
      <c r="D46" t="s">
        <v>328</v>
      </c>
      <c r="E46">
        <v>333</v>
      </c>
      <c r="F46" t="s">
        <v>329</v>
      </c>
      <c r="G46" t="s">
        <v>329</v>
      </c>
      <c r="H46" t="s">
        <v>329</v>
      </c>
      <c r="I46" t="s">
        <v>329</v>
      </c>
    </row>
    <row r="47" spans="1:9" x14ac:dyDescent="0.2">
      <c r="A47" t="s">
        <v>374</v>
      </c>
      <c r="B47" t="s">
        <v>327</v>
      </c>
      <c r="D47" t="s">
        <v>328</v>
      </c>
      <c r="E47">
        <v>333</v>
      </c>
      <c r="F47" t="s">
        <v>329</v>
      </c>
      <c r="G47" t="s">
        <v>329</v>
      </c>
      <c r="H47" t="s">
        <v>329</v>
      </c>
      <c r="I47" t="s">
        <v>329</v>
      </c>
    </row>
    <row r="48" spans="1:9" x14ac:dyDescent="0.2">
      <c r="A48" t="s">
        <v>375</v>
      </c>
      <c r="B48" t="s">
        <v>327</v>
      </c>
      <c r="D48" t="s">
        <v>328</v>
      </c>
      <c r="E48">
        <v>336</v>
      </c>
      <c r="F48" t="s">
        <v>329</v>
      </c>
      <c r="G48" t="s">
        <v>329</v>
      </c>
      <c r="H48" t="s">
        <v>329</v>
      </c>
      <c r="I48" t="s">
        <v>329</v>
      </c>
    </row>
    <row r="49" spans="1:9" x14ac:dyDescent="0.2">
      <c r="A49" t="s">
        <v>376</v>
      </c>
      <c r="B49" t="s">
        <v>327</v>
      </c>
      <c r="D49" t="s">
        <v>328</v>
      </c>
      <c r="E49">
        <v>336</v>
      </c>
      <c r="F49" t="s">
        <v>329</v>
      </c>
      <c r="G49" t="s">
        <v>329</v>
      </c>
      <c r="H49" t="s">
        <v>329</v>
      </c>
      <c r="I49" t="s">
        <v>329</v>
      </c>
    </row>
    <row r="50" spans="1:9" x14ac:dyDescent="0.2">
      <c r="A50" t="s">
        <v>377</v>
      </c>
      <c r="B50" t="s">
        <v>327</v>
      </c>
      <c r="D50" t="s">
        <v>328</v>
      </c>
      <c r="E50">
        <v>337</v>
      </c>
      <c r="F50" t="s">
        <v>329</v>
      </c>
      <c r="G50" t="s">
        <v>329</v>
      </c>
      <c r="H50" t="s">
        <v>329</v>
      </c>
      <c r="I50" t="s">
        <v>329</v>
      </c>
    </row>
    <row r="51" spans="1:9" x14ac:dyDescent="0.2">
      <c r="A51" t="s">
        <v>378</v>
      </c>
      <c r="B51" t="s">
        <v>327</v>
      </c>
      <c r="D51" t="s">
        <v>328</v>
      </c>
      <c r="E51">
        <v>337</v>
      </c>
      <c r="F51" t="s">
        <v>329</v>
      </c>
      <c r="G51" t="s">
        <v>329</v>
      </c>
      <c r="H51" t="s">
        <v>329</v>
      </c>
      <c r="I51" t="s">
        <v>329</v>
      </c>
    </row>
    <row r="52" spans="1:9" x14ac:dyDescent="0.2">
      <c r="A52" t="s">
        <v>379</v>
      </c>
      <c r="B52" t="s">
        <v>327</v>
      </c>
      <c r="D52" t="s">
        <v>328</v>
      </c>
      <c r="E52">
        <v>341</v>
      </c>
      <c r="F52" t="s">
        <v>329</v>
      </c>
      <c r="G52" t="s">
        <v>329</v>
      </c>
      <c r="H52" t="s">
        <v>329</v>
      </c>
      <c r="I52" t="s">
        <v>329</v>
      </c>
    </row>
    <row r="53" spans="1:9" x14ac:dyDescent="0.2">
      <c r="A53" t="s">
        <v>380</v>
      </c>
      <c r="B53" t="s">
        <v>327</v>
      </c>
      <c r="D53" t="s">
        <v>328</v>
      </c>
      <c r="E53">
        <v>341</v>
      </c>
      <c r="F53" t="s">
        <v>329</v>
      </c>
      <c r="G53" t="s">
        <v>329</v>
      </c>
      <c r="H53" t="s">
        <v>329</v>
      </c>
      <c r="I53" t="s">
        <v>329</v>
      </c>
    </row>
    <row r="54" spans="1:9" x14ac:dyDescent="0.2">
      <c r="A54" t="s">
        <v>381</v>
      </c>
      <c r="B54" t="s">
        <v>327</v>
      </c>
      <c r="D54" t="s">
        <v>328</v>
      </c>
      <c r="E54">
        <v>342</v>
      </c>
      <c r="F54" t="s">
        <v>329</v>
      </c>
      <c r="G54" t="s">
        <v>329</v>
      </c>
      <c r="H54" t="s">
        <v>329</v>
      </c>
      <c r="I54" t="s">
        <v>329</v>
      </c>
    </row>
    <row r="55" spans="1:9" x14ac:dyDescent="0.2">
      <c r="A55" t="s">
        <v>382</v>
      </c>
      <c r="B55" t="s">
        <v>327</v>
      </c>
      <c r="D55" t="s">
        <v>328</v>
      </c>
      <c r="E55">
        <v>342</v>
      </c>
      <c r="F55" t="s">
        <v>329</v>
      </c>
      <c r="G55" t="s">
        <v>329</v>
      </c>
      <c r="H55" t="s">
        <v>329</v>
      </c>
      <c r="I55" t="s">
        <v>329</v>
      </c>
    </row>
    <row r="56" spans="1:9" x14ac:dyDescent="0.2">
      <c r="A56" t="s">
        <v>383</v>
      </c>
      <c r="B56" t="s">
        <v>327</v>
      </c>
      <c r="D56" t="s">
        <v>328</v>
      </c>
      <c r="E56">
        <v>343</v>
      </c>
      <c r="F56" t="s">
        <v>329</v>
      </c>
      <c r="G56" t="s">
        <v>329</v>
      </c>
      <c r="H56" t="s">
        <v>329</v>
      </c>
      <c r="I56" t="s">
        <v>329</v>
      </c>
    </row>
    <row r="57" spans="1:9" x14ac:dyDescent="0.2">
      <c r="A57" t="s">
        <v>384</v>
      </c>
      <c r="B57" t="s">
        <v>327</v>
      </c>
      <c r="D57" t="s">
        <v>328</v>
      </c>
      <c r="E57">
        <v>343</v>
      </c>
      <c r="F57" t="s">
        <v>329</v>
      </c>
      <c r="G57" t="s">
        <v>329</v>
      </c>
      <c r="H57" t="s">
        <v>329</v>
      </c>
      <c r="I57" t="s">
        <v>329</v>
      </c>
    </row>
    <row r="58" spans="1:9" x14ac:dyDescent="0.2">
      <c r="A58" t="s">
        <v>385</v>
      </c>
      <c r="B58" t="s">
        <v>327</v>
      </c>
      <c r="D58" t="s">
        <v>328</v>
      </c>
      <c r="E58">
        <v>346</v>
      </c>
      <c r="F58" t="s">
        <v>329</v>
      </c>
      <c r="G58" t="s">
        <v>329</v>
      </c>
      <c r="H58" t="s">
        <v>329</v>
      </c>
      <c r="I58" t="s">
        <v>329</v>
      </c>
    </row>
    <row r="59" spans="1:9" x14ac:dyDescent="0.2">
      <c r="A59" t="s">
        <v>386</v>
      </c>
      <c r="B59" t="s">
        <v>327</v>
      </c>
      <c r="D59" t="s">
        <v>328</v>
      </c>
      <c r="E59">
        <v>346</v>
      </c>
      <c r="F59" t="s">
        <v>329</v>
      </c>
      <c r="G59" t="s">
        <v>329</v>
      </c>
      <c r="H59" t="s">
        <v>329</v>
      </c>
      <c r="I59" t="s">
        <v>329</v>
      </c>
    </row>
    <row r="60" spans="1:9" x14ac:dyDescent="0.2">
      <c r="A60" t="s">
        <v>387</v>
      </c>
      <c r="B60" t="s">
        <v>327</v>
      </c>
      <c r="D60" t="s">
        <v>328</v>
      </c>
      <c r="E60">
        <v>347</v>
      </c>
      <c r="F60" t="s">
        <v>329</v>
      </c>
      <c r="G60" t="s">
        <v>329</v>
      </c>
      <c r="H60" t="s">
        <v>329</v>
      </c>
      <c r="I60" t="s">
        <v>329</v>
      </c>
    </row>
    <row r="61" spans="1:9" x14ac:dyDescent="0.2">
      <c r="A61" t="s">
        <v>388</v>
      </c>
      <c r="B61" t="s">
        <v>327</v>
      </c>
      <c r="D61" t="s">
        <v>328</v>
      </c>
      <c r="E61">
        <v>347</v>
      </c>
      <c r="F61" t="s">
        <v>329</v>
      </c>
      <c r="G61" t="s">
        <v>329</v>
      </c>
      <c r="H61" t="s">
        <v>329</v>
      </c>
      <c r="I61" t="s">
        <v>329</v>
      </c>
    </row>
    <row r="62" spans="1:9" x14ac:dyDescent="0.2">
      <c r="A62" t="s">
        <v>389</v>
      </c>
      <c r="B62" t="s">
        <v>327</v>
      </c>
      <c r="D62" t="s">
        <v>328</v>
      </c>
      <c r="E62">
        <v>403</v>
      </c>
      <c r="F62" t="s">
        <v>329</v>
      </c>
      <c r="G62" t="s">
        <v>329</v>
      </c>
      <c r="H62" t="s">
        <v>329</v>
      </c>
      <c r="I62" t="s">
        <v>329</v>
      </c>
    </row>
    <row r="63" spans="1:9" x14ac:dyDescent="0.2">
      <c r="A63" t="s">
        <v>390</v>
      </c>
      <c r="B63" t="s">
        <v>327</v>
      </c>
      <c r="D63" t="s">
        <v>328</v>
      </c>
      <c r="E63">
        <v>403</v>
      </c>
      <c r="F63" t="s">
        <v>329</v>
      </c>
      <c r="G63" t="s">
        <v>329</v>
      </c>
      <c r="H63" t="s">
        <v>329</v>
      </c>
      <c r="I63" t="s">
        <v>329</v>
      </c>
    </row>
    <row r="64" spans="1:9" x14ac:dyDescent="0.2">
      <c r="A64" t="s">
        <v>391</v>
      </c>
      <c r="B64" t="s">
        <v>327</v>
      </c>
      <c r="D64" t="s">
        <v>328</v>
      </c>
      <c r="E64">
        <v>404</v>
      </c>
      <c r="F64" t="s">
        <v>329</v>
      </c>
      <c r="G64" t="s">
        <v>329</v>
      </c>
      <c r="H64" t="s">
        <v>329</v>
      </c>
      <c r="I64" t="s">
        <v>329</v>
      </c>
    </row>
    <row r="65" spans="1:9" x14ac:dyDescent="0.2">
      <c r="A65" t="s">
        <v>392</v>
      </c>
      <c r="B65" t="s">
        <v>327</v>
      </c>
      <c r="D65" t="s">
        <v>328</v>
      </c>
      <c r="E65">
        <v>404</v>
      </c>
      <c r="F65" t="s">
        <v>329</v>
      </c>
      <c r="G65" t="s">
        <v>329</v>
      </c>
      <c r="H65" t="s">
        <v>329</v>
      </c>
      <c r="I65" t="s">
        <v>329</v>
      </c>
    </row>
    <row r="66" spans="1:9" x14ac:dyDescent="0.2">
      <c r="A66" t="s">
        <v>393</v>
      </c>
      <c r="B66" t="s">
        <v>327</v>
      </c>
      <c r="D66" t="s">
        <v>328</v>
      </c>
      <c r="E66">
        <v>297</v>
      </c>
      <c r="F66" t="s">
        <v>329</v>
      </c>
      <c r="G66" t="s">
        <v>329</v>
      </c>
      <c r="H66" t="s">
        <v>329</v>
      </c>
      <c r="I66" t="s">
        <v>329</v>
      </c>
    </row>
    <row r="67" spans="1:9" x14ac:dyDescent="0.2">
      <c r="A67" t="s">
        <v>394</v>
      </c>
      <c r="B67" t="s">
        <v>327</v>
      </c>
      <c r="D67" t="s">
        <v>328</v>
      </c>
      <c r="E67">
        <v>297</v>
      </c>
      <c r="F67" t="s">
        <v>329</v>
      </c>
      <c r="G67" t="s">
        <v>329</v>
      </c>
      <c r="H67" t="s">
        <v>329</v>
      </c>
      <c r="I67" t="s">
        <v>329</v>
      </c>
    </row>
    <row r="68" spans="1:9" x14ac:dyDescent="0.2">
      <c r="A68" t="s">
        <v>395</v>
      </c>
      <c r="B68" t="s">
        <v>327</v>
      </c>
      <c r="D68" t="s">
        <v>328</v>
      </c>
      <c r="E68">
        <v>302</v>
      </c>
      <c r="F68" t="s">
        <v>329</v>
      </c>
      <c r="G68" t="s">
        <v>329</v>
      </c>
      <c r="H68" t="s">
        <v>329</v>
      </c>
      <c r="I68" t="s">
        <v>329</v>
      </c>
    </row>
    <row r="69" spans="1:9" x14ac:dyDescent="0.2">
      <c r="A69" t="s">
        <v>396</v>
      </c>
      <c r="B69" t="s">
        <v>327</v>
      </c>
      <c r="D69" t="s">
        <v>328</v>
      </c>
      <c r="E69">
        <v>302</v>
      </c>
      <c r="F69" t="s">
        <v>329</v>
      </c>
      <c r="G69" t="s">
        <v>329</v>
      </c>
      <c r="H69" t="s">
        <v>329</v>
      </c>
      <c r="I69" t="s">
        <v>329</v>
      </c>
    </row>
    <row r="70" spans="1:9" x14ac:dyDescent="0.2">
      <c r="A70" t="s">
        <v>397</v>
      </c>
      <c r="B70" t="s">
        <v>327</v>
      </c>
      <c r="D70" t="s">
        <v>328</v>
      </c>
      <c r="E70">
        <v>319</v>
      </c>
      <c r="F70" t="s">
        <v>329</v>
      </c>
      <c r="G70" t="s">
        <v>329</v>
      </c>
      <c r="H70" t="s">
        <v>329</v>
      </c>
      <c r="I70" t="s">
        <v>329</v>
      </c>
    </row>
    <row r="71" spans="1:9" x14ac:dyDescent="0.2">
      <c r="A71" t="s">
        <v>398</v>
      </c>
      <c r="B71" t="s">
        <v>327</v>
      </c>
      <c r="D71" t="s">
        <v>328</v>
      </c>
      <c r="E71">
        <v>319</v>
      </c>
      <c r="F71" t="s">
        <v>329</v>
      </c>
      <c r="G71" t="s">
        <v>329</v>
      </c>
      <c r="H71" t="s">
        <v>329</v>
      </c>
      <c r="I71" t="s">
        <v>329</v>
      </c>
    </row>
    <row r="72" spans="1:9" x14ac:dyDescent="0.2">
      <c r="A72" t="s">
        <v>399</v>
      </c>
      <c r="B72" t="s">
        <v>327</v>
      </c>
      <c r="D72" t="s">
        <v>328</v>
      </c>
      <c r="E72">
        <v>329</v>
      </c>
      <c r="F72" t="s">
        <v>329</v>
      </c>
      <c r="G72" t="s">
        <v>329</v>
      </c>
      <c r="H72" t="s">
        <v>329</v>
      </c>
      <c r="I72" t="s">
        <v>329</v>
      </c>
    </row>
    <row r="73" spans="1:9" x14ac:dyDescent="0.2">
      <c r="A73" t="s">
        <v>400</v>
      </c>
      <c r="B73" t="s">
        <v>327</v>
      </c>
      <c r="D73" t="s">
        <v>328</v>
      </c>
      <c r="E73">
        <v>329</v>
      </c>
      <c r="F73" t="s">
        <v>329</v>
      </c>
      <c r="G73" t="s">
        <v>329</v>
      </c>
      <c r="H73" t="s">
        <v>329</v>
      </c>
      <c r="I73" t="s">
        <v>329</v>
      </c>
    </row>
    <row r="74" spans="1:9" x14ac:dyDescent="0.2">
      <c r="A74" t="s">
        <v>401</v>
      </c>
      <c r="B74" t="s">
        <v>327</v>
      </c>
      <c r="D74" t="s">
        <v>328</v>
      </c>
      <c r="E74">
        <v>339</v>
      </c>
      <c r="F74" t="s">
        <v>329</v>
      </c>
      <c r="G74" t="s">
        <v>329</v>
      </c>
      <c r="H74" t="s">
        <v>329</v>
      </c>
      <c r="I74" t="s">
        <v>329</v>
      </c>
    </row>
    <row r="75" spans="1:9" x14ac:dyDescent="0.2">
      <c r="A75" t="s">
        <v>402</v>
      </c>
      <c r="B75" t="s">
        <v>327</v>
      </c>
      <c r="D75" t="s">
        <v>328</v>
      </c>
      <c r="E75">
        <v>339</v>
      </c>
      <c r="F75" t="s">
        <v>329</v>
      </c>
      <c r="G75" t="s">
        <v>329</v>
      </c>
      <c r="H75" t="s">
        <v>329</v>
      </c>
      <c r="I75" t="s">
        <v>329</v>
      </c>
    </row>
    <row r="76" spans="1:9" x14ac:dyDescent="0.2">
      <c r="A76" t="s">
        <v>403</v>
      </c>
      <c r="B76" t="s">
        <v>327</v>
      </c>
      <c r="D76" t="s">
        <v>328</v>
      </c>
      <c r="E76">
        <v>348</v>
      </c>
      <c r="F76" t="s">
        <v>329</v>
      </c>
      <c r="G76" t="s">
        <v>329</v>
      </c>
      <c r="H76" t="s">
        <v>329</v>
      </c>
      <c r="I76" t="s">
        <v>329</v>
      </c>
    </row>
    <row r="77" spans="1:9" x14ac:dyDescent="0.2">
      <c r="A77" t="s">
        <v>404</v>
      </c>
      <c r="B77" t="s">
        <v>327</v>
      </c>
      <c r="D77" t="s">
        <v>328</v>
      </c>
      <c r="E77">
        <v>348</v>
      </c>
      <c r="F77" t="s">
        <v>329</v>
      </c>
      <c r="G77" t="s">
        <v>329</v>
      </c>
      <c r="H77" t="s">
        <v>329</v>
      </c>
      <c r="I77" t="s">
        <v>329</v>
      </c>
    </row>
    <row r="78" spans="1:9" x14ac:dyDescent="0.2">
      <c r="A78" t="s">
        <v>405</v>
      </c>
      <c r="B78" t="s">
        <v>327</v>
      </c>
      <c r="D78" t="s">
        <v>328</v>
      </c>
      <c r="E78">
        <v>349</v>
      </c>
      <c r="F78" t="s">
        <v>329</v>
      </c>
      <c r="G78" t="s">
        <v>329</v>
      </c>
      <c r="H78" t="s">
        <v>329</v>
      </c>
      <c r="I78" t="s">
        <v>329</v>
      </c>
    </row>
    <row r="79" spans="1:9" x14ac:dyDescent="0.2">
      <c r="A79" t="s">
        <v>406</v>
      </c>
      <c r="B79" t="s">
        <v>327</v>
      </c>
      <c r="D79" t="s">
        <v>328</v>
      </c>
      <c r="E79">
        <v>349</v>
      </c>
      <c r="F79" t="s">
        <v>329</v>
      </c>
      <c r="G79" t="s">
        <v>329</v>
      </c>
      <c r="H79" t="s">
        <v>329</v>
      </c>
      <c r="I79" t="s">
        <v>329</v>
      </c>
    </row>
    <row r="80" spans="1:9" x14ac:dyDescent="0.2">
      <c r="A80" t="s">
        <v>407</v>
      </c>
      <c r="B80" t="s">
        <v>327</v>
      </c>
      <c r="D80" t="s">
        <v>328</v>
      </c>
      <c r="E80" t="s">
        <v>408</v>
      </c>
      <c r="F80" t="s">
        <v>329</v>
      </c>
      <c r="G80" t="s">
        <v>329</v>
      </c>
      <c r="H80" t="s">
        <v>329</v>
      </c>
      <c r="I80" t="s">
        <v>329</v>
      </c>
    </row>
    <row r="81" spans="1:9" x14ac:dyDescent="0.2">
      <c r="A81" t="s">
        <v>409</v>
      </c>
      <c r="B81" t="s">
        <v>327</v>
      </c>
      <c r="D81" t="s">
        <v>328</v>
      </c>
      <c r="E81" t="s">
        <v>408</v>
      </c>
      <c r="F81" t="s">
        <v>329</v>
      </c>
      <c r="G81" t="s">
        <v>329</v>
      </c>
      <c r="H81" t="s">
        <v>329</v>
      </c>
      <c r="I81" t="s">
        <v>329</v>
      </c>
    </row>
    <row r="82" spans="1:9" x14ac:dyDescent="0.2">
      <c r="A82" t="s">
        <v>410</v>
      </c>
      <c r="B82" t="s">
        <v>327</v>
      </c>
      <c r="D82" t="s">
        <v>411</v>
      </c>
      <c r="E82" t="s">
        <v>411</v>
      </c>
      <c r="F82" t="s">
        <v>329</v>
      </c>
      <c r="G82" t="s">
        <v>329</v>
      </c>
      <c r="H82" t="s">
        <v>329</v>
      </c>
      <c r="I82" t="s">
        <v>329</v>
      </c>
    </row>
    <row r="83" spans="1:9" x14ac:dyDescent="0.2">
      <c r="A83" t="s">
        <v>412</v>
      </c>
      <c r="B83" t="s">
        <v>327</v>
      </c>
      <c r="D83" t="s">
        <v>411</v>
      </c>
      <c r="E83" t="s">
        <v>411</v>
      </c>
      <c r="F83" t="s">
        <v>329</v>
      </c>
      <c r="G83" t="s">
        <v>329</v>
      </c>
      <c r="H83" t="s">
        <v>329</v>
      </c>
      <c r="I83" t="s">
        <v>329</v>
      </c>
    </row>
    <row r="84" spans="1:9" x14ac:dyDescent="0.2">
      <c r="A84" t="s">
        <v>413</v>
      </c>
      <c r="B84" t="s">
        <v>327</v>
      </c>
      <c r="D84" t="s">
        <v>414</v>
      </c>
      <c r="E84" t="s">
        <v>415</v>
      </c>
      <c r="F84">
        <v>77.599999999999994</v>
      </c>
      <c r="G84">
        <v>447.94</v>
      </c>
      <c r="H84">
        <v>76</v>
      </c>
      <c r="I84">
        <v>93.2</v>
      </c>
    </row>
    <row r="85" spans="1:9" x14ac:dyDescent="0.2">
      <c r="A85" t="s">
        <v>416</v>
      </c>
      <c r="B85" t="s">
        <v>327</v>
      </c>
      <c r="D85" t="s">
        <v>414</v>
      </c>
      <c r="E85" t="s">
        <v>415</v>
      </c>
      <c r="F85">
        <v>76</v>
      </c>
      <c r="G85">
        <v>454.08</v>
      </c>
      <c r="H85">
        <v>75.8</v>
      </c>
      <c r="I85">
        <v>88.8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072B-66F3-FA4F-B705-2BD628123ABB}">
  <dimension ref="A1:I97"/>
  <sheetViews>
    <sheetView topLeftCell="A18" workbookViewId="0">
      <selection activeCell="M19" sqref="M19"/>
    </sheetView>
  </sheetViews>
  <sheetFormatPr baseColWidth="10" defaultRowHeight="16" x14ac:dyDescent="0.2"/>
  <cols>
    <col min="5" max="5" width="10.83203125" style="158"/>
  </cols>
  <sheetData>
    <row r="1" spans="1:9" x14ac:dyDescent="0.2">
      <c r="A1" t="s">
        <v>317</v>
      </c>
      <c r="B1" t="s">
        <v>318</v>
      </c>
      <c r="C1" t="s">
        <v>319</v>
      </c>
      <c r="D1" t="s">
        <v>320</v>
      </c>
      <c r="E1" s="158" t="s">
        <v>321</v>
      </c>
      <c r="F1" t="s">
        <v>322</v>
      </c>
      <c r="G1" t="s">
        <v>323</v>
      </c>
      <c r="H1" t="s">
        <v>324</v>
      </c>
      <c r="I1" t="s">
        <v>325</v>
      </c>
    </row>
    <row r="2" spans="1:9" x14ac:dyDescent="0.2">
      <c r="A2" t="s">
        <v>326</v>
      </c>
      <c r="B2" t="s">
        <v>327</v>
      </c>
      <c r="D2" t="s">
        <v>328</v>
      </c>
      <c r="E2" s="158">
        <v>413</v>
      </c>
      <c r="F2" t="s">
        <v>329</v>
      </c>
      <c r="G2" t="s">
        <v>329</v>
      </c>
      <c r="H2" t="s">
        <v>329</v>
      </c>
      <c r="I2" t="s">
        <v>329</v>
      </c>
    </row>
    <row r="3" spans="1:9" x14ac:dyDescent="0.2">
      <c r="A3" t="s">
        <v>330</v>
      </c>
      <c r="B3" t="s">
        <v>327</v>
      </c>
      <c r="D3" t="s">
        <v>328</v>
      </c>
      <c r="E3" s="158">
        <v>413</v>
      </c>
      <c r="F3" t="s">
        <v>329</v>
      </c>
      <c r="G3" t="s">
        <v>329</v>
      </c>
      <c r="H3" t="s">
        <v>329</v>
      </c>
      <c r="I3" t="s">
        <v>329</v>
      </c>
    </row>
    <row r="4" spans="1:9" x14ac:dyDescent="0.2">
      <c r="A4" t="s">
        <v>331</v>
      </c>
      <c r="B4" t="s">
        <v>327</v>
      </c>
      <c r="D4" t="s">
        <v>328</v>
      </c>
      <c r="E4" s="158">
        <v>414</v>
      </c>
      <c r="F4" t="s">
        <v>329</v>
      </c>
      <c r="G4" t="s">
        <v>329</v>
      </c>
      <c r="H4" t="s">
        <v>329</v>
      </c>
      <c r="I4" t="s">
        <v>329</v>
      </c>
    </row>
    <row r="5" spans="1:9" x14ac:dyDescent="0.2">
      <c r="A5" t="s">
        <v>332</v>
      </c>
      <c r="B5" t="s">
        <v>327</v>
      </c>
      <c r="D5" t="s">
        <v>328</v>
      </c>
      <c r="E5" s="158">
        <v>414</v>
      </c>
      <c r="F5" t="s">
        <v>329</v>
      </c>
      <c r="G5" t="s">
        <v>329</v>
      </c>
      <c r="H5" t="s">
        <v>329</v>
      </c>
      <c r="I5" t="s">
        <v>329</v>
      </c>
    </row>
    <row r="6" spans="1:9" x14ac:dyDescent="0.2">
      <c r="A6" t="s">
        <v>333</v>
      </c>
      <c r="B6" t="s">
        <v>327</v>
      </c>
      <c r="D6" t="s">
        <v>328</v>
      </c>
      <c r="E6" s="158">
        <v>434</v>
      </c>
      <c r="F6" t="s">
        <v>329</v>
      </c>
      <c r="G6" t="s">
        <v>329</v>
      </c>
      <c r="H6" t="s">
        <v>329</v>
      </c>
      <c r="I6" t="s">
        <v>329</v>
      </c>
    </row>
    <row r="7" spans="1:9" x14ac:dyDescent="0.2">
      <c r="A7" t="s">
        <v>334</v>
      </c>
      <c r="B7" t="s">
        <v>327</v>
      </c>
      <c r="D7" t="s">
        <v>328</v>
      </c>
      <c r="E7" s="158">
        <v>434</v>
      </c>
      <c r="F7" t="s">
        <v>329</v>
      </c>
      <c r="G7" t="s">
        <v>329</v>
      </c>
      <c r="H7" t="s">
        <v>329</v>
      </c>
      <c r="I7" t="s">
        <v>329</v>
      </c>
    </row>
    <row r="8" spans="1:9" x14ac:dyDescent="0.2">
      <c r="A8" t="s">
        <v>335</v>
      </c>
      <c r="B8" t="s">
        <v>327</v>
      </c>
      <c r="D8" t="s">
        <v>328</v>
      </c>
      <c r="E8" s="158">
        <v>443</v>
      </c>
      <c r="F8" t="s">
        <v>329</v>
      </c>
      <c r="G8" t="s">
        <v>329</v>
      </c>
      <c r="H8" t="s">
        <v>329</v>
      </c>
      <c r="I8" t="s">
        <v>329</v>
      </c>
    </row>
    <row r="9" spans="1:9" x14ac:dyDescent="0.2">
      <c r="A9" t="s">
        <v>336</v>
      </c>
      <c r="B9" t="s">
        <v>327</v>
      </c>
      <c r="D9" t="s">
        <v>328</v>
      </c>
      <c r="E9" s="158">
        <v>443</v>
      </c>
      <c r="F9" t="s">
        <v>329</v>
      </c>
      <c r="G9" t="s">
        <v>329</v>
      </c>
      <c r="H9" t="s">
        <v>329</v>
      </c>
      <c r="I9" t="s">
        <v>329</v>
      </c>
    </row>
    <row r="10" spans="1:9" x14ac:dyDescent="0.2">
      <c r="A10" t="s">
        <v>337</v>
      </c>
      <c r="B10" t="s">
        <v>327</v>
      </c>
      <c r="D10" t="s">
        <v>328</v>
      </c>
      <c r="E10" s="158">
        <v>444</v>
      </c>
      <c r="F10" t="s">
        <v>329</v>
      </c>
      <c r="G10" t="s">
        <v>329</v>
      </c>
      <c r="H10" t="s">
        <v>329</v>
      </c>
      <c r="I10" t="s">
        <v>329</v>
      </c>
    </row>
    <row r="11" spans="1:9" x14ac:dyDescent="0.2">
      <c r="A11" t="s">
        <v>338</v>
      </c>
      <c r="B11" t="s">
        <v>327</v>
      </c>
      <c r="D11" t="s">
        <v>328</v>
      </c>
      <c r="E11" s="158">
        <v>444</v>
      </c>
      <c r="F11" t="s">
        <v>329</v>
      </c>
      <c r="G11" t="s">
        <v>329</v>
      </c>
      <c r="H11" t="s">
        <v>329</v>
      </c>
      <c r="I11" t="s">
        <v>329</v>
      </c>
    </row>
    <row r="12" spans="1:9" x14ac:dyDescent="0.2">
      <c r="A12" t="s">
        <v>339</v>
      </c>
      <c r="B12" t="s">
        <v>327</v>
      </c>
      <c r="D12" t="s">
        <v>328</v>
      </c>
      <c r="E12" s="158">
        <v>445</v>
      </c>
      <c r="F12" t="s">
        <v>329</v>
      </c>
      <c r="G12" t="s">
        <v>329</v>
      </c>
      <c r="H12" t="s">
        <v>329</v>
      </c>
      <c r="I12" t="s">
        <v>329</v>
      </c>
    </row>
    <row r="13" spans="1:9" x14ac:dyDescent="0.2">
      <c r="A13" t="s">
        <v>340</v>
      </c>
      <c r="B13" t="s">
        <v>327</v>
      </c>
      <c r="D13" t="s">
        <v>328</v>
      </c>
      <c r="E13" s="158">
        <v>445</v>
      </c>
      <c r="F13" t="s">
        <v>329</v>
      </c>
      <c r="G13" t="s">
        <v>329</v>
      </c>
      <c r="H13" t="s">
        <v>329</v>
      </c>
      <c r="I13" t="s">
        <v>329</v>
      </c>
    </row>
    <row r="14" spans="1:9" x14ac:dyDescent="0.2">
      <c r="A14" t="s">
        <v>341</v>
      </c>
      <c r="B14" t="s">
        <v>327</v>
      </c>
      <c r="D14" t="s">
        <v>328</v>
      </c>
      <c r="E14" s="158">
        <v>453</v>
      </c>
      <c r="F14" t="s">
        <v>329</v>
      </c>
      <c r="G14" t="s">
        <v>329</v>
      </c>
      <c r="H14" t="s">
        <v>329</v>
      </c>
      <c r="I14" t="s">
        <v>329</v>
      </c>
    </row>
    <row r="15" spans="1:9" x14ac:dyDescent="0.2">
      <c r="A15" t="s">
        <v>342</v>
      </c>
      <c r="B15" t="s">
        <v>327</v>
      </c>
      <c r="D15" t="s">
        <v>328</v>
      </c>
      <c r="E15" s="158">
        <v>453</v>
      </c>
      <c r="F15" t="s">
        <v>329</v>
      </c>
      <c r="G15" t="s">
        <v>329</v>
      </c>
      <c r="H15" t="s">
        <v>329</v>
      </c>
      <c r="I15" t="s">
        <v>329</v>
      </c>
    </row>
    <row r="16" spans="1:9" x14ac:dyDescent="0.2">
      <c r="A16" t="s">
        <v>343</v>
      </c>
      <c r="B16" t="s">
        <v>327</v>
      </c>
      <c r="D16" t="s">
        <v>328</v>
      </c>
      <c r="E16" s="158">
        <v>473</v>
      </c>
      <c r="F16" t="s">
        <v>329</v>
      </c>
      <c r="G16" t="s">
        <v>329</v>
      </c>
      <c r="H16" t="s">
        <v>329</v>
      </c>
      <c r="I16" t="s">
        <v>329</v>
      </c>
    </row>
    <row r="17" spans="1:9" x14ac:dyDescent="0.2">
      <c r="A17" t="s">
        <v>344</v>
      </c>
      <c r="B17" t="s">
        <v>327</v>
      </c>
      <c r="D17" t="s">
        <v>328</v>
      </c>
      <c r="E17" s="158">
        <v>473</v>
      </c>
      <c r="F17" t="s">
        <v>329</v>
      </c>
      <c r="G17" t="s">
        <v>329</v>
      </c>
      <c r="H17" t="s">
        <v>329</v>
      </c>
      <c r="I17" t="s">
        <v>329</v>
      </c>
    </row>
    <row r="18" spans="1:9" x14ac:dyDescent="0.2">
      <c r="A18" t="s">
        <v>345</v>
      </c>
      <c r="B18" t="s">
        <v>327</v>
      </c>
      <c r="D18" t="s">
        <v>328</v>
      </c>
      <c r="E18" s="158">
        <v>474</v>
      </c>
      <c r="F18" t="s">
        <v>329</v>
      </c>
      <c r="G18" t="s">
        <v>329</v>
      </c>
      <c r="H18" t="s">
        <v>329</v>
      </c>
      <c r="I18" t="s">
        <v>329</v>
      </c>
    </row>
    <row r="19" spans="1:9" x14ac:dyDescent="0.2">
      <c r="A19" t="s">
        <v>346</v>
      </c>
      <c r="B19" t="s">
        <v>327</v>
      </c>
      <c r="D19" t="s">
        <v>328</v>
      </c>
      <c r="E19" s="158">
        <v>474</v>
      </c>
      <c r="F19" t="s">
        <v>329</v>
      </c>
      <c r="G19" t="s">
        <v>329</v>
      </c>
      <c r="H19" t="s">
        <v>329</v>
      </c>
      <c r="I19" t="s">
        <v>329</v>
      </c>
    </row>
    <row r="20" spans="1:9" x14ac:dyDescent="0.2">
      <c r="A20" t="s">
        <v>347</v>
      </c>
      <c r="B20" t="s">
        <v>327</v>
      </c>
      <c r="D20" t="s">
        <v>328</v>
      </c>
      <c r="E20" s="158">
        <v>475</v>
      </c>
      <c r="F20">
        <v>76</v>
      </c>
      <c r="G20">
        <v>453.23</v>
      </c>
      <c r="H20">
        <v>75.8</v>
      </c>
      <c r="I20">
        <v>91.8</v>
      </c>
    </row>
    <row r="21" spans="1:9" x14ac:dyDescent="0.2">
      <c r="A21" t="s">
        <v>348</v>
      </c>
      <c r="B21" t="s">
        <v>327</v>
      </c>
      <c r="D21" t="s">
        <v>328</v>
      </c>
      <c r="E21" s="158">
        <v>475</v>
      </c>
      <c r="F21" t="s">
        <v>329</v>
      </c>
      <c r="G21" t="s">
        <v>329</v>
      </c>
      <c r="H21" t="s">
        <v>329</v>
      </c>
      <c r="I21" t="s">
        <v>329</v>
      </c>
    </row>
    <row r="22" spans="1:9" x14ac:dyDescent="0.2">
      <c r="A22" t="s">
        <v>349</v>
      </c>
      <c r="B22" t="s">
        <v>327</v>
      </c>
      <c r="D22" t="s">
        <v>328</v>
      </c>
      <c r="E22" s="158">
        <v>487</v>
      </c>
      <c r="F22" t="s">
        <v>329</v>
      </c>
      <c r="G22" t="s">
        <v>329</v>
      </c>
      <c r="H22" t="s">
        <v>329</v>
      </c>
      <c r="I22" t="s">
        <v>329</v>
      </c>
    </row>
    <row r="23" spans="1:9" x14ac:dyDescent="0.2">
      <c r="A23" t="s">
        <v>350</v>
      </c>
      <c r="B23" t="s">
        <v>327</v>
      </c>
      <c r="D23" t="s">
        <v>328</v>
      </c>
      <c r="E23" s="158">
        <v>487</v>
      </c>
      <c r="F23" t="s">
        <v>329</v>
      </c>
      <c r="G23" t="s">
        <v>329</v>
      </c>
      <c r="H23" t="s">
        <v>329</v>
      </c>
      <c r="I23" t="s">
        <v>329</v>
      </c>
    </row>
    <row r="24" spans="1:9" x14ac:dyDescent="0.2">
      <c r="A24" t="s">
        <v>351</v>
      </c>
      <c r="B24" t="s">
        <v>327</v>
      </c>
      <c r="D24" t="s">
        <v>328</v>
      </c>
      <c r="E24" s="158">
        <v>483</v>
      </c>
      <c r="F24" t="s">
        <v>329</v>
      </c>
      <c r="G24" t="s">
        <v>329</v>
      </c>
      <c r="H24" t="s">
        <v>329</v>
      </c>
      <c r="I24" t="s">
        <v>329</v>
      </c>
    </row>
    <row r="25" spans="1:9" x14ac:dyDescent="0.2">
      <c r="A25" t="s">
        <v>352</v>
      </c>
      <c r="B25" t="s">
        <v>327</v>
      </c>
      <c r="D25" t="s">
        <v>328</v>
      </c>
      <c r="E25" s="158">
        <v>483</v>
      </c>
      <c r="F25" t="s">
        <v>329</v>
      </c>
      <c r="G25" t="s">
        <v>329</v>
      </c>
      <c r="H25" t="s">
        <v>329</v>
      </c>
      <c r="I25" t="s">
        <v>329</v>
      </c>
    </row>
    <row r="26" spans="1:9" x14ac:dyDescent="0.2">
      <c r="A26" t="s">
        <v>353</v>
      </c>
      <c r="B26" t="s">
        <v>327</v>
      </c>
      <c r="D26" t="s">
        <v>328</v>
      </c>
      <c r="E26" s="158">
        <v>485</v>
      </c>
      <c r="F26" t="s">
        <v>329</v>
      </c>
      <c r="G26" t="s">
        <v>329</v>
      </c>
      <c r="H26" t="s">
        <v>329</v>
      </c>
      <c r="I26" t="s">
        <v>329</v>
      </c>
    </row>
    <row r="27" spans="1:9" x14ac:dyDescent="0.2">
      <c r="A27" t="s">
        <v>354</v>
      </c>
      <c r="B27" t="s">
        <v>327</v>
      </c>
      <c r="D27" t="s">
        <v>328</v>
      </c>
      <c r="E27" s="158">
        <v>485</v>
      </c>
      <c r="F27" t="s">
        <v>329</v>
      </c>
      <c r="G27" t="s">
        <v>329</v>
      </c>
      <c r="H27" t="s">
        <v>329</v>
      </c>
      <c r="I27" t="s">
        <v>329</v>
      </c>
    </row>
    <row r="28" spans="1:9" x14ac:dyDescent="0.2">
      <c r="A28" t="s">
        <v>355</v>
      </c>
      <c r="B28" t="s">
        <v>327</v>
      </c>
      <c r="D28" t="s">
        <v>328</v>
      </c>
      <c r="E28" s="158" t="s">
        <v>264</v>
      </c>
      <c r="F28" t="s">
        <v>329</v>
      </c>
      <c r="G28" t="s">
        <v>329</v>
      </c>
      <c r="H28" t="s">
        <v>329</v>
      </c>
      <c r="I28" t="s">
        <v>329</v>
      </c>
    </row>
    <row r="29" spans="1:9" x14ac:dyDescent="0.2">
      <c r="A29" t="s">
        <v>356</v>
      </c>
      <c r="B29" t="s">
        <v>327</v>
      </c>
      <c r="D29" t="s">
        <v>328</v>
      </c>
      <c r="E29" s="158" t="s">
        <v>264</v>
      </c>
      <c r="F29" t="s">
        <v>329</v>
      </c>
      <c r="G29" t="s">
        <v>329</v>
      </c>
      <c r="H29" t="s">
        <v>329</v>
      </c>
      <c r="I29" t="s">
        <v>329</v>
      </c>
    </row>
    <row r="30" spans="1:9" x14ac:dyDescent="0.2">
      <c r="A30" t="s">
        <v>357</v>
      </c>
      <c r="B30" t="s">
        <v>327</v>
      </c>
      <c r="D30" t="s">
        <v>328</v>
      </c>
      <c r="E30" s="158">
        <v>492</v>
      </c>
      <c r="F30" t="s">
        <v>329</v>
      </c>
      <c r="G30" t="s">
        <v>329</v>
      </c>
      <c r="H30" t="s">
        <v>329</v>
      </c>
      <c r="I30" t="s">
        <v>329</v>
      </c>
    </row>
    <row r="31" spans="1:9" x14ac:dyDescent="0.2">
      <c r="A31" t="s">
        <v>358</v>
      </c>
      <c r="B31" t="s">
        <v>327</v>
      </c>
      <c r="D31" t="s">
        <v>328</v>
      </c>
      <c r="E31" s="158">
        <v>492</v>
      </c>
      <c r="F31" t="s">
        <v>329</v>
      </c>
      <c r="G31" t="s">
        <v>329</v>
      </c>
      <c r="H31" t="s">
        <v>329</v>
      </c>
      <c r="I31" t="s">
        <v>329</v>
      </c>
    </row>
    <row r="32" spans="1:9" x14ac:dyDescent="0.2">
      <c r="A32" t="s">
        <v>359</v>
      </c>
      <c r="B32" t="s">
        <v>327</v>
      </c>
      <c r="D32" t="s">
        <v>328</v>
      </c>
      <c r="E32" s="158">
        <v>523</v>
      </c>
      <c r="F32" t="s">
        <v>329</v>
      </c>
      <c r="G32" t="s">
        <v>329</v>
      </c>
      <c r="H32" t="s">
        <v>329</v>
      </c>
      <c r="I32" t="s">
        <v>329</v>
      </c>
    </row>
    <row r="33" spans="1:9" x14ac:dyDescent="0.2">
      <c r="A33" t="s">
        <v>360</v>
      </c>
      <c r="B33" t="s">
        <v>327</v>
      </c>
      <c r="D33" t="s">
        <v>328</v>
      </c>
      <c r="E33" s="158">
        <v>523</v>
      </c>
      <c r="F33" t="s">
        <v>329</v>
      </c>
      <c r="G33" t="s">
        <v>329</v>
      </c>
      <c r="H33" t="s">
        <v>329</v>
      </c>
      <c r="I33" t="s">
        <v>329</v>
      </c>
    </row>
    <row r="34" spans="1:9" x14ac:dyDescent="0.2">
      <c r="A34" t="s">
        <v>361</v>
      </c>
      <c r="B34" t="s">
        <v>327</v>
      </c>
      <c r="D34" t="s">
        <v>328</v>
      </c>
      <c r="E34" s="158">
        <v>524</v>
      </c>
      <c r="F34" t="s">
        <v>329</v>
      </c>
      <c r="G34" t="s">
        <v>329</v>
      </c>
      <c r="H34" t="s">
        <v>329</v>
      </c>
      <c r="I34" t="s">
        <v>329</v>
      </c>
    </row>
    <row r="35" spans="1:9" x14ac:dyDescent="0.2">
      <c r="A35" t="s">
        <v>362</v>
      </c>
      <c r="B35" t="s">
        <v>327</v>
      </c>
      <c r="D35" t="s">
        <v>328</v>
      </c>
      <c r="E35" s="158">
        <v>524</v>
      </c>
      <c r="F35" t="s">
        <v>329</v>
      </c>
      <c r="G35" t="s">
        <v>329</v>
      </c>
      <c r="H35" t="s">
        <v>329</v>
      </c>
      <c r="I35" t="s">
        <v>329</v>
      </c>
    </row>
    <row r="36" spans="1:9" x14ac:dyDescent="0.2">
      <c r="A36" t="s">
        <v>363</v>
      </c>
      <c r="B36" t="s">
        <v>327</v>
      </c>
      <c r="D36" t="s">
        <v>328</v>
      </c>
      <c r="E36" s="158">
        <v>525</v>
      </c>
      <c r="F36" t="s">
        <v>329</v>
      </c>
      <c r="G36" t="s">
        <v>329</v>
      </c>
      <c r="H36" t="s">
        <v>329</v>
      </c>
      <c r="I36" t="s">
        <v>329</v>
      </c>
    </row>
    <row r="37" spans="1:9" x14ac:dyDescent="0.2">
      <c r="A37" t="s">
        <v>364</v>
      </c>
      <c r="B37" t="s">
        <v>327</v>
      </c>
      <c r="D37" t="s">
        <v>328</v>
      </c>
      <c r="E37" s="158">
        <v>525</v>
      </c>
      <c r="F37" t="s">
        <v>329</v>
      </c>
      <c r="G37" t="s">
        <v>329</v>
      </c>
      <c r="H37" t="s">
        <v>329</v>
      </c>
      <c r="I37" t="s">
        <v>329</v>
      </c>
    </row>
    <row r="38" spans="1:9" x14ac:dyDescent="0.2">
      <c r="A38" t="s">
        <v>365</v>
      </c>
      <c r="B38" t="s">
        <v>327</v>
      </c>
      <c r="D38" t="s">
        <v>328</v>
      </c>
      <c r="E38" s="158">
        <v>526</v>
      </c>
      <c r="F38" t="s">
        <v>329</v>
      </c>
      <c r="G38" t="s">
        <v>329</v>
      </c>
      <c r="H38" t="s">
        <v>329</v>
      </c>
      <c r="I38" t="s">
        <v>329</v>
      </c>
    </row>
    <row r="39" spans="1:9" x14ac:dyDescent="0.2">
      <c r="A39" t="s">
        <v>366</v>
      </c>
      <c r="B39" t="s">
        <v>327</v>
      </c>
      <c r="D39" t="s">
        <v>328</v>
      </c>
      <c r="E39" s="158">
        <v>526</v>
      </c>
      <c r="F39" t="s">
        <v>329</v>
      </c>
      <c r="G39" t="s">
        <v>329</v>
      </c>
      <c r="H39" t="s">
        <v>329</v>
      </c>
      <c r="I39" t="s">
        <v>329</v>
      </c>
    </row>
    <row r="40" spans="1:9" x14ac:dyDescent="0.2">
      <c r="A40" t="s">
        <v>367</v>
      </c>
      <c r="B40" t="s">
        <v>327</v>
      </c>
      <c r="D40" t="s">
        <v>328</v>
      </c>
      <c r="E40" s="158">
        <v>532</v>
      </c>
      <c r="F40" t="s">
        <v>329</v>
      </c>
      <c r="G40" t="s">
        <v>329</v>
      </c>
      <c r="H40" t="s">
        <v>329</v>
      </c>
      <c r="I40" t="s">
        <v>329</v>
      </c>
    </row>
    <row r="41" spans="1:9" x14ac:dyDescent="0.2">
      <c r="A41" t="s">
        <v>368</v>
      </c>
      <c r="B41" t="s">
        <v>327</v>
      </c>
      <c r="D41" t="s">
        <v>328</v>
      </c>
      <c r="E41" s="158">
        <v>532</v>
      </c>
      <c r="F41" t="s">
        <v>329</v>
      </c>
      <c r="G41" t="s">
        <v>329</v>
      </c>
      <c r="H41" t="s">
        <v>329</v>
      </c>
      <c r="I41" t="s">
        <v>329</v>
      </c>
    </row>
    <row r="42" spans="1:9" x14ac:dyDescent="0.2">
      <c r="A42" t="s">
        <v>369</v>
      </c>
      <c r="B42" t="s">
        <v>327</v>
      </c>
      <c r="D42" t="s">
        <v>328</v>
      </c>
      <c r="E42" s="158">
        <v>533</v>
      </c>
      <c r="F42" t="s">
        <v>329</v>
      </c>
      <c r="G42" t="s">
        <v>329</v>
      </c>
      <c r="H42" t="s">
        <v>329</v>
      </c>
      <c r="I42" t="s">
        <v>329</v>
      </c>
    </row>
    <row r="43" spans="1:9" x14ac:dyDescent="0.2">
      <c r="A43" t="s">
        <v>370</v>
      </c>
      <c r="B43" t="s">
        <v>327</v>
      </c>
      <c r="D43" t="s">
        <v>328</v>
      </c>
      <c r="E43" s="158">
        <v>533</v>
      </c>
      <c r="F43" t="s">
        <v>329</v>
      </c>
      <c r="G43" t="s">
        <v>329</v>
      </c>
      <c r="H43" t="s">
        <v>329</v>
      </c>
      <c r="I43" t="s">
        <v>329</v>
      </c>
    </row>
    <row r="44" spans="1:9" x14ac:dyDescent="0.2">
      <c r="A44" t="s">
        <v>371</v>
      </c>
      <c r="B44" t="s">
        <v>327</v>
      </c>
      <c r="D44" t="s">
        <v>328</v>
      </c>
      <c r="E44" s="158">
        <v>543</v>
      </c>
      <c r="F44" t="s">
        <v>329</v>
      </c>
      <c r="G44" t="s">
        <v>329</v>
      </c>
      <c r="H44" t="s">
        <v>329</v>
      </c>
      <c r="I44" t="s">
        <v>329</v>
      </c>
    </row>
    <row r="45" spans="1:9" x14ac:dyDescent="0.2">
      <c r="A45" t="s">
        <v>372</v>
      </c>
      <c r="B45" t="s">
        <v>327</v>
      </c>
      <c r="D45" t="s">
        <v>328</v>
      </c>
      <c r="E45" s="158">
        <v>543</v>
      </c>
      <c r="F45">
        <v>76.8</v>
      </c>
      <c r="G45">
        <v>546</v>
      </c>
      <c r="H45">
        <v>76</v>
      </c>
      <c r="I45">
        <v>92.8</v>
      </c>
    </row>
    <row r="46" spans="1:9" x14ac:dyDescent="0.2">
      <c r="A46" t="s">
        <v>373</v>
      </c>
      <c r="B46" t="s">
        <v>327</v>
      </c>
      <c r="D46" t="s">
        <v>328</v>
      </c>
      <c r="E46" s="158">
        <v>553</v>
      </c>
      <c r="F46" t="s">
        <v>329</v>
      </c>
      <c r="G46" t="s">
        <v>329</v>
      </c>
      <c r="H46" t="s">
        <v>329</v>
      </c>
      <c r="I46" t="s">
        <v>329</v>
      </c>
    </row>
    <row r="47" spans="1:9" x14ac:dyDescent="0.2">
      <c r="A47" t="s">
        <v>374</v>
      </c>
      <c r="B47" t="s">
        <v>327</v>
      </c>
      <c r="D47" t="s">
        <v>328</v>
      </c>
      <c r="E47" s="158">
        <v>553</v>
      </c>
      <c r="F47" t="s">
        <v>329</v>
      </c>
      <c r="G47" t="s">
        <v>329</v>
      </c>
      <c r="H47" t="s">
        <v>329</v>
      </c>
      <c r="I47" t="s">
        <v>329</v>
      </c>
    </row>
    <row r="48" spans="1:9" x14ac:dyDescent="0.2">
      <c r="A48" t="s">
        <v>375</v>
      </c>
      <c r="B48" t="s">
        <v>327</v>
      </c>
      <c r="D48" t="s">
        <v>328</v>
      </c>
      <c r="E48" s="158">
        <v>551</v>
      </c>
      <c r="F48" t="s">
        <v>329</v>
      </c>
      <c r="G48" t="s">
        <v>329</v>
      </c>
      <c r="H48" t="s">
        <v>329</v>
      </c>
      <c r="I48" t="s">
        <v>329</v>
      </c>
    </row>
    <row r="49" spans="1:9" x14ac:dyDescent="0.2">
      <c r="A49" t="s">
        <v>376</v>
      </c>
      <c r="B49" t="s">
        <v>327</v>
      </c>
      <c r="D49" t="s">
        <v>328</v>
      </c>
      <c r="E49" s="158">
        <v>551</v>
      </c>
      <c r="F49" t="s">
        <v>329</v>
      </c>
      <c r="G49" t="s">
        <v>329</v>
      </c>
      <c r="H49" t="s">
        <v>329</v>
      </c>
      <c r="I49" t="s">
        <v>329</v>
      </c>
    </row>
    <row r="50" spans="1:9" x14ac:dyDescent="0.2">
      <c r="A50" t="s">
        <v>377</v>
      </c>
      <c r="B50" t="s">
        <v>327</v>
      </c>
      <c r="D50" t="s">
        <v>328</v>
      </c>
      <c r="E50" s="158">
        <v>554</v>
      </c>
      <c r="F50" t="s">
        <v>329</v>
      </c>
      <c r="G50" t="s">
        <v>329</v>
      </c>
      <c r="H50" t="s">
        <v>329</v>
      </c>
      <c r="I50" t="s">
        <v>329</v>
      </c>
    </row>
    <row r="51" spans="1:9" x14ac:dyDescent="0.2">
      <c r="A51" t="s">
        <v>378</v>
      </c>
      <c r="B51" t="s">
        <v>327</v>
      </c>
      <c r="D51" t="s">
        <v>328</v>
      </c>
      <c r="E51" s="158">
        <v>554</v>
      </c>
      <c r="F51" t="s">
        <v>329</v>
      </c>
      <c r="G51" t="s">
        <v>329</v>
      </c>
      <c r="H51" t="s">
        <v>329</v>
      </c>
      <c r="I51" t="s">
        <v>329</v>
      </c>
    </row>
    <row r="52" spans="1:9" x14ac:dyDescent="0.2">
      <c r="A52" t="s">
        <v>379</v>
      </c>
      <c r="B52" t="s">
        <v>327</v>
      </c>
      <c r="D52" t="s">
        <v>328</v>
      </c>
      <c r="E52" s="158">
        <v>562</v>
      </c>
      <c r="F52" t="s">
        <v>329</v>
      </c>
      <c r="G52" t="s">
        <v>329</v>
      </c>
      <c r="H52" t="s">
        <v>329</v>
      </c>
      <c r="I52" t="s">
        <v>329</v>
      </c>
    </row>
    <row r="53" spans="1:9" x14ac:dyDescent="0.2">
      <c r="A53" t="s">
        <v>380</v>
      </c>
      <c r="B53" t="s">
        <v>327</v>
      </c>
      <c r="D53" t="s">
        <v>328</v>
      </c>
      <c r="E53" s="158">
        <v>562</v>
      </c>
      <c r="F53" t="s">
        <v>329</v>
      </c>
      <c r="G53" t="s">
        <v>329</v>
      </c>
      <c r="H53" t="s">
        <v>329</v>
      </c>
      <c r="I53" t="s">
        <v>329</v>
      </c>
    </row>
    <row r="54" spans="1:9" x14ac:dyDescent="0.2">
      <c r="A54" t="s">
        <v>381</v>
      </c>
      <c r="B54" t="s">
        <v>327</v>
      </c>
      <c r="D54" t="s">
        <v>328</v>
      </c>
      <c r="E54" s="158">
        <v>563</v>
      </c>
      <c r="F54" t="s">
        <v>329</v>
      </c>
      <c r="G54" t="s">
        <v>329</v>
      </c>
      <c r="H54" t="s">
        <v>329</v>
      </c>
      <c r="I54" t="s">
        <v>329</v>
      </c>
    </row>
    <row r="55" spans="1:9" x14ac:dyDescent="0.2">
      <c r="A55" t="s">
        <v>382</v>
      </c>
      <c r="B55" t="s">
        <v>327</v>
      </c>
      <c r="D55" t="s">
        <v>328</v>
      </c>
      <c r="E55" s="158">
        <v>563</v>
      </c>
      <c r="F55" t="s">
        <v>329</v>
      </c>
      <c r="G55" t="s">
        <v>329</v>
      </c>
      <c r="H55" t="s">
        <v>329</v>
      </c>
      <c r="I55" t="s">
        <v>329</v>
      </c>
    </row>
    <row r="56" spans="1:9" x14ac:dyDescent="0.2">
      <c r="A56" t="s">
        <v>383</v>
      </c>
      <c r="B56" t="s">
        <v>327</v>
      </c>
      <c r="D56" t="s">
        <v>328</v>
      </c>
      <c r="E56" s="158" t="s">
        <v>419</v>
      </c>
      <c r="F56" t="s">
        <v>329</v>
      </c>
      <c r="G56" t="s">
        <v>329</v>
      </c>
      <c r="H56" t="s">
        <v>329</v>
      </c>
      <c r="I56" t="s">
        <v>329</v>
      </c>
    </row>
    <row r="57" spans="1:9" x14ac:dyDescent="0.2">
      <c r="A57" t="s">
        <v>384</v>
      </c>
      <c r="B57" t="s">
        <v>327</v>
      </c>
      <c r="D57" t="s">
        <v>328</v>
      </c>
      <c r="E57" s="158" t="s">
        <v>419</v>
      </c>
      <c r="F57" t="s">
        <v>329</v>
      </c>
      <c r="G57" t="s">
        <v>329</v>
      </c>
      <c r="H57" t="s">
        <v>329</v>
      </c>
      <c r="I57" t="s">
        <v>329</v>
      </c>
    </row>
    <row r="58" spans="1:9" x14ac:dyDescent="0.2">
      <c r="A58" t="s">
        <v>385</v>
      </c>
      <c r="B58" t="s">
        <v>327</v>
      </c>
      <c r="D58" t="s">
        <v>328</v>
      </c>
      <c r="E58" s="158">
        <v>43</v>
      </c>
      <c r="F58" t="s">
        <v>329</v>
      </c>
      <c r="G58" t="s">
        <v>329</v>
      </c>
      <c r="H58" t="s">
        <v>329</v>
      </c>
      <c r="I58" t="s">
        <v>329</v>
      </c>
    </row>
    <row r="59" spans="1:9" x14ac:dyDescent="0.2">
      <c r="A59" t="s">
        <v>386</v>
      </c>
      <c r="B59" t="s">
        <v>327</v>
      </c>
      <c r="D59" t="s">
        <v>328</v>
      </c>
      <c r="E59" s="158">
        <v>43</v>
      </c>
      <c r="F59" t="s">
        <v>329</v>
      </c>
      <c r="G59" t="s">
        <v>329</v>
      </c>
      <c r="H59" t="s">
        <v>329</v>
      </c>
      <c r="I59" t="s">
        <v>329</v>
      </c>
    </row>
    <row r="60" spans="1:9" x14ac:dyDescent="0.2">
      <c r="A60" t="s">
        <v>387</v>
      </c>
      <c r="B60" t="s">
        <v>327</v>
      </c>
      <c r="D60" t="s">
        <v>328</v>
      </c>
      <c r="E60" s="158">
        <v>291</v>
      </c>
      <c r="F60" t="s">
        <v>329</v>
      </c>
      <c r="G60" t="s">
        <v>329</v>
      </c>
      <c r="H60" t="s">
        <v>329</v>
      </c>
      <c r="I60" t="s">
        <v>329</v>
      </c>
    </row>
    <row r="61" spans="1:9" x14ac:dyDescent="0.2">
      <c r="A61" t="s">
        <v>388</v>
      </c>
      <c r="B61" t="s">
        <v>327</v>
      </c>
      <c r="D61" t="s">
        <v>328</v>
      </c>
      <c r="E61" s="158">
        <v>291</v>
      </c>
      <c r="F61" t="s">
        <v>329</v>
      </c>
      <c r="G61" t="s">
        <v>329</v>
      </c>
      <c r="H61" t="s">
        <v>329</v>
      </c>
      <c r="I61" t="s">
        <v>329</v>
      </c>
    </row>
    <row r="62" spans="1:9" x14ac:dyDescent="0.2">
      <c r="A62" t="s">
        <v>389</v>
      </c>
      <c r="B62" t="s">
        <v>327</v>
      </c>
      <c r="D62" t="s">
        <v>328</v>
      </c>
      <c r="E62" s="158">
        <v>294</v>
      </c>
      <c r="F62" t="s">
        <v>329</v>
      </c>
      <c r="G62" t="s">
        <v>329</v>
      </c>
      <c r="H62" t="s">
        <v>329</v>
      </c>
      <c r="I62" t="s">
        <v>329</v>
      </c>
    </row>
    <row r="63" spans="1:9" x14ac:dyDescent="0.2">
      <c r="A63" t="s">
        <v>390</v>
      </c>
      <c r="B63" t="s">
        <v>327</v>
      </c>
      <c r="D63" t="s">
        <v>328</v>
      </c>
      <c r="E63" s="158">
        <v>294</v>
      </c>
      <c r="F63" t="s">
        <v>329</v>
      </c>
      <c r="G63" t="s">
        <v>329</v>
      </c>
      <c r="H63" t="s">
        <v>329</v>
      </c>
      <c r="I63" t="s">
        <v>329</v>
      </c>
    </row>
    <row r="64" spans="1:9" x14ac:dyDescent="0.2">
      <c r="A64" t="s">
        <v>391</v>
      </c>
      <c r="B64" t="s">
        <v>327</v>
      </c>
      <c r="D64" t="s">
        <v>328</v>
      </c>
      <c r="E64" s="158">
        <v>299</v>
      </c>
      <c r="F64" t="s">
        <v>329</v>
      </c>
      <c r="G64" t="s">
        <v>329</v>
      </c>
      <c r="H64" t="s">
        <v>329</v>
      </c>
      <c r="I64" t="s">
        <v>329</v>
      </c>
    </row>
    <row r="65" spans="1:9" x14ac:dyDescent="0.2">
      <c r="A65" t="s">
        <v>392</v>
      </c>
      <c r="B65" t="s">
        <v>327</v>
      </c>
      <c r="D65" t="s">
        <v>328</v>
      </c>
      <c r="E65" s="158">
        <v>299</v>
      </c>
      <c r="F65" t="s">
        <v>329</v>
      </c>
      <c r="G65" t="s">
        <v>329</v>
      </c>
      <c r="H65" t="s">
        <v>329</v>
      </c>
      <c r="I65" t="s">
        <v>329</v>
      </c>
    </row>
    <row r="66" spans="1:9" x14ac:dyDescent="0.2">
      <c r="A66" t="s">
        <v>393</v>
      </c>
      <c r="B66" t="s">
        <v>327</v>
      </c>
      <c r="D66" t="s">
        <v>328</v>
      </c>
      <c r="E66" s="158">
        <v>304</v>
      </c>
      <c r="F66" t="s">
        <v>329</v>
      </c>
      <c r="G66" t="s">
        <v>329</v>
      </c>
      <c r="H66" t="s">
        <v>329</v>
      </c>
      <c r="I66" t="s">
        <v>329</v>
      </c>
    </row>
    <row r="67" spans="1:9" x14ac:dyDescent="0.2">
      <c r="A67" t="s">
        <v>394</v>
      </c>
      <c r="B67" t="s">
        <v>327</v>
      </c>
      <c r="D67" t="s">
        <v>328</v>
      </c>
      <c r="E67" s="158">
        <v>304</v>
      </c>
      <c r="F67" t="s">
        <v>329</v>
      </c>
      <c r="G67" t="s">
        <v>329</v>
      </c>
      <c r="H67" t="s">
        <v>329</v>
      </c>
      <c r="I67" t="s">
        <v>329</v>
      </c>
    </row>
    <row r="68" spans="1:9" x14ac:dyDescent="0.2">
      <c r="A68" t="s">
        <v>395</v>
      </c>
      <c r="B68" t="s">
        <v>327</v>
      </c>
      <c r="D68" t="s">
        <v>328</v>
      </c>
      <c r="E68" s="158">
        <v>306</v>
      </c>
      <c r="F68" t="s">
        <v>329</v>
      </c>
      <c r="G68" t="s">
        <v>329</v>
      </c>
      <c r="H68" t="s">
        <v>329</v>
      </c>
      <c r="I68" t="s">
        <v>329</v>
      </c>
    </row>
    <row r="69" spans="1:9" x14ac:dyDescent="0.2">
      <c r="A69" t="s">
        <v>396</v>
      </c>
      <c r="B69" t="s">
        <v>327</v>
      </c>
      <c r="D69" t="s">
        <v>328</v>
      </c>
      <c r="E69" s="158">
        <v>306</v>
      </c>
      <c r="F69" t="s">
        <v>329</v>
      </c>
      <c r="G69" t="s">
        <v>329</v>
      </c>
      <c r="H69" t="s">
        <v>329</v>
      </c>
      <c r="I69" t="s">
        <v>329</v>
      </c>
    </row>
    <row r="70" spans="1:9" x14ac:dyDescent="0.2">
      <c r="A70" t="s">
        <v>397</v>
      </c>
      <c r="B70" t="s">
        <v>327</v>
      </c>
      <c r="D70" t="s">
        <v>328</v>
      </c>
      <c r="E70" s="158">
        <v>309</v>
      </c>
      <c r="F70" t="s">
        <v>329</v>
      </c>
      <c r="G70" t="s">
        <v>329</v>
      </c>
      <c r="H70" t="s">
        <v>329</v>
      </c>
      <c r="I70" t="s">
        <v>329</v>
      </c>
    </row>
    <row r="71" spans="1:9" x14ac:dyDescent="0.2">
      <c r="A71" t="s">
        <v>398</v>
      </c>
      <c r="B71" t="s">
        <v>327</v>
      </c>
      <c r="D71" t="s">
        <v>328</v>
      </c>
      <c r="E71" s="158">
        <v>309</v>
      </c>
      <c r="F71" t="s">
        <v>329</v>
      </c>
      <c r="G71" t="s">
        <v>329</v>
      </c>
      <c r="H71" t="s">
        <v>329</v>
      </c>
      <c r="I71" t="s">
        <v>329</v>
      </c>
    </row>
    <row r="72" spans="1:9" x14ac:dyDescent="0.2">
      <c r="A72" t="s">
        <v>399</v>
      </c>
      <c r="B72" t="s">
        <v>327</v>
      </c>
      <c r="D72" t="s">
        <v>328</v>
      </c>
      <c r="E72" s="158">
        <v>315</v>
      </c>
      <c r="F72" t="s">
        <v>329</v>
      </c>
      <c r="G72" t="s">
        <v>329</v>
      </c>
      <c r="H72" t="s">
        <v>329</v>
      </c>
      <c r="I72" t="s">
        <v>329</v>
      </c>
    </row>
    <row r="73" spans="1:9" x14ac:dyDescent="0.2">
      <c r="A73" t="s">
        <v>400</v>
      </c>
      <c r="B73" t="s">
        <v>327</v>
      </c>
      <c r="D73" t="s">
        <v>328</v>
      </c>
      <c r="E73" s="158">
        <v>315</v>
      </c>
      <c r="F73" t="s">
        <v>329</v>
      </c>
      <c r="G73" t="s">
        <v>329</v>
      </c>
      <c r="H73" t="s">
        <v>329</v>
      </c>
      <c r="I73" t="s">
        <v>329</v>
      </c>
    </row>
    <row r="74" spans="1:9" x14ac:dyDescent="0.2">
      <c r="A74" t="s">
        <v>401</v>
      </c>
      <c r="B74" t="s">
        <v>327</v>
      </c>
      <c r="D74" t="s">
        <v>328</v>
      </c>
      <c r="E74" s="158">
        <v>316</v>
      </c>
      <c r="F74" t="s">
        <v>329</v>
      </c>
      <c r="G74" t="s">
        <v>329</v>
      </c>
      <c r="H74" t="s">
        <v>329</v>
      </c>
      <c r="I74" t="s">
        <v>329</v>
      </c>
    </row>
    <row r="75" spans="1:9" x14ac:dyDescent="0.2">
      <c r="A75" t="s">
        <v>402</v>
      </c>
      <c r="B75" t="s">
        <v>327</v>
      </c>
      <c r="D75" t="s">
        <v>328</v>
      </c>
      <c r="E75" s="158">
        <v>316</v>
      </c>
      <c r="F75" t="s">
        <v>329</v>
      </c>
      <c r="G75" t="s">
        <v>329</v>
      </c>
      <c r="H75" t="s">
        <v>329</v>
      </c>
      <c r="I75" t="s">
        <v>329</v>
      </c>
    </row>
    <row r="76" spans="1:9" x14ac:dyDescent="0.2">
      <c r="A76" t="s">
        <v>403</v>
      </c>
      <c r="B76" t="s">
        <v>327</v>
      </c>
      <c r="D76" t="s">
        <v>328</v>
      </c>
      <c r="E76" s="158">
        <v>317</v>
      </c>
      <c r="F76" t="s">
        <v>329</v>
      </c>
      <c r="G76" t="s">
        <v>329</v>
      </c>
      <c r="H76" t="s">
        <v>329</v>
      </c>
      <c r="I76" t="s">
        <v>329</v>
      </c>
    </row>
    <row r="77" spans="1:9" x14ac:dyDescent="0.2">
      <c r="A77" t="s">
        <v>404</v>
      </c>
      <c r="B77" t="s">
        <v>327</v>
      </c>
      <c r="D77" t="s">
        <v>328</v>
      </c>
      <c r="E77" s="158">
        <v>317</v>
      </c>
      <c r="F77" t="s">
        <v>329</v>
      </c>
      <c r="G77" t="s">
        <v>329</v>
      </c>
      <c r="H77" t="s">
        <v>329</v>
      </c>
      <c r="I77" t="s">
        <v>329</v>
      </c>
    </row>
    <row r="78" spans="1:9" x14ac:dyDescent="0.2">
      <c r="A78" t="s">
        <v>405</v>
      </c>
      <c r="B78" t="s">
        <v>327</v>
      </c>
      <c r="D78" t="s">
        <v>328</v>
      </c>
      <c r="E78" s="158">
        <v>321</v>
      </c>
      <c r="F78" t="s">
        <v>329</v>
      </c>
      <c r="G78" t="s">
        <v>329</v>
      </c>
      <c r="H78" t="s">
        <v>329</v>
      </c>
      <c r="I78" t="s">
        <v>329</v>
      </c>
    </row>
    <row r="79" spans="1:9" x14ac:dyDescent="0.2">
      <c r="A79" t="s">
        <v>406</v>
      </c>
      <c r="B79" t="s">
        <v>327</v>
      </c>
      <c r="D79" t="s">
        <v>328</v>
      </c>
      <c r="E79" s="158">
        <v>321</v>
      </c>
      <c r="F79" t="s">
        <v>329</v>
      </c>
      <c r="G79" t="s">
        <v>329</v>
      </c>
      <c r="H79" t="s">
        <v>329</v>
      </c>
      <c r="I79" t="s">
        <v>329</v>
      </c>
    </row>
    <row r="80" spans="1:9" x14ac:dyDescent="0.2">
      <c r="A80" t="s">
        <v>407</v>
      </c>
      <c r="B80" t="s">
        <v>327</v>
      </c>
      <c r="D80" t="s">
        <v>328</v>
      </c>
      <c r="E80" s="158">
        <v>324</v>
      </c>
      <c r="F80" t="s">
        <v>329</v>
      </c>
      <c r="G80" t="s">
        <v>329</v>
      </c>
      <c r="H80" t="s">
        <v>329</v>
      </c>
      <c r="I80" t="s">
        <v>329</v>
      </c>
    </row>
    <row r="81" spans="1:9" x14ac:dyDescent="0.2">
      <c r="A81" t="s">
        <v>409</v>
      </c>
      <c r="B81" t="s">
        <v>327</v>
      </c>
      <c r="D81" t="s">
        <v>328</v>
      </c>
      <c r="E81" s="158">
        <v>324</v>
      </c>
      <c r="F81" t="s">
        <v>329</v>
      </c>
      <c r="G81" t="s">
        <v>329</v>
      </c>
      <c r="H81" t="s">
        <v>329</v>
      </c>
      <c r="I81" t="s">
        <v>329</v>
      </c>
    </row>
    <row r="82" spans="1:9" x14ac:dyDescent="0.2">
      <c r="A82" t="s">
        <v>410</v>
      </c>
      <c r="B82" t="s">
        <v>327</v>
      </c>
      <c r="D82" t="s">
        <v>328</v>
      </c>
      <c r="E82" s="158">
        <v>325</v>
      </c>
      <c r="F82" t="s">
        <v>329</v>
      </c>
      <c r="G82" t="s">
        <v>329</v>
      </c>
      <c r="H82" t="s">
        <v>329</v>
      </c>
      <c r="I82" t="s">
        <v>329</v>
      </c>
    </row>
    <row r="83" spans="1:9" x14ac:dyDescent="0.2">
      <c r="A83" t="s">
        <v>412</v>
      </c>
      <c r="B83" t="s">
        <v>327</v>
      </c>
      <c r="D83" t="s">
        <v>328</v>
      </c>
      <c r="E83" s="158">
        <v>325</v>
      </c>
      <c r="F83" t="s">
        <v>329</v>
      </c>
      <c r="G83" t="s">
        <v>329</v>
      </c>
      <c r="H83" t="s">
        <v>329</v>
      </c>
      <c r="I83" t="s">
        <v>329</v>
      </c>
    </row>
    <row r="84" spans="1:9" x14ac:dyDescent="0.2">
      <c r="A84" t="s">
        <v>413</v>
      </c>
      <c r="B84" t="s">
        <v>327</v>
      </c>
      <c r="D84" t="s">
        <v>328</v>
      </c>
      <c r="E84" s="158">
        <v>46</v>
      </c>
      <c r="F84" t="s">
        <v>329</v>
      </c>
      <c r="G84" t="s">
        <v>329</v>
      </c>
      <c r="H84" t="s">
        <v>329</v>
      </c>
      <c r="I84" t="s">
        <v>329</v>
      </c>
    </row>
    <row r="85" spans="1:9" x14ac:dyDescent="0.2">
      <c r="A85" t="s">
        <v>416</v>
      </c>
      <c r="B85" t="s">
        <v>327</v>
      </c>
      <c r="D85" t="s">
        <v>328</v>
      </c>
      <c r="E85" s="158">
        <v>46</v>
      </c>
      <c r="F85" t="s">
        <v>329</v>
      </c>
      <c r="G85" t="s">
        <v>329</v>
      </c>
      <c r="H85" t="s">
        <v>329</v>
      </c>
      <c r="I85" t="s">
        <v>329</v>
      </c>
    </row>
    <row r="86" spans="1:9" x14ac:dyDescent="0.2">
      <c r="A86" t="s">
        <v>420</v>
      </c>
      <c r="B86" t="s">
        <v>327</v>
      </c>
      <c r="D86" t="s">
        <v>328</v>
      </c>
      <c r="E86" s="158">
        <v>334</v>
      </c>
      <c r="F86" t="s">
        <v>329</v>
      </c>
      <c r="G86" t="s">
        <v>329</v>
      </c>
      <c r="H86" t="s">
        <v>329</v>
      </c>
      <c r="I86" t="s">
        <v>329</v>
      </c>
    </row>
    <row r="87" spans="1:9" x14ac:dyDescent="0.2">
      <c r="A87" t="s">
        <v>421</v>
      </c>
      <c r="B87" t="s">
        <v>327</v>
      </c>
      <c r="D87" t="s">
        <v>328</v>
      </c>
      <c r="E87" s="158">
        <v>334</v>
      </c>
      <c r="F87" t="s">
        <v>329</v>
      </c>
      <c r="G87" t="s">
        <v>329</v>
      </c>
      <c r="H87" t="s">
        <v>329</v>
      </c>
      <c r="I87" t="s">
        <v>329</v>
      </c>
    </row>
    <row r="88" spans="1:9" x14ac:dyDescent="0.2">
      <c r="A88" t="s">
        <v>422</v>
      </c>
      <c r="B88" t="s">
        <v>327</v>
      </c>
      <c r="D88" t="s">
        <v>328</v>
      </c>
      <c r="E88" s="158">
        <v>335</v>
      </c>
      <c r="F88" t="s">
        <v>329</v>
      </c>
      <c r="G88" t="s">
        <v>329</v>
      </c>
      <c r="H88" t="s">
        <v>329</v>
      </c>
      <c r="I88" t="s">
        <v>329</v>
      </c>
    </row>
    <row r="89" spans="1:9" x14ac:dyDescent="0.2">
      <c r="A89" t="s">
        <v>423</v>
      </c>
      <c r="B89" t="s">
        <v>327</v>
      </c>
      <c r="D89" t="s">
        <v>328</v>
      </c>
      <c r="E89" s="158">
        <v>335</v>
      </c>
      <c r="F89" t="s">
        <v>329</v>
      </c>
      <c r="G89" t="s">
        <v>329</v>
      </c>
      <c r="H89" t="s">
        <v>329</v>
      </c>
      <c r="I89" t="s">
        <v>329</v>
      </c>
    </row>
    <row r="90" spans="1:9" x14ac:dyDescent="0.2">
      <c r="A90" t="s">
        <v>424</v>
      </c>
      <c r="B90" t="s">
        <v>327</v>
      </c>
      <c r="D90" t="s">
        <v>328</v>
      </c>
      <c r="E90" s="158">
        <v>338</v>
      </c>
      <c r="F90" t="s">
        <v>329</v>
      </c>
      <c r="G90" t="s">
        <v>329</v>
      </c>
      <c r="H90" t="s">
        <v>329</v>
      </c>
      <c r="I90" t="s">
        <v>329</v>
      </c>
    </row>
    <row r="91" spans="1:9" x14ac:dyDescent="0.2">
      <c r="A91" t="s">
        <v>425</v>
      </c>
      <c r="B91" t="s">
        <v>327</v>
      </c>
      <c r="D91" t="s">
        <v>328</v>
      </c>
      <c r="E91" s="158">
        <v>338</v>
      </c>
      <c r="F91" t="s">
        <v>329</v>
      </c>
      <c r="G91" t="s">
        <v>329</v>
      </c>
      <c r="H91" t="s">
        <v>329</v>
      </c>
      <c r="I91" t="s">
        <v>329</v>
      </c>
    </row>
    <row r="92" spans="1:9" x14ac:dyDescent="0.2">
      <c r="A92" t="s">
        <v>426</v>
      </c>
      <c r="B92" t="s">
        <v>327</v>
      </c>
      <c r="D92" t="s">
        <v>328</v>
      </c>
      <c r="E92" s="158">
        <v>344</v>
      </c>
      <c r="F92" t="s">
        <v>329</v>
      </c>
      <c r="G92" t="s">
        <v>329</v>
      </c>
      <c r="H92" t="s">
        <v>329</v>
      </c>
      <c r="I92" t="s">
        <v>329</v>
      </c>
    </row>
    <row r="93" spans="1:9" x14ac:dyDescent="0.2">
      <c r="A93" t="s">
        <v>427</v>
      </c>
      <c r="B93" t="s">
        <v>327</v>
      </c>
      <c r="D93" t="s">
        <v>328</v>
      </c>
      <c r="E93" s="158">
        <v>344</v>
      </c>
      <c r="F93" t="s">
        <v>329</v>
      </c>
      <c r="G93" t="s">
        <v>329</v>
      </c>
      <c r="H93" t="s">
        <v>329</v>
      </c>
      <c r="I93" t="s">
        <v>329</v>
      </c>
    </row>
    <row r="94" spans="1:9" x14ac:dyDescent="0.2">
      <c r="A94" t="s">
        <v>428</v>
      </c>
      <c r="B94" t="s">
        <v>327</v>
      </c>
      <c r="D94" t="s">
        <v>414</v>
      </c>
      <c r="E94" s="158" t="s">
        <v>429</v>
      </c>
      <c r="F94">
        <v>76</v>
      </c>
      <c r="G94">
        <v>551.94000000000005</v>
      </c>
      <c r="H94">
        <v>75.599999999999994</v>
      </c>
      <c r="I94">
        <v>90.4</v>
      </c>
    </row>
    <row r="95" spans="1:9" x14ac:dyDescent="0.2">
      <c r="A95" t="s">
        <v>430</v>
      </c>
      <c r="B95" t="s">
        <v>327</v>
      </c>
      <c r="D95" t="s">
        <v>414</v>
      </c>
      <c r="E95" s="158" t="s">
        <v>429</v>
      </c>
      <c r="F95">
        <v>76</v>
      </c>
      <c r="G95">
        <v>548.91999999999996</v>
      </c>
      <c r="H95">
        <v>75.599999999999994</v>
      </c>
      <c r="I95">
        <v>91.4</v>
      </c>
    </row>
    <row r="96" spans="1:9" x14ac:dyDescent="0.2">
      <c r="A96" t="s">
        <v>431</v>
      </c>
      <c r="B96" t="s">
        <v>327</v>
      </c>
      <c r="D96" t="s">
        <v>411</v>
      </c>
      <c r="E96" s="158" t="s">
        <v>411</v>
      </c>
      <c r="F96" t="s">
        <v>329</v>
      </c>
      <c r="G96" t="s">
        <v>329</v>
      </c>
      <c r="H96" t="s">
        <v>329</v>
      </c>
      <c r="I96" t="s">
        <v>329</v>
      </c>
    </row>
    <row r="97" spans="1:9" x14ac:dyDescent="0.2">
      <c r="A97" t="s">
        <v>432</v>
      </c>
      <c r="B97" t="s">
        <v>327</v>
      </c>
      <c r="D97" t="s">
        <v>411</v>
      </c>
      <c r="E97" s="158" t="s">
        <v>411</v>
      </c>
      <c r="F97" t="s">
        <v>329</v>
      </c>
      <c r="G97" t="s">
        <v>329</v>
      </c>
      <c r="H97" t="s">
        <v>329</v>
      </c>
      <c r="I97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0142-F4A8-B14B-97B7-93FE04364FA1}">
  <dimension ref="A1:I29"/>
  <sheetViews>
    <sheetView workbookViewId="0">
      <selection activeCell="P35" sqref="P35"/>
    </sheetView>
  </sheetViews>
  <sheetFormatPr baseColWidth="10" defaultRowHeight="16" x14ac:dyDescent="0.2"/>
  <sheetData>
    <row r="1" spans="1:9" x14ac:dyDescent="0.2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</row>
    <row r="2" spans="1:9" x14ac:dyDescent="0.2">
      <c r="A2" t="s">
        <v>336</v>
      </c>
      <c r="B2" t="s">
        <v>327</v>
      </c>
      <c r="D2" t="s">
        <v>328</v>
      </c>
      <c r="E2">
        <v>345</v>
      </c>
      <c r="F2" t="s">
        <v>329</v>
      </c>
      <c r="G2" t="s">
        <v>329</v>
      </c>
      <c r="H2" t="s">
        <v>329</v>
      </c>
      <c r="I2" t="s">
        <v>329</v>
      </c>
    </row>
    <row r="3" spans="1:9" x14ac:dyDescent="0.2">
      <c r="A3" t="s">
        <v>337</v>
      </c>
      <c r="B3" t="s">
        <v>327</v>
      </c>
      <c r="D3" t="s">
        <v>328</v>
      </c>
      <c r="E3">
        <v>345</v>
      </c>
      <c r="F3" t="s">
        <v>329</v>
      </c>
      <c r="G3" t="s">
        <v>329</v>
      </c>
      <c r="H3" t="s">
        <v>329</v>
      </c>
      <c r="I3" t="s">
        <v>329</v>
      </c>
    </row>
    <row r="4" spans="1:9" x14ac:dyDescent="0.2">
      <c r="A4" t="s">
        <v>338</v>
      </c>
      <c r="B4" t="s">
        <v>327</v>
      </c>
      <c r="D4" t="s">
        <v>328</v>
      </c>
      <c r="E4">
        <v>476</v>
      </c>
      <c r="F4" t="s">
        <v>329</v>
      </c>
      <c r="G4" t="s">
        <v>329</v>
      </c>
      <c r="H4" t="s">
        <v>329</v>
      </c>
      <c r="I4" t="s">
        <v>329</v>
      </c>
    </row>
    <row r="5" spans="1:9" x14ac:dyDescent="0.2">
      <c r="A5" t="s">
        <v>339</v>
      </c>
      <c r="B5" t="s">
        <v>327</v>
      </c>
      <c r="D5" t="s">
        <v>328</v>
      </c>
      <c r="E5">
        <v>476</v>
      </c>
      <c r="F5" t="s">
        <v>329</v>
      </c>
      <c r="G5" t="s">
        <v>329</v>
      </c>
      <c r="H5" t="s">
        <v>329</v>
      </c>
      <c r="I5" t="s">
        <v>329</v>
      </c>
    </row>
    <row r="6" spans="1:9" x14ac:dyDescent="0.2">
      <c r="A6" t="s">
        <v>348</v>
      </c>
      <c r="B6" t="s">
        <v>327</v>
      </c>
      <c r="D6" t="s">
        <v>328</v>
      </c>
      <c r="E6">
        <v>477</v>
      </c>
      <c r="F6" t="s">
        <v>329</v>
      </c>
      <c r="G6" t="s">
        <v>329</v>
      </c>
      <c r="H6" t="s">
        <v>329</v>
      </c>
      <c r="I6" t="s">
        <v>329</v>
      </c>
    </row>
    <row r="7" spans="1:9" x14ac:dyDescent="0.2">
      <c r="A7" t="s">
        <v>349</v>
      </c>
      <c r="B7" t="s">
        <v>327</v>
      </c>
      <c r="D7" t="s">
        <v>328</v>
      </c>
      <c r="E7">
        <v>477</v>
      </c>
      <c r="F7" t="s">
        <v>329</v>
      </c>
      <c r="G7" t="s">
        <v>329</v>
      </c>
      <c r="H7" t="s">
        <v>329</v>
      </c>
      <c r="I7" t="s">
        <v>329</v>
      </c>
    </row>
    <row r="8" spans="1:9" x14ac:dyDescent="0.2">
      <c r="A8" t="s">
        <v>350</v>
      </c>
      <c r="B8" t="s">
        <v>327</v>
      </c>
      <c r="D8" t="s">
        <v>328</v>
      </c>
      <c r="E8">
        <v>488</v>
      </c>
      <c r="F8" t="s">
        <v>329</v>
      </c>
      <c r="G8" t="s">
        <v>329</v>
      </c>
      <c r="H8" t="s">
        <v>329</v>
      </c>
      <c r="I8" t="s">
        <v>329</v>
      </c>
    </row>
    <row r="9" spans="1:9" x14ac:dyDescent="0.2">
      <c r="A9" t="s">
        <v>351</v>
      </c>
      <c r="B9" t="s">
        <v>327</v>
      </c>
      <c r="D9" t="s">
        <v>328</v>
      </c>
      <c r="E9">
        <v>488</v>
      </c>
      <c r="F9" t="s">
        <v>329</v>
      </c>
      <c r="G9" t="s">
        <v>329</v>
      </c>
      <c r="H9" t="s">
        <v>329</v>
      </c>
      <c r="I9" t="s">
        <v>329</v>
      </c>
    </row>
    <row r="10" spans="1:9" x14ac:dyDescent="0.2">
      <c r="A10" t="s">
        <v>360</v>
      </c>
      <c r="B10" t="s">
        <v>327</v>
      </c>
      <c r="D10" t="s">
        <v>328</v>
      </c>
      <c r="E10">
        <v>489</v>
      </c>
      <c r="F10" t="s">
        <v>329</v>
      </c>
      <c r="G10" t="s">
        <v>329</v>
      </c>
      <c r="H10" t="s">
        <v>329</v>
      </c>
      <c r="I10" t="s">
        <v>329</v>
      </c>
    </row>
    <row r="11" spans="1:9" x14ac:dyDescent="0.2">
      <c r="A11" t="s">
        <v>361</v>
      </c>
      <c r="B11" t="s">
        <v>327</v>
      </c>
      <c r="D11" t="s">
        <v>328</v>
      </c>
      <c r="E11">
        <v>489</v>
      </c>
      <c r="F11" t="s">
        <v>329</v>
      </c>
      <c r="G11" t="s">
        <v>329</v>
      </c>
      <c r="H11" t="s">
        <v>329</v>
      </c>
      <c r="I11" t="s">
        <v>329</v>
      </c>
    </row>
    <row r="12" spans="1:9" x14ac:dyDescent="0.2">
      <c r="A12" t="s">
        <v>362</v>
      </c>
      <c r="B12" t="s">
        <v>327</v>
      </c>
      <c r="D12" t="s">
        <v>328</v>
      </c>
      <c r="E12">
        <v>490</v>
      </c>
      <c r="F12" t="s">
        <v>329</v>
      </c>
      <c r="G12" t="s">
        <v>329</v>
      </c>
      <c r="H12" t="s">
        <v>329</v>
      </c>
      <c r="I12" t="s">
        <v>329</v>
      </c>
    </row>
    <row r="13" spans="1:9" x14ac:dyDescent="0.2">
      <c r="A13" t="s">
        <v>363</v>
      </c>
      <c r="B13" t="s">
        <v>327</v>
      </c>
      <c r="D13" t="s">
        <v>328</v>
      </c>
      <c r="E13">
        <v>490</v>
      </c>
      <c r="F13" t="s">
        <v>329</v>
      </c>
      <c r="G13" t="s">
        <v>329</v>
      </c>
      <c r="H13" t="s">
        <v>329</v>
      </c>
      <c r="I13" t="s">
        <v>329</v>
      </c>
    </row>
    <row r="14" spans="1:9" x14ac:dyDescent="0.2">
      <c r="A14" t="s">
        <v>372</v>
      </c>
      <c r="B14" t="s">
        <v>327</v>
      </c>
      <c r="D14" t="s">
        <v>328</v>
      </c>
      <c r="E14">
        <v>527</v>
      </c>
      <c r="F14" t="s">
        <v>329</v>
      </c>
      <c r="G14" t="s">
        <v>329</v>
      </c>
      <c r="H14" t="s">
        <v>329</v>
      </c>
      <c r="I14" t="s">
        <v>329</v>
      </c>
    </row>
    <row r="15" spans="1:9" x14ac:dyDescent="0.2">
      <c r="A15" t="s">
        <v>373</v>
      </c>
      <c r="B15" t="s">
        <v>327</v>
      </c>
      <c r="D15" t="s">
        <v>328</v>
      </c>
      <c r="E15">
        <v>527</v>
      </c>
      <c r="F15" t="s">
        <v>329</v>
      </c>
      <c r="G15" t="s">
        <v>329</v>
      </c>
      <c r="H15" t="s">
        <v>329</v>
      </c>
      <c r="I15" t="s">
        <v>329</v>
      </c>
    </row>
    <row r="16" spans="1:9" x14ac:dyDescent="0.2">
      <c r="A16" t="s">
        <v>374</v>
      </c>
      <c r="B16" t="s">
        <v>327</v>
      </c>
      <c r="D16" t="s">
        <v>328</v>
      </c>
      <c r="E16">
        <v>529</v>
      </c>
      <c r="F16" t="s">
        <v>329</v>
      </c>
      <c r="G16" t="s">
        <v>329</v>
      </c>
      <c r="H16" t="s">
        <v>329</v>
      </c>
      <c r="I16" t="s">
        <v>329</v>
      </c>
    </row>
    <row r="17" spans="1:9" x14ac:dyDescent="0.2">
      <c r="A17" t="s">
        <v>375</v>
      </c>
      <c r="B17" t="s">
        <v>327</v>
      </c>
      <c r="D17" t="s">
        <v>328</v>
      </c>
      <c r="E17">
        <v>529</v>
      </c>
      <c r="F17" t="s">
        <v>329</v>
      </c>
      <c r="G17" t="s">
        <v>329</v>
      </c>
      <c r="H17" t="s">
        <v>329</v>
      </c>
      <c r="I17" t="s">
        <v>329</v>
      </c>
    </row>
    <row r="18" spans="1:9" x14ac:dyDescent="0.2">
      <c r="A18" t="s">
        <v>384</v>
      </c>
      <c r="B18" t="s">
        <v>327</v>
      </c>
      <c r="D18" t="s">
        <v>328</v>
      </c>
      <c r="E18">
        <v>564</v>
      </c>
      <c r="F18" t="s">
        <v>329</v>
      </c>
      <c r="G18" t="s">
        <v>329</v>
      </c>
      <c r="H18" t="s">
        <v>329</v>
      </c>
      <c r="I18" t="s">
        <v>329</v>
      </c>
    </row>
    <row r="19" spans="1:9" x14ac:dyDescent="0.2">
      <c r="A19" t="s">
        <v>385</v>
      </c>
      <c r="B19" t="s">
        <v>327</v>
      </c>
      <c r="D19" t="s">
        <v>328</v>
      </c>
      <c r="E19">
        <v>564</v>
      </c>
      <c r="F19" t="s">
        <v>329</v>
      </c>
      <c r="G19" t="s">
        <v>329</v>
      </c>
      <c r="H19" t="s">
        <v>329</v>
      </c>
      <c r="I19" t="s">
        <v>329</v>
      </c>
    </row>
    <row r="20" spans="1:9" x14ac:dyDescent="0.2">
      <c r="A20" t="s">
        <v>386</v>
      </c>
      <c r="B20" t="s">
        <v>327</v>
      </c>
      <c r="D20" t="s">
        <v>328</v>
      </c>
      <c r="E20">
        <v>565</v>
      </c>
      <c r="F20" t="s">
        <v>329</v>
      </c>
      <c r="G20" t="s">
        <v>329</v>
      </c>
      <c r="H20" t="s">
        <v>329</v>
      </c>
      <c r="I20" t="s">
        <v>329</v>
      </c>
    </row>
    <row r="21" spans="1:9" x14ac:dyDescent="0.2">
      <c r="A21" t="s">
        <v>387</v>
      </c>
      <c r="B21" t="s">
        <v>327</v>
      </c>
      <c r="D21" t="s">
        <v>328</v>
      </c>
      <c r="E21">
        <v>565</v>
      </c>
      <c r="F21" t="s">
        <v>329</v>
      </c>
      <c r="G21" t="s">
        <v>329</v>
      </c>
      <c r="H21" t="s">
        <v>329</v>
      </c>
      <c r="I21" t="s">
        <v>329</v>
      </c>
    </row>
    <row r="22" spans="1:9" x14ac:dyDescent="0.2">
      <c r="A22" t="s">
        <v>396</v>
      </c>
      <c r="B22" t="s">
        <v>327</v>
      </c>
      <c r="D22" t="s">
        <v>328</v>
      </c>
      <c r="E22" t="s">
        <v>433</v>
      </c>
      <c r="F22" t="s">
        <v>329</v>
      </c>
      <c r="G22" t="s">
        <v>329</v>
      </c>
      <c r="H22" t="s">
        <v>329</v>
      </c>
      <c r="I22" t="s">
        <v>329</v>
      </c>
    </row>
    <row r="23" spans="1:9" x14ac:dyDescent="0.2">
      <c r="A23" t="s">
        <v>397</v>
      </c>
      <c r="B23" t="s">
        <v>327</v>
      </c>
      <c r="D23" t="s">
        <v>328</v>
      </c>
      <c r="E23" t="s">
        <v>433</v>
      </c>
      <c r="F23" t="s">
        <v>329</v>
      </c>
      <c r="G23" t="s">
        <v>329</v>
      </c>
      <c r="H23" t="s">
        <v>329</v>
      </c>
      <c r="I23" t="s">
        <v>329</v>
      </c>
    </row>
    <row r="24" spans="1:9" x14ac:dyDescent="0.2">
      <c r="A24" t="s">
        <v>398</v>
      </c>
      <c r="B24" t="s">
        <v>327</v>
      </c>
      <c r="D24" t="s">
        <v>328</v>
      </c>
      <c r="E24" t="s">
        <v>434</v>
      </c>
      <c r="F24" t="s">
        <v>329</v>
      </c>
      <c r="G24" t="s">
        <v>329</v>
      </c>
      <c r="H24" t="s">
        <v>329</v>
      </c>
      <c r="I24" t="s">
        <v>329</v>
      </c>
    </row>
    <row r="25" spans="1:9" x14ac:dyDescent="0.2">
      <c r="A25" t="s">
        <v>399</v>
      </c>
      <c r="B25" t="s">
        <v>327</v>
      </c>
      <c r="D25" t="s">
        <v>328</v>
      </c>
      <c r="E25" t="s">
        <v>434</v>
      </c>
      <c r="F25" t="s">
        <v>329</v>
      </c>
      <c r="G25" t="s">
        <v>329</v>
      </c>
      <c r="H25" t="s">
        <v>329</v>
      </c>
      <c r="I25" t="s">
        <v>329</v>
      </c>
    </row>
    <row r="26" spans="1:9" x14ac:dyDescent="0.2">
      <c r="A26" t="s">
        <v>409</v>
      </c>
      <c r="B26" t="s">
        <v>327</v>
      </c>
      <c r="D26" t="s">
        <v>411</v>
      </c>
      <c r="E26" t="s">
        <v>411</v>
      </c>
      <c r="F26" t="s">
        <v>329</v>
      </c>
      <c r="G26" t="s">
        <v>329</v>
      </c>
      <c r="H26" t="s">
        <v>329</v>
      </c>
      <c r="I26" t="s">
        <v>329</v>
      </c>
    </row>
    <row r="27" spans="1:9" x14ac:dyDescent="0.2">
      <c r="A27" t="s">
        <v>410</v>
      </c>
      <c r="B27" t="s">
        <v>327</v>
      </c>
      <c r="D27" t="s">
        <v>411</v>
      </c>
      <c r="E27" t="s">
        <v>411</v>
      </c>
      <c r="F27" t="s">
        <v>329</v>
      </c>
      <c r="G27" t="s">
        <v>329</v>
      </c>
      <c r="H27" t="s">
        <v>329</v>
      </c>
      <c r="I27" t="s">
        <v>329</v>
      </c>
    </row>
    <row r="28" spans="1:9" x14ac:dyDescent="0.2">
      <c r="A28" t="s">
        <v>412</v>
      </c>
      <c r="B28" t="s">
        <v>327</v>
      </c>
      <c r="D28" t="s">
        <v>414</v>
      </c>
      <c r="E28" t="s">
        <v>429</v>
      </c>
      <c r="F28">
        <v>76.400000000000006</v>
      </c>
      <c r="G28">
        <v>365.34</v>
      </c>
      <c r="H28">
        <v>76</v>
      </c>
      <c r="I28">
        <v>88.6</v>
      </c>
    </row>
    <row r="29" spans="1:9" x14ac:dyDescent="0.2">
      <c r="A29" t="s">
        <v>413</v>
      </c>
      <c r="B29" t="s">
        <v>327</v>
      </c>
      <c r="D29" t="s">
        <v>414</v>
      </c>
      <c r="E29" t="s">
        <v>429</v>
      </c>
      <c r="F29">
        <v>76.599999999999994</v>
      </c>
      <c r="G29">
        <v>382.45</v>
      </c>
      <c r="H29">
        <v>76</v>
      </c>
      <c r="I29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CC12-266C-E048-A399-29541240FC23}">
  <dimension ref="A1:AT31"/>
  <sheetViews>
    <sheetView workbookViewId="0">
      <selection activeCell="AA15" sqref="AA15"/>
    </sheetView>
  </sheetViews>
  <sheetFormatPr baseColWidth="10" defaultRowHeight="16" x14ac:dyDescent="0.2"/>
  <cols>
    <col min="2" max="2" width="0" hidden="1" customWidth="1"/>
    <col min="3" max="3" width="16" customWidth="1"/>
    <col min="4" max="4" width="15.6640625" customWidth="1"/>
    <col min="6" max="9" width="0" hidden="1" customWidth="1"/>
    <col min="13" max="18" width="0" hidden="1" customWidth="1"/>
    <col min="20" max="22" width="0" hidden="1" customWidth="1"/>
  </cols>
  <sheetData>
    <row r="1" spans="1:46" ht="108" x14ac:dyDescent="0.2">
      <c r="A1" s="12" t="s">
        <v>243</v>
      </c>
      <c r="B1" s="12" t="s">
        <v>89</v>
      </c>
      <c r="C1" s="12" t="s">
        <v>18</v>
      </c>
      <c r="D1" s="12" t="s">
        <v>90</v>
      </c>
      <c r="E1" s="12" t="s">
        <v>8</v>
      </c>
      <c r="F1" s="13" t="s">
        <v>198</v>
      </c>
      <c r="G1" s="12" t="s">
        <v>199</v>
      </c>
      <c r="H1" s="12" t="s">
        <v>200</v>
      </c>
      <c r="I1" s="12" t="s">
        <v>269</v>
      </c>
      <c r="J1" s="12" t="s">
        <v>254</v>
      </c>
      <c r="K1" s="12" t="s">
        <v>241</v>
      </c>
      <c r="L1" s="12" t="s">
        <v>10</v>
      </c>
      <c r="M1" s="139" t="s">
        <v>230</v>
      </c>
      <c r="N1" s="12" t="s">
        <v>231</v>
      </c>
      <c r="O1" s="12" t="s">
        <v>229</v>
      </c>
      <c r="P1" s="12" t="s">
        <v>228</v>
      </c>
      <c r="Q1" s="12" t="s">
        <v>246</v>
      </c>
      <c r="R1" s="12" t="s">
        <v>245</v>
      </c>
      <c r="S1" s="12" t="s">
        <v>17</v>
      </c>
      <c r="T1" s="12" t="s">
        <v>88</v>
      </c>
      <c r="U1" s="12" t="s">
        <v>83</v>
      </c>
      <c r="V1" s="150" t="s">
        <v>250</v>
      </c>
      <c r="W1" s="87" t="s">
        <v>252</v>
      </c>
      <c r="X1" s="71" t="s">
        <v>277</v>
      </c>
      <c r="Y1" s="71" t="s">
        <v>278</v>
      </c>
      <c r="Z1" s="79" t="s">
        <v>282</v>
      </c>
    </row>
    <row r="2" spans="1:46" ht="17" x14ac:dyDescent="0.2">
      <c r="A2" s="113">
        <v>42879</v>
      </c>
      <c r="B2" s="20" t="s">
        <v>105</v>
      </c>
      <c r="C2" s="20" t="s">
        <v>37</v>
      </c>
      <c r="D2" s="20" t="s">
        <v>96</v>
      </c>
      <c r="E2" s="22" t="s">
        <v>130</v>
      </c>
      <c r="F2" s="20"/>
      <c r="G2" s="22"/>
      <c r="H2" s="22"/>
      <c r="I2" s="34">
        <v>43665</v>
      </c>
      <c r="J2" s="22">
        <v>401</v>
      </c>
      <c r="K2" s="22">
        <v>1</v>
      </c>
      <c r="L2" s="21">
        <v>100</v>
      </c>
      <c r="M2" s="140">
        <v>43665</v>
      </c>
      <c r="N2" s="21">
        <v>1</v>
      </c>
      <c r="O2" s="34">
        <v>43670</v>
      </c>
      <c r="P2" s="21">
        <v>1</v>
      </c>
      <c r="Q2" s="21">
        <f>1000-500</f>
        <v>500</v>
      </c>
      <c r="R2" s="21">
        <f>100-1</f>
        <v>99</v>
      </c>
      <c r="S2" s="49">
        <v>52</v>
      </c>
      <c r="T2" s="57">
        <f>S2*R2</f>
        <v>5148</v>
      </c>
      <c r="U2" s="45">
        <f>500/S2</f>
        <v>9.615384615384615</v>
      </c>
      <c r="V2" s="152">
        <f>S2*5</f>
        <v>260</v>
      </c>
      <c r="W2" s="57">
        <v>50</v>
      </c>
      <c r="X2" s="41">
        <f>W2*S2/1000</f>
        <v>2.6</v>
      </c>
      <c r="Y2" s="178">
        <v>43677</v>
      </c>
      <c r="Z2" s="49">
        <v>93.4</v>
      </c>
      <c r="AD2" s="166"/>
      <c r="AE2" s="166"/>
      <c r="AF2" s="166"/>
      <c r="AG2" s="166"/>
      <c r="AH2" s="166"/>
      <c r="AI2" s="166"/>
      <c r="AJ2" s="166"/>
      <c r="AK2" s="166"/>
      <c r="AL2" s="166"/>
      <c r="AM2" s="166"/>
      <c r="AN2" s="166"/>
      <c r="AO2" s="166"/>
      <c r="AP2" s="166"/>
      <c r="AQ2" s="166"/>
      <c r="AR2" s="166"/>
      <c r="AS2" s="166"/>
      <c r="AT2" s="166"/>
    </row>
    <row r="3" spans="1:46" ht="17" x14ac:dyDescent="0.2">
      <c r="A3" s="113">
        <v>42886</v>
      </c>
      <c r="B3" s="20" t="s">
        <v>105</v>
      </c>
      <c r="C3" s="20" t="s">
        <v>37</v>
      </c>
      <c r="D3" s="20" t="s">
        <v>96</v>
      </c>
      <c r="E3" s="22" t="s">
        <v>147</v>
      </c>
      <c r="F3" s="20"/>
      <c r="G3" s="22"/>
      <c r="H3" s="22"/>
      <c r="I3" s="21"/>
      <c r="J3" s="22">
        <v>402</v>
      </c>
      <c r="K3" s="22">
        <v>1</v>
      </c>
      <c r="L3" s="21">
        <v>10</v>
      </c>
      <c r="M3" s="140">
        <v>43666</v>
      </c>
      <c r="N3" s="21">
        <v>3</v>
      </c>
      <c r="O3" s="34">
        <v>43672</v>
      </c>
      <c r="P3" s="21">
        <v>2</v>
      </c>
      <c r="Q3" s="21">
        <f>1000-500</f>
        <v>500</v>
      </c>
      <c r="R3" s="21">
        <f>75-1</f>
        <v>74</v>
      </c>
      <c r="S3" s="49">
        <v>140</v>
      </c>
      <c r="T3" s="57">
        <f>S3*R3</f>
        <v>10360</v>
      </c>
      <c r="U3" s="45">
        <f>500/S3</f>
        <v>3.5714285714285716</v>
      </c>
      <c r="V3" s="152">
        <f>S3*5</f>
        <v>700</v>
      </c>
      <c r="W3" s="57">
        <v>50</v>
      </c>
      <c r="X3" s="41">
        <f>W3*S3/1000</f>
        <v>7</v>
      </c>
      <c r="Y3" s="178">
        <v>43677</v>
      </c>
      <c r="Z3" s="49">
        <v>114</v>
      </c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</row>
    <row r="4" spans="1:46" ht="17" x14ac:dyDescent="0.2">
      <c r="A4" s="113">
        <v>42881</v>
      </c>
      <c r="B4" s="20" t="s">
        <v>112</v>
      </c>
      <c r="C4" s="20" t="s">
        <v>37</v>
      </c>
      <c r="D4" s="20" t="s">
        <v>101</v>
      </c>
      <c r="E4" s="22" t="s">
        <v>139</v>
      </c>
      <c r="F4" s="20"/>
      <c r="G4" s="22"/>
      <c r="H4" s="22"/>
      <c r="I4" s="34">
        <v>43665</v>
      </c>
      <c r="J4" s="22">
        <v>411</v>
      </c>
      <c r="K4" s="22">
        <v>1</v>
      </c>
      <c r="L4" s="21">
        <v>10</v>
      </c>
      <c r="M4" s="140">
        <v>43665</v>
      </c>
      <c r="N4" s="21">
        <v>1</v>
      </c>
      <c r="O4" s="34">
        <v>43670</v>
      </c>
      <c r="P4" s="21">
        <v>1</v>
      </c>
      <c r="Q4" s="21">
        <f t="shared" ref="Q4:Q5" si="0">1000-500</f>
        <v>500</v>
      </c>
      <c r="R4" s="21">
        <f>100-1</f>
        <v>99</v>
      </c>
      <c r="S4" s="49">
        <v>57.2</v>
      </c>
      <c r="T4" s="57">
        <f>S4*R4</f>
        <v>5662.8</v>
      </c>
      <c r="U4" s="45">
        <f>500/S4</f>
        <v>8.7412587412587417</v>
      </c>
      <c r="V4" s="152">
        <f t="shared" ref="V4:V8" si="1">S4*5</f>
        <v>286</v>
      </c>
      <c r="W4" s="57">
        <v>50</v>
      </c>
      <c r="X4" s="41">
        <f t="shared" ref="X4:X8" si="2">W4*S4/1000</f>
        <v>2.86</v>
      </c>
      <c r="Y4" s="178">
        <v>43677</v>
      </c>
      <c r="Z4" s="49">
        <v>72.599999999999994</v>
      </c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</row>
    <row r="5" spans="1:46" ht="17" x14ac:dyDescent="0.2">
      <c r="A5" s="113">
        <v>42882</v>
      </c>
      <c r="B5" s="20" t="s">
        <v>112</v>
      </c>
      <c r="C5" s="20" t="s">
        <v>37</v>
      </c>
      <c r="D5" s="20" t="s">
        <v>101</v>
      </c>
      <c r="E5" s="22" t="s">
        <v>143</v>
      </c>
      <c r="F5" s="20" t="s">
        <v>211</v>
      </c>
      <c r="G5" s="22"/>
      <c r="H5" s="22"/>
      <c r="I5" s="21"/>
      <c r="J5" s="22">
        <v>412</v>
      </c>
      <c r="K5" s="22">
        <v>1</v>
      </c>
      <c r="L5" s="21">
        <v>10</v>
      </c>
      <c r="M5" s="140">
        <v>43666</v>
      </c>
      <c r="N5" s="21">
        <v>3</v>
      </c>
      <c r="O5" s="34">
        <v>43672</v>
      </c>
      <c r="P5" s="21">
        <v>2</v>
      </c>
      <c r="Q5" s="21">
        <f t="shared" si="0"/>
        <v>500</v>
      </c>
      <c r="R5" s="21">
        <f>75-1</f>
        <v>74</v>
      </c>
      <c r="S5" s="49">
        <v>60.8</v>
      </c>
      <c r="T5" s="57">
        <f>S5*R5</f>
        <v>4499.2</v>
      </c>
      <c r="U5" s="45">
        <f>500/S5</f>
        <v>8.2236842105263168</v>
      </c>
      <c r="V5" s="152">
        <f t="shared" si="1"/>
        <v>304</v>
      </c>
      <c r="W5" s="57">
        <v>50</v>
      </c>
      <c r="X5" s="41">
        <f t="shared" si="2"/>
        <v>3.04</v>
      </c>
      <c r="Y5" s="178">
        <v>43677</v>
      </c>
      <c r="Z5" s="49">
        <v>31.2</v>
      </c>
      <c r="AA5" s="166"/>
      <c r="AD5" s="166"/>
      <c r="AE5" s="142"/>
      <c r="AF5" s="31"/>
      <c r="AG5" s="35"/>
      <c r="AH5" s="31"/>
      <c r="AI5" s="31"/>
      <c r="AJ5" s="31"/>
      <c r="AK5" s="51"/>
      <c r="AL5" s="58"/>
      <c r="AM5" s="46"/>
      <c r="AN5" s="151"/>
      <c r="AO5" s="58"/>
      <c r="AP5" s="42"/>
      <c r="AQ5" s="174"/>
      <c r="AR5" s="51"/>
      <c r="AS5" s="166"/>
      <c r="AT5" s="166"/>
    </row>
    <row r="6" spans="1:46" ht="17" x14ac:dyDescent="0.2">
      <c r="A6" s="113">
        <v>42898</v>
      </c>
      <c r="B6" s="20"/>
      <c r="C6" s="20" t="s">
        <v>37</v>
      </c>
      <c r="D6" s="20" t="s">
        <v>103</v>
      </c>
      <c r="E6" s="22" t="s">
        <v>175</v>
      </c>
      <c r="F6" s="20"/>
      <c r="G6" s="22"/>
      <c r="H6" s="22"/>
      <c r="I6" s="21"/>
      <c r="J6" s="22">
        <v>421</v>
      </c>
      <c r="K6" s="22">
        <v>1</v>
      </c>
      <c r="L6" s="21">
        <v>10</v>
      </c>
      <c r="M6" s="140"/>
      <c r="N6" s="21"/>
      <c r="O6" s="34"/>
      <c r="P6" s="21"/>
      <c r="Q6" s="21"/>
      <c r="R6" s="21"/>
      <c r="S6" s="49">
        <v>43</v>
      </c>
      <c r="T6" s="57"/>
      <c r="U6" s="45"/>
      <c r="V6" s="152"/>
      <c r="W6" s="57">
        <v>50</v>
      </c>
      <c r="X6" s="41">
        <f>W6*S6/1000</f>
        <v>2.15</v>
      </c>
      <c r="Y6" s="178">
        <v>43677</v>
      </c>
      <c r="Z6" s="49">
        <v>57.6</v>
      </c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</row>
    <row r="7" spans="1:46" ht="17" x14ac:dyDescent="0.2">
      <c r="A7" s="113">
        <v>42893</v>
      </c>
      <c r="B7" s="20" t="s">
        <v>117</v>
      </c>
      <c r="C7" s="20" t="s">
        <v>37</v>
      </c>
      <c r="D7" s="20" t="s">
        <v>93</v>
      </c>
      <c r="E7" s="22" t="s">
        <v>167</v>
      </c>
      <c r="F7" s="20"/>
      <c r="G7" s="22"/>
      <c r="H7" s="22"/>
      <c r="I7" s="34">
        <v>43666</v>
      </c>
      <c r="J7" s="22" t="s">
        <v>255</v>
      </c>
      <c r="K7" s="22">
        <v>1</v>
      </c>
      <c r="L7" s="21">
        <v>20</v>
      </c>
      <c r="M7" s="140">
        <v>43666</v>
      </c>
      <c r="N7" s="21">
        <v>2</v>
      </c>
      <c r="O7" s="34">
        <v>43675</v>
      </c>
      <c r="P7" s="21">
        <v>7</v>
      </c>
      <c r="Q7" s="21">
        <f>1000-500-250</f>
        <v>250</v>
      </c>
      <c r="R7" s="21">
        <f>60-1</f>
        <v>59</v>
      </c>
      <c r="S7" s="49">
        <v>61.2</v>
      </c>
      <c r="T7" s="57">
        <f t="shared" ref="T7:T8" si="3">S7*R7</f>
        <v>3610.8</v>
      </c>
      <c r="U7" s="45">
        <f>500/S7</f>
        <v>8.1699346405228752</v>
      </c>
      <c r="V7" s="152">
        <f t="shared" si="1"/>
        <v>306</v>
      </c>
      <c r="W7" s="57">
        <v>50</v>
      </c>
      <c r="X7" s="41">
        <f t="shared" si="2"/>
        <v>3.06</v>
      </c>
      <c r="Y7" s="178">
        <v>43677</v>
      </c>
      <c r="Z7" s="49">
        <v>83</v>
      </c>
      <c r="AA7" s="166"/>
      <c r="AB7" s="166"/>
      <c r="AC7" s="166"/>
      <c r="AD7" s="166"/>
      <c r="AE7" s="166"/>
    </row>
    <row r="8" spans="1:46" ht="17" x14ac:dyDescent="0.2">
      <c r="A8" s="113">
        <v>42903</v>
      </c>
      <c r="B8" s="20" t="s">
        <v>117</v>
      </c>
      <c r="C8" s="20" t="s">
        <v>37</v>
      </c>
      <c r="D8" s="20" t="s">
        <v>93</v>
      </c>
      <c r="E8" s="22" t="s">
        <v>188</v>
      </c>
      <c r="F8" s="20"/>
      <c r="G8" s="22"/>
      <c r="H8" s="22"/>
      <c r="I8" s="21"/>
      <c r="J8" s="22">
        <v>432</v>
      </c>
      <c r="K8" s="22">
        <v>1</v>
      </c>
      <c r="L8" s="21">
        <v>50</v>
      </c>
      <c r="M8" s="140">
        <v>43668</v>
      </c>
      <c r="N8" s="21">
        <v>4</v>
      </c>
      <c r="O8" s="34">
        <v>43672</v>
      </c>
      <c r="P8" s="21">
        <v>2</v>
      </c>
      <c r="Q8" s="21">
        <f>1000-500-250</f>
        <v>250</v>
      </c>
      <c r="R8" s="21">
        <f t="shared" ref="R8" si="4">75-1</f>
        <v>74</v>
      </c>
      <c r="S8" s="49">
        <v>47.6</v>
      </c>
      <c r="T8" s="57">
        <f t="shared" si="3"/>
        <v>3522.4</v>
      </c>
      <c r="U8" s="45">
        <f>500/S8</f>
        <v>10.504201680672269</v>
      </c>
      <c r="V8" s="152">
        <f t="shared" si="1"/>
        <v>238</v>
      </c>
      <c r="W8" s="57">
        <v>50</v>
      </c>
      <c r="X8" s="41">
        <f t="shared" si="2"/>
        <v>2.38</v>
      </c>
      <c r="Y8" s="178">
        <v>43677</v>
      </c>
      <c r="Z8" s="49">
        <v>74</v>
      </c>
    </row>
    <row r="9" spans="1:46" ht="17" x14ac:dyDescent="0.2">
      <c r="A9" s="113">
        <v>42880</v>
      </c>
      <c r="B9" s="20" t="s">
        <v>110</v>
      </c>
      <c r="C9" s="20" t="s">
        <v>75</v>
      </c>
      <c r="D9" s="20" t="s">
        <v>96</v>
      </c>
      <c r="E9" s="22" t="s">
        <v>136</v>
      </c>
      <c r="F9" s="20"/>
      <c r="G9" s="22"/>
      <c r="H9" s="22"/>
      <c r="I9" s="34">
        <v>43665</v>
      </c>
      <c r="J9" s="22">
        <v>441</v>
      </c>
      <c r="K9" s="22">
        <v>1</v>
      </c>
      <c r="L9" s="21">
        <v>70</v>
      </c>
      <c r="M9" s="140">
        <v>43665</v>
      </c>
      <c r="N9" s="21">
        <v>1</v>
      </c>
      <c r="O9" s="34">
        <v>43670</v>
      </c>
      <c r="P9" s="21">
        <v>1</v>
      </c>
      <c r="Q9" s="21">
        <f>1000-500</f>
        <v>500</v>
      </c>
      <c r="R9" s="21">
        <f>100-1</f>
        <v>99</v>
      </c>
      <c r="S9" s="49">
        <v>46</v>
      </c>
      <c r="T9" s="57">
        <f>S9*R9</f>
        <v>4554</v>
      </c>
      <c r="U9" s="45">
        <f>500/S9</f>
        <v>10.869565217391305</v>
      </c>
      <c r="V9" s="152">
        <f>S9*5</f>
        <v>230</v>
      </c>
      <c r="W9" s="57">
        <v>50</v>
      </c>
      <c r="X9" s="41">
        <f>W9*S9/1000</f>
        <v>2.2999999999999998</v>
      </c>
      <c r="Y9" s="178">
        <v>43677</v>
      </c>
      <c r="Z9" s="49">
        <v>16.2</v>
      </c>
    </row>
    <row r="10" spans="1:46" ht="17" x14ac:dyDescent="0.2">
      <c r="A10" s="113">
        <v>42889</v>
      </c>
      <c r="B10" s="20" t="s">
        <v>110</v>
      </c>
      <c r="C10" s="20" t="s">
        <v>75</v>
      </c>
      <c r="D10" s="20" t="s">
        <v>96</v>
      </c>
      <c r="E10" s="22" t="s">
        <v>154</v>
      </c>
      <c r="F10" s="20"/>
      <c r="G10" s="22"/>
      <c r="H10" s="22"/>
      <c r="I10" s="21"/>
      <c r="J10" s="22" t="s">
        <v>257</v>
      </c>
      <c r="K10" s="22">
        <v>1</v>
      </c>
      <c r="L10" s="21">
        <v>80</v>
      </c>
      <c r="M10" s="140">
        <v>43666</v>
      </c>
      <c r="N10" s="21">
        <v>3</v>
      </c>
      <c r="O10" s="34">
        <v>43675</v>
      </c>
      <c r="P10" s="21">
        <v>7</v>
      </c>
      <c r="Q10" s="21">
        <f>1000-500-250</f>
        <v>250</v>
      </c>
      <c r="R10" s="21">
        <f>60-1</f>
        <v>59</v>
      </c>
      <c r="S10" s="49">
        <v>56.2</v>
      </c>
      <c r="T10" s="57">
        <f t="shared" ref="T10" si="5">S10*R10</f>
        <v>3315.8</v>
      </c>
      <c r="U10" s="45">
        <f t="shared" ref="U10" si="6">500/S10</f>
        <v>8.8967971530249113</v>
      </c>
      <c r="V10" s="152">
        <f t="shared" ref="V10:V16" si="7">S10*5</f>
        <v>281</v>
      </c>
      <c r="W10" s="57">
        <v>50</v>
      </c>
      <c r="X10" s="41">
        <f t="shared" ref="X10:X16" si="8">W10*S10/1000</f>
        <v>2.81</v>
      </c>
      <c r="Y10" s="178">
        <v>43677</v>
      </c>
      <c r="Z10" s="49">
        <v>69.8</v>
      </c>
    </row>
    <row r="11" spans="1:46" ht="17" x14ac:dyDescent="0.2">
      <c r="A11" s="113">
        <v>42879</v>
      </c>
      <c r="B11" s="20" t="s">
        <v>106</v>
      </c>
      <c r="C11" s="20" t="s">
        <v>75</v>
      </c>
      <c r="D11" s="20" t="s">
        <v>101</v>
      </c>
      <c r="E11" s="22" t="s">
        <v>132</v>
      </c>
      <c r="F11" s="20"/>
      <c r="G11" s="22"/>
      <c r="H11" s="22"/>
      <c r="I11" s="34">
        <v>43665</v>
      </c>
      <c r="J11" s="22">
        <v>451</v>
      </c>
      <c r="K11" s="22">
        <v>1</v>
      </c>
      <c r="L11" s="21">
        <v>70</v>
      </c>
      <c r="M11" s="140">
        <v>43665</v>
      </c>
      <c r="N11" s="21">
        <v>1</v>
      </c>
      <c r="O11" s="67">
        <v>43670</v>
      </c>
      <c r="P11" s="21">
        <v>1</v>
      </c>
      <c r="Q11" s="21">
        <f t="shared" ref="Q11" si="9">1000-500</f>
        <v>500</v>
      </c>
      <c r="R11" s="21">
        <f>100-1</f>
        <v>99</v>
      </c>
      <c r="S11" s="49">
        <v>68.400000000000006</v>
      </c>
      <c r="T11" s="57">
        <f t="shared" ref="T11:T17" si="10">S11*R11</f>
        <v>6771.6</v>
      </c>
      <c r="U11" s="45">
        <f t="shared" ref="U11:U17" si="11">500/S11</f>
        <v>7.3099415204678353</v>
      </c>
      <c r="V11" s="152">
        <f t="shared" si="7"/>
        <v>342</v>
      </c>
      <c r="W11" s="57">
        <v>50</v>
      </c>
      <c r="X11" s="41">
        <f t="shared" si="8"/>
        <v>3.4200000000000004</v>
      </c>
      <c r="Y11" s="178">
        <v>43677</v>
      </c>
      <c r="Z11" s="49">
        <v>68.400000000000006</v>
      </c>
    </row>
    <row r="12" spans="1:46" ht="17" x14ac:dyDescent="0.2">
      <c r="A12" s="113">
        <v>42879</v>
      </c>
      <c r="B12" s="20" t="s">
        <v>108</v>
      </c>
      <c r="C12" s="20" t="s">
        <v>75</v>
      </c>
      <c r="D12" s="20" t="s">
        <v>101</v>
      </c>
      <c r="E12" s="22" t="s">
        <v>134</v>
      </c>
      <c r="F12" s="20"/>
      <c r="G12" s="22"/>
      <c r="H12" s="22"/>
      <c r="I12" s="21"/>
      <c r="J12" s="22" t="s">
        <v>259</v>
      </c>
      <c r="K12" s="22">
        <v>1</v>
      </c>
      <c r="L12" s="21">
        <v>80</v>
      </c>
      <c r="M12" s="140">
        <v>43666</v>
      </c>
      <c r="N12" s="21">
        <v>3</v>
      </c>
      <c r="O12" s="34">
        <v>43675</v>
      </c>
      <c r="P12" s="21">
        <v>7</v>
      </c>
      <c r="Q12" s="21">
        <f>1000-500-250</f>
        <v>250</v>
      </c>
      <c r="R12" s="21">
        <f>60-1</f>
        <v>59</v>
      </c>
      <c r="S12" s="49">
        <v>48.4</v>
      </c>
      <c r="T12" s="57">
        <f t="shared" si="10"/>
        <v>2855.6</v>
      </c>
      <c r="U12" s="45">
        <f t="shared" si="11"/>
        <v>10.330578512396695</v>
      </c>
      <c r="V12" s="152">
        <f t="shared" si="7"/>
        <v>242</v>
      </c>
      <c r="W12" s="57">
        <v>50</v>
      </c>
      <c r="X12" s="41">
        <f t="shared" si="8"/>
        <v>2.42</v>
      </c>
      <c r="Y12" s="178">
        <v>43677</v>
      </c>
      <c r="Z12" s="49">
        <v>97.2</v>
      </c>
    </row>
    <row r="13" spans="1:46" ht="17" x14ac:dyDescent="0.2">
      <c r="A13" s="113">
        <v>42881</v>
      </c>
      <c r="B13" s="20" t="s">
        <v>111</v>
      </c>
      <c r="C13" s="20" t="s">
        <v>75</v>
      </c>
      <c r="D13" s="20" t="s">
        <v>103</v>
      </c>
      <c r="E13" s="22" t="s">
        <v>138</v>
      </c>
      <c r="F13" s="20"/>
      <c r="G13" s="22"/>
      <c r="H13" s="22"/>
      <c r="I13" s="34"/>
      <c r="J13" s="22" t="s">
        <v>260</v>
      </c>
      <c r="K13" s="22">
        <v>1</v>
      </c>
      <c r="L13" s="21">
        <v>100</v>
      </c>
      <c r="M13" s="140">
        <v>43666</v>
      </c>
      <c r="N13" s="21">
        <v>2</v>
      </c>
      <c r="O13" s="34">
        <v>43675</v>
      </c>
      <c r="P13" s="21">
        <v>7</v>
      </c>
      <c r="Q13" s="21">
        <f>1000-500-250</f>
        <v>250</v>
      </c>
      <c r="R13" s="21">
        <f>60-1</f>
        <v>59</v>
      </c>
      <c r="S13" s="49">
        <v>54</v>
      </c>
      <c r="T13" s="57">
        <f t="shared" si="10"/>
        <v>3186</v>
      </c>
      <c r="U13" s="45">
        <f t="shared" si="11"/>
        <v>9.2592592592592595</v>
      </c>
      <c r="V13" s="152">
        <f t="shared" si="7"/>
        <v>270</v>
      </c>
      <c r="W13" s="57">
        <v>50</v>
      </c>
      <c r="X13" s="41">
        <f t="shared" si="8"/>
        <v>2.7</v>
      </c>
      <c r="Y13" s="178">
        <v>43677</v>
      </c>
      <c r="Z13" s="49">
        <v>84</v>
      </c>
    </row>
    <row r="14" spans="1:46" ht="17" x14ac:dyDescent="0.2">
      <c r="A14" s="113">
        <v>42884</v>
      </c>
      <c r="B14" s="20" t="s">
        <v>113</v>
      </c>
      <c r="C14" s="20" t="s">
        <v>75</v>
      </c>
      <c r="D14" s="20" t="s">
        <v>103</v>
      </c>
      <c r="E14" s="22" t="s">
        <v>145</v>
      </c>
      <c r="F14" s="20"/>
      <c r="G14" s="22"/>
      <c r="H14" s="22"/>
      <c r="I14" s="21"/>
      <c r="J14" s="22" t="s">
        <v>261</v>
      </c>
      <c r="K14" s="22">
        <v>1</v>
      </c>
      <c r="L14" s="21">
        <v>60</v>
      </c>
      <c r="M14" s="140">
        <v>43668</v>
      </c>
      <c r="N14" s="21">
        <v>4</v>
      </c>
      <c r="O14" s="34">
        <v>43675</v>
      </c>
      <c r="P14" s="21">
        <v>7</v>
      </c>
      <c r="Q14" s="21">
        <f>1000-500-250</f>
        <v>250</v>
      </c>
      <c r="R14" s="21">
        <f>60-1</f>
        <v>59</v>
      </c>
      <c r="S14" s="49">
        <v>69.8</v>
      </c>
      <c r="T14" s="57">
        <f t="shared" si="10"/>
        <v>4118.2</v>
      </c>
      <c r="U14" s="45">
        <f t="shared" si="11"/>
        <v>7.1633237822349569</v>
      </c>
      <c r="V14" s="152">
        <f t="shared" si="7"/>
        <v>349</v>
      </c>
      <c r="W14" s="57">
        <v>50</v>
      </c>
      <c r="X14" s="41">
        <f t="shared" si="8"/>
        <v>3.49</v>
      </c>
      <c r="Y14" s="178">
        <v>43677</v>
      </c>
      <c r="Z14" s="49">
        <v>106</v>
      </c>
    </row>
    <row r="15" spans="1:46" ht="17" x14ac:dyDescent="0.2">
      <c r="A15" s="113">
        <v>42880</v>
      </c>
      <c r="B15" s="20" t="s">
        <v>109</v>
      </c>
      <c r="C15" s="20" t="s">
        <v>75</v>
      </c>
      <c r="D15" s="20" t="s">
        <v>93</v>
      </c>
      <c r="E15" s="22" t="s">
        <v>135</v>
      </c>
      <c r="F15" s="20"/>
      <c r="G15" s="22"/>
      <c r="H15" s="22"/>
      <c r="I15" s="21"/>
      <c r="J15" s="22" t="s">
        <v>262</v>
      </c>
      <c r="K15" s="22">
        <v>1</v>
      </c>
      <c r="L15" s="21">
        <v>100</v>
      </c>
      <c r="M15" s="140">
        <v>43666</v>
      </c>
      <c r="N15" s="21">
        <v>2</v>
      </c>
      <c r="O15" s="34">
        <v>43675</v>
      </c>
      <c r="P15" s="21">
        <v>7</v>
      </c>
      <c r="Q15" s="21">
        <f>1000-500-250</f>
        <v>250</v>
      </c>
      <c r="R15" s="21">
        <f>60-1</f>
        <v>59</v>
      </c>
      <c r="S15" s="49">
        <v>71</v>
      </c>
      <c r="T15" s="57">
        <f t="shared" si="10"/>
        <v>4189</v>
      </c>
      <c r="U15" s="45">
        <f t="shared" si="11"/>
        <v>7.042253521126761</v>
      </c>
      <c r="V15" s="152">
        <f t="shared" si="7"/>
        <v>355</v>
      </c>
      <c r="W15" s="57">
        <v>50</v>
      </c>
      <c r="X15" s="41">
        <f t="shared" si="8"/>
        <v>3.55</v>
      </c>
      <c r="Y15" s="178">
        <v>43677</v>
      </c>
      <c r="Z15" s="49">
        <v>108</v>
      </c>
    </row>
    <row r="16" spans="1:46" ht="17" x14ac:dyDescent="0.2">
      <c r="A16" s="113">
        <v>42881</v>
      </c>
      <c r="B16" s="20" t="s">
        <v>109</v>
      </c>
      <c r="C16" s="20" t="s">
        <v>75</v>
      </c>
      <c r="D16" s="20" t="s">
        <v>93</v>
      </c>
      <c r="E16" s="22" t="s">
        <v>137</v>
      </c>
      <c r="F16" s="20"/>
      <c r="G16" s="22"/>
      <c r="H16" s="22"/>
      <c r="I16" s="21"/>
      <c r="J16" s="22" t="s">
        <v>263</v>
      </c>
      <c r="K16" s="22">
        <v>1</v>
      </c>
      <c r="L16" s="21">
        <v>70</v>
      </c>
      <c r="M16" s="140">
        <v>43668</v>
      </c>
      <c r="N16" s="21">
        <v>4</v>
      </c>
      <c r="O16" s="34">
        <v>43675</v>
      </c>
      <c r="P16" s="21">
        <v>7</v>
      </c>
      <c r="Q16" s="21">
        <f>1000-500-250</f>
        <v>250</v>
      </c>
      <c r="R16" s="21">
        <f>60-1</f>
        <v>59</v>
      </c>
      <c r="S16" s="49">
        <v>64</v>
      </c>
      <c r="T16" s="57">
        <f t="shared" si="10"/>
        <v>3776</v>
      </c>
      <c r="U16" s="45">
        <f t="shared" si="11"/>
        <v>7.8125</v>
      </c>
      <c r="V16" s="152">
        <f t="shared" si="7"/>
        <v>320</v>
      </c>
      <c r="W16" s="57">
        <v>50</v>
      </c>
      <c r="X16" s="41">
        <f t="shared" si="8"/>
        <v>3.2</v>
      </c>
      <c r="Y16" s="178">
        <v>43677</v>
      </c>
      <c r="Z16" s="49">
        <v>97</v>
      </c>
    </row>
    <row r="17" spans="1:26" ht="17" x14ac:dyDescent="0.2">
      <c r="A17" s="113">
        <v>42875</v>
      </c>
      <c r="B17" s="20" t="s">
        <v>95</v>
      </c>
      <c r="C17" s="20" t="s">
        <v>92</v>
      </c>
      <c r="D17" s="20" t="s">
        <v>96</v>
      </c>
      <c r="E17" s="22" t="s">
        <v>272</v>
      </c>
      <c r="F17" s="20"/>
      <c r="G17" s="22"/>
      <c r="H17" s="22"/>
      <c r="I17" s="34">
        <v>43665</v>
      </c>
      <c r="J17" s="22">
        <v>481</v>
      </c>
      <c r="K17" s="22">
        <v>1</v>
      </c>
      <c r="L17" s="21">
        <v>40</v>
      </c>
      <c r="M17" s="140">
        <v>43665</v>
      </c>
      <c r="N17" s="21">
        <v>1</v>
      </c>
      <c r="O17" s="34">
        <v>43670</v>
      </c>
      <c r="P17" s="21">
        <v>1</v>
      </c>
      <c r="Q17" s="21">
        <f>1000-500</f>
        <v>500</v>
      </c>
      <c r="R17" s="21">
        <f>100-1</f>
        <v>99</v>
      </c>
      <c r="S17" s="49">
        <v>64.400000000000006</v>
      </c>
      <c r="T17" s="57">
        <f t="shared" si="10"/>
        <v>6375.6</v>
      </c>
      <c r="U17" s="45">
        <f t="shared" si="11"/>
        <v>7.7639751552795024</v>
      </c>
      <c r="V17" s="152">
        <f>S17*5</f>
        <v>322</v>
      </c>
      <c r="W17" s="57">
        <v>50</v>
      </c>
      <c r="X17" s="41">
        <f>W17*S17/1000</f>
        <v>3.2200000000000006</v>
      </c>
      <c r="Y17" s="178">
        <v>43677</v>
      </c>
      <c r="Z17" s="49">
        <v>89.2</v>
      </c>
    </row>
    <row r="18" spans="1:26" ht="17" x14ac:dyDescent="0.2">
      <c r="A18" s="113">
        <v>42875</v>
      </c>
      <c r="B18" s="20" t="s">
        <v>97</v>
      </c>
      <c r="C18" s="20" t="s">
        <v>92</v>
      </c>
      <c r="D18" s="20" t="s">
        <v>96</v>
      </c>
      <c r="E18" s="22" t="s">
        <v>273</v>
      </c>
      <c r="F18" s="20"/>
      <c r="G18" s="22"/>
      <c r="H18" s="22"/>
      <c r="I18" s="21"/>
      <c r="J18" s="22">
        <v>482</v>
      </c>
      <c r="K18" s="22">
        <v>1</v>
      </c>
      <c r="L18" s="21">
        <v>60</v>
      </c>
      <c r="M18" s="140">
        <v>43666</v>
      </c>
      <c r="N18" s="21">
        <v>3</v>
      </c>
      <c r="O18" s="34">
        <v>43672</v>
      </c>
      <c r="P18" s="21">
        <v>2</v>
      </c>
      <c r="Q18" s="21">
        <f t="shared" ref="Q18:Q19" si="12">1000-500</f>
        <v>500</v>
      </c>
      <c r="R18" s="21">
        <f>75-1</f>
        <v>74</v>
      </c>
      <c r="S18" s="49">
        <v>67.2</v>
      </c>
      <c r="T18" s="57">
        <f t="shared" ref="T18:T19" si="13">S18*R18</f>
        <v>4972.8</v>
      </c>
      <c r="U18" s="45">
        <f t="shared" ref="U18:U19" si="14">500/S18</f>
        <v>7.4404761904761898</v>
      </c>
      <c r="V18" s="152">
        <f t="shared" ref="V18:V20" si="15">S18*5</f>
        <v>336</v>
      </c>
      <c r="W18" s="57">
        <v>50</v>
      </c>
      <c r="X18" s="41">
        <f t="shared" ref="X18:X25" si="16">W18*S18/1000</f>
        <v>3.36</v>
      </c>
      <c r="Y18" s="178">
        <v>43677</v>
      </c>
      <c r="Z18" s="49">
        <v>22.2</v>
      </c>
    </row>
    <row r="19" spans="1:26" ht="17" x14ac:dyDescent="0.2">
      <c r="A19" s="113">
        <v>42878</v>
      </c>
      <c r="B19" s="20" t="s">
        <v>95</v>
      </c>
      <c r="C19" s="20" t="s">
        <v>92</v>
      </c>
      <c r="D19" s="20" t="s">
        <v>96</v>
      </c>
      <c r="E19" s="22" t="s">
        <v>125</v>
      </c>
      <c r="F19" s="20"/>
      <c r="G19" s="22"/>
      <c r="H19" s="22"/>
      <c r="I19" s="21"/>
      <c r="J19" s="22">
        <v>484</v>
      </c>
      <c r="K19" s="22">
        <v>1</v>
      </c>
      <c r="L19" s="21">
        <v>40</v>
      </c>
      <c r="M19" s="140">
        <v>43668</v>
      </c>
      <c r="N19" s="21">
        <v>5</v>
      </c>
      <c r="O19" s="34">
        <v>43672</v>
      </c>
      <c r="P19" s="21">
        <v>3</v>
      </c>
      <c r="Q19" s="21">
        <f t="shared" si="12"/>
        <v>500</v>
      </c>
      <c r="R19" s="21">
        <f>75-1</f>
        <v>74</v>
      </c>
      <c r="S19" s="49">
        <v>66.2</v>
      </c>
      <c r="T19" s="57">
        <f t="shared" si="13"/>
        <v>4898.8</v>
      </c>
      <c r="U19" s="45">
        <f t="shared" si="14"/>
        <v>7.5528700906344408</v>
      </c>
      <c r="V19" s="152">
        <f t="shared" si="15"/>
        <v>331</v>
      </c>
      <c r="W19" s="57">
        <v>50</v>
      </c>
      <c r="X19" s="41">
        <f t="shared" si="16"/>
        <v>3.31</v>
      </c>
      <c r="Y19" s="178">
        <v>43677</v>
      </c>
      <c r="Z19" s="49">
        <v>58.4</v>
      </c>
    </row>
    <row r="20" spans="1:26" ht="17" x14ac:dyDescent="0.2">
      <c r="A20" s="113">
        <v>42901</v>
      </c>
      <c r="B20" s="20" t="s">
        <v>97</v>
      </c>
      <c r="C20" s="20" t="s">
        <v>92</v>
      </c>
      <c r="D20" s="20" t="s">
        <v>96</v>
      </c>
      <c r="E20" s="22" t="s">
        <v>182</v>
      </c>
      <c r="F20" s="20"/>
      <c r="G20" s="22"/>
      <c r="H20" s="22"/>
      <c r="I20" s="21"/>
      <c r="J20" s="22">
        <v>491</v>
      </c>
      <c r="K20" s="22">
        <v>1</v>
      </c>
      <c r="L20" s="21">
        <v>20</v>
      </c>
      <c r="M20" s="140">
        <v>43668</v>
      </c>
      <c r="N20" s="21">
        <v>5</v>
      </c>
      <c r="O20" s="34">
        <v>43672</v>
      </c>
      <c r="P20" s="21">
        <v>3</v>
      </c>
      <c r="Q20" s="21">
        <f>1000-500</f>
        <v>500</v>
      </c>
      <c r="R20" s="21">
        <f>75-1</f>
        <v>74</v>
      </c>
      <c r="S20" s="49">
        <v>126</v>
      </c>
      <c r="T20" s="57">
        <f t="shared" ref="T20:T30" si="17">S20*R20</f>
        <v>9324</v>
      </c>
      <c r="U20" s="45">
        <f t="shared" ref="U20:U30" si="18">500/S20</f>
        <v>3.9682539682539684</v>
      </c>
      <c r="V20" s="152">
        <f t="shared" si="15"/>
        <v>630</v>
      </c>
      <c r="W20" s="57">
        <v>50</v>
      </c>
      <c r="X20" s="41">
        <f t="shared" si="16"/>
        <v>6.3</v>
      </c>
      <c r="Y20" s="178">
        <v>43677</v>
      </c>
      <c r="Z20" s="49">
        <v>58.4</v>
      </c>
    </row>
    <row r="21" spans="1:26" ht="17" x14ac:dyDescent="0.2">
      <c r="A21" s="113">
        <v>42900</v>
      </c>
      <c r="B21" s="20" t="s">
        <v>100</v>
      </c>
      <c r="C21" s="20" t="s">
        <v>92</v>
      </c>
      <c r="D21" s="20" t="s">
        <v>101</v>
      </c>
      <c r="E21" s="22" t="s">
        <v>178</v>
      </c>
      <c r="F21" s="20" t="s">
        <v>218</v>
      </c>
      <c r="G21" s="22" t="s">
        <v>232</v>
      </c>
      <c r="H21" s="22" t="s">
        <v>205</v>
      </c>
      <c r="I21" s="21"/>
      <c r="J21" s="22">
        <v>506</v>
      </c>
      <c r="K21" s="22">
        <v>1</v>
      </c>
      <c r="L21" s="21">
        <v>80</v>
      </c>
      <c r="M21" s="140">
        <v>43666</v>
      </c>
      <c r="N21" s="21">
        <v>2</v>
      </c>
      <c r="O21" s="67">
        <v>43670</v>
      </c>
      <c r="P21" s="21">
        <v>1</v>
      </c>
      <c r="Q21" s="21">
        <f>1000-500</f>
        <v>500</v>
      </c>
      <c r="R21" s="21">
        <f>100-1</f>
        <v>99</v>
      </c>
      <c r="S21" s="49">
        <v>63.8</v>
      </c>
      <c r="T21" s="57">
        <f t="shared" si="17"/>
        <v>6316.2</v>
      </c>
      <c r="U21" s="45">
        <f t="shared" si="18"/>
        <v>7.8369905956112857</v>
      </c>
      <c r="V21" s="152">
        <f>S21*5</f>
        <v>319</v>
      </c>
      <c r="W21" s="57">
        <v>50</v>
      </c>
      <c r="X21" s="41">
        <f t="shared" si="16"/>
        <v>3.19</v>
      </c>
      <c r="Y21" s="178">
        <v>43677</v>
      </c>
      <c r="Z21" s="49">
        <v>29.2</v>
      </c>
    </row>
    <row r="22" spans="1:26" ht="17" x14ac:dyDescent="0.2">
      <c r="A22" s="113">
        <v>42891</v>
      </c>
      <c r="B22" s="20" t="s">
        <v>102</v>
      </c>
      <c r="C22" s="20" t="s">
        <v>92</v>
      </c>
      <c r="D22" s="20" t="s">
        <v>103</v>
      </c>
      <c r="E22" s="22" t="s">
        <v>161</v>
      </c>
      <c r="F22" s="20" t="s">
        <v>214</v>
      </c>
      <c r="G22" s="22" t="s">
        <v>233</v>
      </c>
      <c r="H22" s="22" t="s">
        <v>205</v>
      </c>
      <c r="I22" s="21"/>
      <c r="J22" s="22">
        <v>513</v>
      </c>
      <c r="K22" s="22"/>
      <c r="L22" s="21">
        <v>30</v>
      </c>
      <c r="M22" s="140">
        <v>43669</v>
      </c>
      <c r="N22" s="21">
        <v>10</v>
      </c>
      <c r="O22" s="34">
        <v>43672</v>
      </c>
      <c r="P22" s="21">
        <v>5</v>
      </c>
      <c r="Q22" s="21">
        <f>1000-500</f>
        <v>500</v>
      </c>
      <c r="R22" s="116">
        <v>74</v>
      </c>
      <c r="S22" s="49">
        <v>156</v>
      </c>
      <c r="T22" s="57">
        <f t="shared" si="17"/>
        <v>11544</v>
      </c>
      <c r="U22" s="45">
        <f t="shared" si="18"/>
        <v>3.2051282051282053</v>
      </c>
      <c r="V22" s="152">
        <f>S22*5</f>
        <v>780</v>
      </c>
      <c r="W22" s="57">
        <v>50</v>
      </c>
      <c r="X22" s="41">
        <f t="shared" si="16"/>
        <v>7.8</v>
      </c>
      <c r="Y22" s="178">
        <v>43677</v>
      </c>
      <c r="Z22" s="49">
        <v>142</v>
      </c>
    </row>
    <row r="23" spans="1:26" ht="17" x14ac:dyDescent="0.2">
      <c r="A23" s="113">
        <v>42876</v>
      </c>
      <c r="B23" s="20" t="s">
        <v>91</v>
      </c>
      <c r="C23" s="20" t="s">
        <v>92</v>
      </c>
      <c r="D23" s="20" t="s">
        <v>93</v>
      </c>
      <c r="E23" s="22" t="s">
        <v>270</v>
      </c>
      <c r="F23" s="20"/>
      <c r="G23" s="22"/>
      <c r="H23" s="22"/>
      <c r="I23" s="21"/>
      <c r="J23" s="22">
        <v>521</v>
      </c>
      <c r="K23" s="22">
        <v>1</v>
      </c>
      <c r="L23" s="21">
        <v>70</v>
      </c>
      <c r="M23" s="140">
        <v>43666</v>
      </c>
      <c r="N23" s="21">
        <v>2</v>
      </c>
      <c r="O23" s="67">
        <v>43670</v>
      </c>
      <c r="P23" s="21">
        <v>1</v>
      </c>
      <c r="Q23" s="21">
        <f>1000-500-250</f>
        <v>250</v>
      </c>
      <c r="R23" s="21">
        <f>100-1</f>
        <v>99</v>
      </c>
      <c r="S23" s="49">
        <v>54.4</v>
      </c>
      <c r="T23" s="57">
        <f t="shared" si="17"/>
        <v>5385.5999999999995</v>
      </c>
      <c r="U23" s="45">
        <f t="shared" si="18"/>
        <v>9.1911764705882355</v>
      </c>
      <c r="V23" s="152">
        <f t="shared" ref="V23:V25" si="19">S23*5</f>
        <v>272</v>
      </c>
      <c r="W23" s="57">
        <v>50</v>
      </c>
      <c r="X23" s="41">
        <f t="shared" si="16"/>
        <v>2.72</v>
      </c>
      <c r="Y23" s="178">
        <v>43677</v>
      </c>
      <c r="Z23" s="49">
        <v>66.599999999999994</v>
      </c>
    </row>
    <row r="24" spans="1:26" ht="17" x14ac:dyDescent="0.2">
      <c r="A24" s="113">
        <v>42877</v>
      </c>
      <c r="B24" s="20" t="s">
        <v>91</v>
      </c>
      <c r="C24" s="20" t="s">
        <v>92</v>
      </c>
      <c r="D24" s="20" t="s">
        <v>93</v>
      </c>
      <c r="E24" s="22" t="s">
        <v>123</v>
      </c>
      <c r="F24" s="20"/>
      <c r="G24" s="22"/>
      <c r="H24" s="22"/>
      <c r="I24" s="21"/>
      <c r="J24" s="22">
        <v>522</v>
      </c>
      <c r="K24" s="22">
        <v>1</v>
      </c>
      <c r="L24" s="21">
        <v>20</v>
      </c>
      <c r="M24" s="140">
        <v>43668</v>
      </c>
      <c r="N24" s="21">
        <v>5</v>
      </c>
      <c r="O24" s="34">
        <v>43672</v>
      </c>
      <c r="P24" s="21">
        <v>3</v>
      </c>
      <c r="Q24" s="21">
        <f>1000-500-250</f>
        <v>250</v>
      </c>
      <c r="R24" s="21">
        <f>75-1</f>
        <v>74</v>
      </c>
      <c r="S24" s="49">
        <v>60.8</v>
      </c>
      <c r="T24" s="57">
        <f t="shared" si="17"/>
        <v>4499.2</v>
      </c>
      <c r="U24" s="45">
        <f t="shared" si="18"/>
        <v>8.2236842105263168</v>
      </c>
      <c r="V24" s="152">
        <f t="shared" si="19"/>
        <v>304</v>
      </c>
      <c r="W24" s="57">
        <v>50</v>
      </c>
      <c r="X24" s="41">
        <f t="shared" si="16"/>
        <v>3.04</v>
      </c>
      <c r="Y24" s="178">
        <v>43677</v>
      </c>
      <c r="Z24" s="49">
        <v>32.200000000000003</v>
      </c>
    </row>
    <row r="25" spans="1:26" ht="17" x14ac:dyDescent="0.2">
      <c r="A25" s="113">
        <v>42901</v>
      </c>
      <c r="B25" s="20" t="s">
        <v>94</v>
      </c>
      <c r="C25" s="20" t="s">
        <v>92</v>
      </c>
      <c r="D25" s="20" t="s">
        <v>93</v>
      </c>
      <c r="E25" s="22" t="s">
        <v>184</v>
      </c>
      <c r="F25" s="20"/>
      <c r="G25" s="22"/>
      <c r="H25" s="22"/>
      <c r="I25" s="21"/>
      <c r="J25" s="22">
        <v>528</v>
      </c>
      <c r="K25" s="22">
        <v>1</v>
      </c>
      <c r="L25" s="21">
        <v>30</v>
      </c>
      <c r="M25" s="140">
        <v>43669</v>
      </c>
      <c r="N25" s="21">
        <v>8</v>
      </c>
      <c r="O25" s="34">
        <v>43672</v>
      </c>
      <c r="P25" s="21">
        <v>5</v>
      </c>
      <c r="Q25" s="21">
        <f>1000-500</f>
        <v>500</v>
      </c>
      <c r="R25" s="116">
        <v>74</v>
      </c>
      <c r="S25" s="49">
        <v>162</v>
      </c>
      <c r="T25" s="57">
        <f t="shared" si="17"/>
        <v>11988</v>
      </c>
      <c r="U25" s="45">
        <f t="shared" si="18"/>
        <v>3.0864197530864197</v>
      </c>
      <c r="V25" s="152">
        <f t="shared" si="19"/>
        <v>810</v>
      </c>
      <c r="W25" s="57">
        <v>50</v>
      </c>
      <c r="X25" s="41">
        <f t="shared" si="16"/>
        <v>8.1</v>
      </c>
      <c r="Y25" s="178">
        <v>43677</v>
      </c>
      <c r="Z25" s="49">
        <v>87.6</v>
      </c>
    </row>
    <row r="26" spans="1:26" ht="17" x14ac:dyDescent="0.2">
      <c r="A26" s="113">
        <v>42879</v>
      </c>
      <c r="B26" s="20" t="s">
        <v>107</v>
      </c>
      <c r="C26" s="20" t="s">
        <v>99</v>
      </c>
      <c r="D26" s="20" t="s">
        <v>96</v>
      </c>
      <c r="E26" s="22" t="s">
        <v>133</v>
      </c>
      <c r="F26" s="20"/>
      <c r="G26" s="22"/>
      <c r="H26" s="22"/>
      <c r="I26" s="34">
        <v>43665</v>
      </c>
      <c r="J26" s="22">
        <v>531</v>
      </c>
      <c r="K26" s="22">
        <v>1</v>
      </c>
      <c r="L26" s="21">
        <v>60</v>
      </c>
      <c r="M26" s="140">
        <v>43665</v>
      </c>
      <c r="N26" s="21">
        <v>1</v>
      </c>
      <c r="O26" s="34">
        <v>43670</v>
      </c>
      <c r="P26" s="21">
        <v>1</v>
      </c>
      <c r="Q26" s="21">
        <f>1000-500</f>
        <v>500</v>
      </c>
      <c r="R26" s="21">
        <f>100-1</f>
        <v>99</v>
      </c>
      <c r="S26" s="49">
        <v>88.2</v>
      </c>
      <c r="T26" s="57">
        <f t="shared" si="17"/>
        <v>8731.8000000000011</v>
      </c>
      <c r="U26" s="45">
        <f t="shared" si="18"/>
        <v>5.6689342403628116</v>
      </c>
      <c r="V26" s="152">
        <f>S26*5</f>
        <v>441</v>
      </c>
      <c r="W26" s="57">
        <v>50</v>
      </c>
      <c r="X26" s="41">
        <f>W26*S26/1000</f>
        <v>4.41</v>
      </c>
      <c r="Y26" s="178">
        <v>43677</v>
      </c>
      <c r="Z26" s="49">
        <v>95.4</v>
      </c>
    </row>
    <row r="27" spans="1:26" ht="17" x14ac:dyDescent="0.2">
      <c r="A27" s="113">
        <v>42878</v>
      </c>
      <c r="B27" s="20" t="s">
        <v>104</v>
      </c>
      <c r="C27" s="20" t="s">
        <v>99</v>
      </c>
      <c r="D27" s="20" t="s">
        <v>101</v>
      </c>
      <c r="E27" s="22" t="s">
        <v>128</v>
      </c>
      <c r="F27" s="20"/>
      <c r="G27" s="22"/>
      <c r="H27" s="22"/>
      <c r="I27" s="34">
        <v>43665</v>
      </c>
      <c r="J27" s="22">
        <v>541</v>
      </c>
      <c r="K27" s="22">
        <v>1</v>
      </c>
      <c r="L27" s="21">
        <v>40</v>
      </c>
      <c r="M27" s="140">
        <v>43656</v>
      </c>
      <c r="N27" s="21">
        <v>1</v>
      </c>
      <c r="O27" s="67">
        <v>43670</v>
      </c>
      <c r="P27" s="21">
        <v>1</v>
      </c>
      <c r="Q27" s="21">
        <f t="shared" ref="Q27:Q30" si="20">1000-500</f>
        <v>500</v>
      </c>
      <c r="R27" s="21">
        <f>100-1</f>
        <v>99</v>
      </c>
      <c r="S27" s="49">
        <v>45.6</v>
      </c>
      <c r="T27" s="57">
        <f t="shared" si="17"/>
        <v>4514.4000000000005</v>
      </c>
      <c r="U27" s="45">
        <f t="shared" si="18"/>
        <v>10.964912280701753</v>
      </c>
      <c r="V27" s="152">
        <f t="shared" ref="V27:V30" si="21">S27*5</f>
        <v>228</v>
      </c>
      <c r="W27" s="57">
        <v>50</v>
      </c>
      <c r="X27" s="41">
        <f t="shared" ref="X27:X30" si="22">W27*S27/1000</f>
        <v>2.2799999999999998</v>
      </c>
      <c r="Y27" s="178">
        <v>43677</v>
      </c>
      <c r="Z27" s="49">
        <v>44.4</v>
      </c>
    </row>
    <row r="28" spans="1:26" ht="17" x14ac:dyDescent="0.2">
      <c r="A28" s="113">
        <v>42879</v>
      </c>
      <c r="B28" s="20" t="s">
        <v>104</v>
      </c>
      <c r="C28" s="20" t="s">
        <v>99</v>
      </c>
      <c r="D28" s="20" t="s">
        <v>101</v>
      </c>
      <c r="E28" s="22" t="s">
        <v>129</v>
      </c>
      <c r="F28" s="20"/>
      <c r="G28" s="22"/>
      <c r="H28" s="22"/>
      <c r="I28" s="21"/>
      <c r="J28" s="22">
        <v>542</v>
      </c>
      <c r="K28" s="22">
        <v>1</v>
      </c>
      <c r="L28" s="21">
        <v>30</v>
      </c>
      <c r="M28" s="140">
        <v>43666</v>
      </c>
      <c r="N28" s="21">
        <v>3</v>
      </c>
      <c r="O28" s="34">
        <v>43672</v>
      </c>
      <c r="P28" s="21">
        <v>2</v>
      </c>
      <c r="Q28" s="21">
        <f t="shared" si="20"/>
        <v>500</v>
      </c>
      <c r="R28" s="21">
        <f>75-1</f>
        <v>74</v>
      </c>
      <c r="S28" s="49">
        <v>82</v>
      </c>
      <c r="T28" s="57">
        <f t="shared" si="17"/>
        <v>6068</v>
      </c>
      <c r="U28" s="45">
        <f t="shared" si="18"/>
        <v>6.0975609756097562</v>
      </c>
      <c r="V28" s="152">
        <f t="shared" si="21"/>
        <v>410</v>
      </c>
      <c r="W28" s="57">
        <v>50</v>
      </c>
      <c r="X28" s="41">
        <f t="shared" si="22"/>
        <v>4.0999999999999996</v>
      </c>
      <c r="Y28" s="178">
        <v>43677</v>
      </c>
      <c r="Z28" s="49">
        <v>32.799999999999997</v>
      </c>
    </row>
    <row r="29" spans="1:26" ht="17" x14ac:dyDescent="0.2">
      <c r="A29" s="113">
        <v>42889</v>
      </c>
      <c r="B29" s="20" t="s">
        <v>115</v>
      </c>
      <c r="C29" s="20" t="s">
        <v>99</v>
      </c>
      <c r="D29" s="20" t="s">
        <v>103</v>
      </c>
      <c r="E29" s="22" t="s">
        <v>157</v>
      </c>
      <c r="F29" s="20"/>
      <c r="G29" s="22"/>
      <c r="H29" s="22"/>
      <c r="I29" s="21"/>
      <c r="J29" s="22" t="s">
        <v>268</v>
      </c>
      <c r="K29" s="22">
        <v>1</v>
      </c>
      <c r="L29" s="21">
        <v>80</v>
      </c>
      <c r="M29" s="140">
        <v>43668</v>
      </c>
      <c r="N29" s="21">
        <v>5</v>
      </c>
      <c r="O29" s="34">
        <v>43675</v>
      </c>
      <c r="P29" s="21">
        <v>7</v>
      </c>
      <c r="Q29" s="21">
        <f>1000-500-250</f>
        <v>250</v>
      </c>
      <c r="R29" s="21">
        <f>60-1</f>
        <v>59</v>
      </c>
      <c r="S29" s="49">
        <v>64.8</v>
      </c>
      <c r="T29" s="57">
        <f t="shared" si="17"/>
        <v>3823.2</v>
      </c>
      <c r="U29" s="45">
        <f t="shared" si="18"/>
        <v>7.7160493827160499</v>
      </c>
      <c r="V29" s="152">
        <f t="shared" si="21"/>
        <v>324</v>
      </c>
      <c r="W29" s="57">
        <v>50</v>
      </c>
      <c r="X29" s="41">
        <f t="shared" si="22"/>
        <v>3.24</v>
      </c>
      <c r="Y29" s="178">
        <v>43677</v>
      </c>
      <c r="Z29" s="49">
        <v>74.599999999999994</v>
      </c>
    </row>
    <row r="30" spans="1:26" ht="17" x14ac:dyDescent="0.2">
      <c r="A30" s="113">
        <v>42876</v>
      </c>
      <c r="B30" s="20" t="s">
        <v>98</v>
      </c>
      <c r="C30" s="20" t="s">
        <v>99</v>
      </c>
      <c r="D30" s="20" t="s">
        <v>93</v>
      </c>
      <c r="E30" s="22" t="s">
        <v>122</v>
      </c>
      <c r="F30" s="20"/>
      <c r="G30" s="22"/>
      <c r="H30" s="22"/>
      <c r="I30" s="21"/>
      <c r="J30" s="22">
        <v>561</v>
      </c>
      <c r="K30" s="22">
        <v>1</v>
      </c>
      <c r="L30" s="21">
        <v>40</v>
      </c>
      <c r="M30" s="140">
        <v>43666</v>
      </c>
      <c r="N30" s="21">
        <v>2</v>
      </c>
      <c r="O30" s="67">
        <v>43670</v>
      </c>
      <c r="P30" s="21">
        <v>1</v>
      </c>
      <c r="Q30" s="21">
        <f t="shared" si="20"/>
        <v>500</v>
      </c>
      <c r="R30" s="21">
        <f>100-1</f>
        <v>99</v>
      </c>
      <c r="S30" s="49">
        <v>43.4</v>
      </c>
      <c r="T30" s="57">
        <f t="shared" si="17"/>
        <v>4296.5999999999995</v>
      </c>
      <c r="U30" s="45">
        <f t="shared" si="18"/>
        <v>11.520737327188941</v>
      </c>
      <c r="V30" s="152">
        <f t="shared" si="21"/>
        <v>217</v>
      </c>
      <c r="W30" s="57">
        <v>50</v>
      </c>
      <c r="X30" s="41">
        <f t="shared" si="22"/>
        <v>2.17</v>
      </c>
      <c r="Y30" s="178">
        <v>43677</v>
      </c>
      <c r="Z30" s="49">
        <v>28</v>
      </c>
    </row>
    <row r="31" spans="1:26" ht="17" x14ac:dyDescent="0.2">
      <c r="A31" s="179" t="s">
        <v>236</v>
      </c>
      <c r="B31" s="126"/>
      <c r="C31" s="20" t="s">
        <v>235</v>
      </c>
      <c r="D31" s="20" t="s">
        <v>235</v>
      </c>
      <c r="E31" s="127"/>
      <c r="F31" s="126"/>
      <c r="G31" s="127"/>
      <c r="H31" s="127"/>
      <c r="I31" s="126"/>
      <c r="J31" s="127">
        <v>571</v>
      </c>
      <c r="K31" s="127">
        <v>1</v>
      </c>
      <c r="L31" s="126">
        <v>10</v>
      </c>
      <c r="M31" s="180">
        <v>43668</v>
      </c>
      <c r="N31" s="126">
        <v>4</v>
      </c>
      <c r="O31" s="181">
        <v>43672</v>
      </c>
      <c r="P31" s="126">
        <v>3</v>
      </c>
      <c r="Q31" s="21">
        <f>1000-500</f>
        <v>500</v>
      </c>
      <c r="R31" s="126">
        <f>75-1</f>
        <v>74</v>
      </c>
      <c r="S31" s="184" t="s">
        <v>244</v>
      </c>
      <c r="T31" s="60" t="s">
        <v>236</v>
      </c>
      <c r="U31" s="47" t="s">
        <v>236</v>
      </c>
      <c r="V31" s="182"/>
      <c r="W31" s="57">
        <v>50</v>
      </c>
      <c r="X31" s="44" t="s">
        <v>244</v>
      </c>
      <c r="Y31" s="183">
        <v>43677</v>
      </c>
      <c r="Z31" s="184" t="s">
        <v>244</v>
      </c>
    </row>
  </sheetData>
  <dataValidations disablePrompts="1" count="1">
    <dataValidation type="list" allowBlank="1" showInputMessage="1" showErrorMessage="1" promptTitle="Treatment Group" sqref="B2:B30" xr:uid="{8C98B4FA-8B7C-0844-8FF9-7AA8CAC064D0}">
      <formula1>$C$3:$C$3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6545-EF74-4D49-A9B9-B52CEDF91527}">
  <dimension ref="A1:L136"/>
  <sheetViews>
    <sheetView workbookViewId="0">
      <selection activeCell="K29" sqref="K29"/>
    </sheetView>
  </sheetViews>
  <sheetFormatPr baseColWidth="10" defaultRowHeight="16" x14ac:dyDescent="0.2"/>
  <cols>
    <col min="1" max="2" width="14" style="250" customWidth="1"/>
    <col min="3" max="3" width="14.5" style="250" customWidth="1"/>
    <col min="4" max="4" width="15.6640625" style="226" customWidth="1"/>
    <col min="5" max="5" width="18.33203125" style="229" customWidth="1"/>
    <col min="6" max="6" width="12.6640625" style="229" customWidth="1"/>
    <col min="8" max="8" width="26.1640625" style="115" customWidth="1"/>
    <col min="9" max="9" width="12.6640625" style="115" customWidth="1"/>
    <col min="10" max="10" width="12.83203125" style="119" customWidth="1"/>
    <col min="11" max="11" width="18.1640625" style="52" customWidth="1"/>
    <col min="12" max="12" width="18.1640625" style="59" customWidth="1"/>
  </cols>
  <sheetData>
    <row r="1" spans="1:7" ht="40" x14ac:dyDescent="0.25">
      <c r="A1" s="244" t="s">
        <v>446</v>
      </c>
      <c r="B1" s="244" t="s">
        <v>18</v>
      </c>
      <c r="C1" s="244" t="s">
        <v>452</v>
      </c>
      <c r="D1" s="234" t="s">
        <v>453</v>
      </c>
      <c r="E1" s="237" t="s">
        <v>315</v>
      </c>
      <c r="F1" s="237" t="s">
        <v>454</v>
      </c>
      <c r="G1" s="251" t="s">
        <v>455</v>
      </c>
    </row>
    <row r="2" spans="1:7" x14ac:dyDescent="0.2">
      <c r="A2" s="245" t="s">
        <v>447</v>
      </c>
      <c r="B2" s="245" t="s">
        <v>37</v>
      </c>
      <c r="C2" s="245" t="s">
        <v>85</v>
      </c>
      <c r="D2" s="8">
        <v>291</v>
      </c>
      <c r="E2" s="239">
        <v>158</v>
      </c>
      <c r="F2" s="239">
        <v>790</v>
      </c>
      <c r="G2" s="61"/>
    </row>
    <row r="3" spans="1:7" x14ac:dyDescent="0.2">
      <c r="A3" s="245" t="s">
        <v>447</v>
      </c>
      <c r="B3" s="245" t="s">
        <v>37</v>
      </c>
      <c r="C3" s="245" t="s">
        <v>85</v>
      </c>
      <c r="D3" s="8">
        <v>292</v>
      </c>
      <c r="E3" s="239">
        <v>29.6</v>
      </c>
      <c r="F3" s="239">
        <v>148</v>
      </c>
      <c r="G3" s="61" t="s">
        <v>439</v>
      </c>
    </row>
    <row r="4" spans="1:7" x14ac:dyDescent="0.2">
      <c r="A4" s="245" t="s">
        <v>447</v>
      </c>
      <c r="B4" s="245" t="s">
        <v>37</v>
      </c>
      <c r="C4" s="245" t="s">
        <v>85</v>
      </c>
      <c r="D4" s="8">
        <v>293</v>
      </c>
      <c r="E4" s="239">
        <v>39.6</v>
      </c>
      <c r="F4" s="239">
        <v>198</v>
      </c>
      <c r="G4" s="61"/>
    </row>
    <row r="5" spans="1:7" x14ac:dyDescent="0.2">
      <c r="A5" s="245" t="s">
        <v>447</v>
      </c>
      <c r="B5" s="245" t="s">
        <v>37</v>
      </c>
      <c r="C5" s="245" t="s">
        <v>85</v>
      </c>
      <c r="D5" s="8">
        <v>294</v>
      </c>
      <c r="E5" s="239">
        <v>110</v>
      </c>
      <c r="F5" s="239">
        <v>550</v>
      </c>
      <c r="G5" s="61"/>
    </row>
    <row r="6" spans="1:7" x14ac:dyDescent="0.2">
      <c r="A6" s="245" t="s">
        <v>447</v>
      </c>
      <c r="B6" s="245" t="s">
        <v>37</v>
      </c>
      <c r="C6" s="245" t="s">
        <v>85</v>
      </c>
      <c r="D6" s="8">
        <v>295</v>
      </c>
      <c r="E6" s="239">
        <v>34.799999999999997</v>
      </c>
      <c r="F6" s="239">
        <v>174</v>
      </c>
      <c r="G6" s="61" t="s">
        <v>439</v>
      </c>
    </row>
    <row r="7" spans="1:7" x14ac:dyDescent="0.2">
      <c r="A7" s="245" t="s">
        <v>447</v>
      </c>
      <c r="B7" s="245" t="s">
        <v>37</v>
      </c>
      <c r="C7" s="245" t="s">
        <v>85</v>
      </c>
      <c r="D7" s="8">
        <v>296</v>
      </c>
      <c r="E7" s="239">
        <v>180</v>
      </c>
      <c r="F7" s="239">
        <v>900</v>
      </c>
      <c r="G7" s="61"/>
    </row>
    <row r="8" spans="1:7" x14ac:dyDescent="0.2">
      <c r="A8" s="245" t="s">
        <v>447</v>
      </c>
      <c r="B8" s="245" t="s">
        <v>37</v>
      </c>
      <c r="C8" s="245" t="s">
        <v>85</v>
      </c>
      <c r="D8" s="8">
        <v>298</v>
      </c>
      <c r="E8" s="239">
        <v>182</v>
      </c>
      <c r="F8" s="239">
        <v>910</v>
      </c>
      <c r="G8" s="61"/>
    </row>
    <row r="9" spans="1:7" x14ac:dyDescent="0.2">
      <c r="A9" s="245" t="s">
        <v>447</v>
      </c>
      <c r="B9" s="245" t="s">
        <v>37</v>
      </c>
      <c r="C9" s="245" t="s">
        <v>85</v>
      </c>
      <c r="D9" s="8">
        <v>299</v>
      </c>
      <c r="E9" s="239">
        <v>50.4</v>
      </c>
      <c r="F9" s="239">
        <v>252</v>
      </c>
      <c r="G9" s="61"/>
    </row>
    <row r="10" spans="1:7" x14ac:dyDescent="0.2">
      <c r="A10" s="245" t="s">
        <v>447</v>
      </c>
      <c r="B10" s="246" t="s">
        <v>37</v>
      </c>
      <c r="C10" s="246" t="s">
        <v>86</v>
      </c>
      <c r="D10" s="199">
        <v>301</v>
      </c>
      <c r="E10" s="239">
        <v>75.8</v>
      </c>
      <c r="F10" s="239">
        <v>379</v>
      </c>
      <c r="G10" s="61"/>
    </row>
    <row r="11" spans="1:7" x14ac:dyDescent="0.2">
      <c r="A11" s="245" t="s">
        <v>447</v>
      </c>
      <c r="B11" s="246" t="s">
        <v>37</v>
      </c>
      <c r="C11" s="246" t="s">
        <v>86</v>
      </c>
      <c r="D11" s="199">
        <v>302</v>
      </c>
      <c r="E11" s="239">
        <v>62.4</v>
      </c>
      <c r="F11" s="239">
        <v>312</v>
      </c>
      <c r="G11" s="61"/>
    </row>
    <row r="12" spans="1:7" x14ac:dyDescent="0.2">
      <c r="A12" s="245" t="s">
        <v>447</v>
      </c>
      <c r="B12" s="245" t="s">
        <v>37</v>
      </c>
      <c r="C12" s="245" t="s">
        <v>86</v>
      </c>
      <c r="D12" s="8">
        <v>306</v>
      </c>
      <c r="E12" s="239">
        <v>136</v>
      </c>
      <c r="F12" s="239">
        <v>680</v>
      </c>
      <c r="G12" s="61"/>
    </row>
    <row r="13" spans="1:7" x14ac:dyDescent="0.2">
      <c r="A13" s="245" t="s">
        <v>447</v>
      </c>
      <c r="B13" s="245" t="s">
        <v>37</v>
      </c>
      <c r="C13" s="245" t="s">
        <v>86</v>
      </c>
      <c r="D13" s="8">
        <v>304</v>
      </c>
      <c r="E13" s="239">
        <v>200</v>
      </c>
      <c r="F13" s="239">
        <v>1000</v>
      </c>
      <c r="G13" s="61"/>
    </row>
    <row r="14" spans="1:7" x14ac:dyDescent="0.2">
      <c r="A14" s="245" t="s">
        <v>447</v>
      </c>
      <c r="B14" s="245" t="s">
        <v>37</v>
      </c>
      <c r="C14" s="245" t="s">
        <v>86</v>
      </c>
      <c r="D14" s="8">
        <v>305</v>
      </c>
      <c r="E14" s="239">
        <v>75.2</v>
      </c>
      <c r="F14" s="239">
        <v>376</v>
      </c>
      <c r="G14" s="61"/>
    </row>
    <row r="15" spans="1:7" x14ac:dyDescent="0.2">
      <c r="A15" s="245" t="s">
        <v>447</v>
      </c>
      <c r="B15" s="245" t="s">
        <v>37</v>
      </c>
      <c r="C15" s="245" t="s">
        <v>86</v>
      </c>
      <c r="D15" s="8">
        <v>303</v>
      </c>
      <c r="E15" s="239">
        <v>95.2</v>
      </c>
      <c r="F15" s="239">
        <v>476</v>
      </c>
      <c r="G15" s="61"/>
    </row>
    <row r="16" spans="1:7" x14ac:dyDescent="0.2">
      <c r="A16" s="245" t="s">
        <v>447</v>
      </c>
      <c r="B16" s="245" t="s">
        <v>37</v>
      </c>
      <c r="C16" s="245" t="s">
        <v>86</v>
      </c>
      <c r="D16" s="8">
        <v>307</v>
      </c>
      <c r="E16" s="239">
        <v>89.4</v>
      </c>
      <c r="F16" s="239">
        <v>447</v>
      </c>
      <c r="G16" s="61"/>
    </row>
    <row r="17" spans="1:7" x14ac:dyDescent="0.2">
      <c r="A17" s="245" t="s">
        <v>447</v>
      </c>
      <c r="B17" s="245" t="s">
        <v>37</v>
      </c>
      <c r="C17" s="245" t="s">
        <v>86</v>
      </c>
      <c r="D17" s="8">
        <v>308</v>
      </c>
      <c r="E17" s="239">
        <v>73.599999999999994</v>
      </c>
      <c r="F17" s="239">
        <v>368</v>
      </c>
      <c r="G17" s="61"/>
    </row>
    <row r="18" spans="1:7" x14ac:dyDescent="0.2">
      <c r="A18" s="245" t="s">
        <v>447</v>
      </c>
      <c r="B18" s="245" t="s">
        <v>37</v>
      </c>
      <c r="C18" s="245" t="s">
        <v>86</v>
      </c>
      <c r="D18" s="8">
        <v>309</v>
      </c>
      <c r="E18" s="239">
        <v>170</v>
      </c>
      <c r="F18" s="239">
        <v>850</v>
      </c>
      <c r="G18" s="61"/>
    </row>
    <row r="19" spans="1:7" x14ac:dyDescent="0.2">
      <c r="A19" s="245" t="s">
        <v>447</v>
      </c>
      <c r="B19" s="246" t="s">
        <v>74</v>
      </c>
      <c r="C19" s="246" t="s">
        <v>85</v>
      </c>
      <c r="D19" s="199">
        <v>311</v>
      </c>
      <c r="E19" s="239">
        <v>158</v>
      </c>
      <c r="F19" s="239">
        <v>790</v>
      </c>
      <c r="G19" s="61"/>
    </row>
    <row r="20" spans="1:7" x14ac:dyDescent="0.2">
      <c r="A20" s="245" t="s">
        <v>447</v>
      </c>
      <c r="B20" s="245" t="s">
        <v>74</v>
      </c>
      <c r="C20" s="245" t="s">
        <v>85</v>
      </c>
      <c r="D20" s="8">
        <v>312</v>
      </c>
      <c r="E20" s="239">
        <v>90.6</v>
      </c>
      <c r="F20" s="239">
        <v>453</v>
      </c>
      <c r="G20" s="61"/>
    </row>
    <row r="21" spans="1:7" x14ac:dyDescent="0.2">
      <c r="A21" s="245" t="s">
        <v>447</v>
      </c>
      <c r="B21" s="245" t="s">
        <v>74</v>
      </c>
      <c r="C21" s="245" t="s">
        <v>85</v>
      </c>
      <c r="D21" s="8">
        <v>313</v>
      </c>
      <c r="E21" s="239">
        <v>72.400000000000006</v>
      </c>
      <c r="F21" s="239">
        <v>362</v>
      </c>
      <c r="G21" s="61"/>
    </row>
    <row r="22" spans="1:7" x14ac:dyDescent="0.2">
      <c r="A22" s="245" t="s">
        <v>447</v>
      </c>
      <c r="B22" s="245" t="s">
        <v>74</v>
      </c>
      <c r="C22" s="245" t="s">
        <v>85</v>
      </c>
      <c r="D22" s="8">
        <v>314</v>
      </c>
      <c r="E22" s="239">
        <v>42.2</v>
      </c>
      <c r="F22" s="239">
        <v>211</v>
      </c>
      <c r="G22" s="61"/>
    </row>
    <row r="23" spans="1:7" x14ac:dyDescent="0.2">
      <c r="A23" s="245" t="s">
        <v>447</v>
      </c>
      <c r="B23" s="245" t="s">
        <v>74</v>
      </c>
      <c r="C23" s="245" t="s">
        <v>85</v>
      </c>
      <c r="D23" s="8">
        <v>315</v>
      </c>
      <c r="E23" s="239">
        <v>148</v>
      </c>
      <c r="F23" s="239">
        <v>740</v>
      </c>
      <c r="G23" s="61"/>
    </row>
    <row r="24" spans="1:7" x14ac:dyDescent="0.2">
      <c r="A24" s="245" t="s">
        <v>447</v>
      </c>
      <c r="B24" s="245" t="s">
        <v>74</v>
      </c>
      <c r="C24" s="245" t="s">
        <v>85</v>
      </c>
      <c r="D24" s="8">
        <v>316</v>
      </c>
      <c r="E24" s="239">
        <v>146</v>
      </c>
      <c r="F24" s="239">
        <v>730</v>
      </c>
      <c r="G24" s="61"/>
    </row>
    <row r="25" spans="1:7" x14ac:dyDescent="0.2">
      <c r="A25" s="245" t="s">
        <v>447</v>
      </c>
      <c r="B25" s="245" t="s">
        <v>74</v>
      </c>
      <c r="C25" s="245" t="s">
        <v>85</v>
      </c>
      <c r="D25" s="8">
        <v>317</v>
      </c>
      <c r="E25" s="239">
        <v>158</v>
      </c>
      <c r="F25" s="239">
        <v>790</v>
      </c>
      <c r="G25" s="61"/>
    </row>
    <row r="26" spans="1:7" x14ac:dyDescent="0.2">
      <c r="A26" s="245" t="s">
        <v>447</v>
      </c>
      <c r="B26" s="245" t="s">
        <v>74</v>
      </c>
      <c r="C26" s="245" t="s">
        <v>85</v>
      </c>
      <c r="D26" s="8">
        <v>318</v>
      </c>
      <c r="E26" s="239">
        <v>174</v>
      </c>
      <c r="F26" s="239">
        <v>870</v>
      </c>
      <c r="G26" s="61"/>
    </row>
    <row r="27" spans="1:7" x14ac:dyDescent="0.2">
      <c r="A27" s="245" t="s">
        <v>447</v>
      </c>
      <c r="B27" s="245" t="s">
        <v>74</v>
      </c>
      <c r="C27" s="245" t="s">
        <v>85</v>
      </c>
      <c r="D27" s="8">
        <v>319</v>
      </c>
      <c r="E27" s="242">
        <v>77.599999999999994</v>
      </c>
      <c r="F27" s="239">
        <v>388</v>
      </c>
      <c r="G27" s="61"/>
    </row>
    <row r="28" spans="1:7" x14ac:dyDescent="0.2">
      <c r="A28" s="245" t="s">
        <v>447</v>
      </c>
      <c r="B28" s="246" t="s">
        <v>74</v>
      </c>
      <c r="C28" s="246" t="s">
        <v>86</v>
      </c>
      <c r="D28" s="199">
        <v>321</v>
      </c>
      <c r="E28" s="239">
        <v>148</v>
      </c>
      <c r="F28" s="239">
        <v>740</v>
      </c>
      <c r="G28" s="61"/>
    </row>
    <row r="29" spans="1:7" x14ac:dyDescent="0.2">
      <c r="A29" s="245" t="s">
        <v>447</v>
      </c>
      <c r="B29" s="245" t="s">
        <v>74</v>
      </c>
      <c r="C29" s="245" t="s">
        <v>86</v>
      </c>
      <c r="D29" s="8">
        <v>322</v>
      </c>
      <c r="E29" s="239">
        <v>44.6</v>
      </c>
      <c r="F29" s="239">
        <v>223</v>
      </c>
      <c r="G29" s="61"/>
    </row>
    <row r="30" spans="1:7" x14ac:dyDescent="0.2">
      <c r="A30" s="245" t="s">
        <v>447</v>
      </c>
      <c r="B30" s="245" t="s">
        <v>74</v>
      </c>
      <c r="C30" s="245" t="s">
        <v>86</v>
      </c>
      <c r="D30" s="8">
        <v>323</v>
      </c>
      <c r="E30" s="239">
        <v>102</v>
      </c>
      <c r="F30" s="239">
        <v>510</v>
      </c>
      <c r="G30" s="61"/>
    </row>
    <row r="31" spans="1:7" x14ac:dyDescent="0.2">
      <c r="A31" s="245" t="s">
        <v>447</v>
      </c>
      <c r="B31" s="245" t="s">
        <v>74</v>
      </c>
      <c r="C31" s="245" t="s">
        <v>86</v>
      </c>
      <c r="D31" s="8">
        <v>324</v>
      </c>
      <c r="E31" s="239">
        <v>172</v>
      </c>
      <c r="F31" s="239">
        <v>860</v>
      </c>
      <c r="G31" s="61"/>
    </row>
    <row r="32" spans="1:7" x14ac:dyDescent="0.2">
      <c r="A32" s="245" t="s">
        <v>447</v>
      </c>
      <c r="B32" s="245" t="s">
        <v>74</v>
      </c>
      <c r="C32" s="245" t="s">
        <v>86</v>
      </c>
      <c r="D32" s="8">
        <v>325</v>
      </c>
      <c r="E32" s="239">
        <v>180</v>
      </c>
      <c r="F32" s="239">
        <v>900</v>
      </c>
      <c r="G32" s="61"/>
    </row>
    <row r="33" spans="1:7" x14ac:dyDescent="0.2">
      <c r="A33" s="245" t="s">
        <v>447</v>
      </c>
      <c r="B33" s="245" t="s">
        <v>74</v>
      </c>
      <c r="C33" s="245" t="s">
        <v>86</v>
      </c>
      <c r="D33" s="8">
        <v>326</v>
      </c>
      <c r="E33" s="239">
        <v>130</v>
      </c>
      <c r="F33" s="239">
        <v>650</v>
      </c>
      <c r="G33" s="61"/>
    </row>
    <row r="34" spans="1:7" x14ac:dyDescent="0.2">
      <c r="A34" s="245" t="s">
        <v>447</v>
      </c>
      <c r="B34" s="245" t="s">
        <v>74</v>
      </c>
      <c r="C34" s="245" t="s">
        <v>86</v>
      </c>
      <c r="D34" s="8">
        <v>327</v>
      </c>
      <c r="E34" s="239">
        <v>85.2</v>
      </c>
      <c r="F34" s="239">
        <v>426</v>
      </c>
      <c r="G34" s="61"/>
    </row>
    <row r="35" spans="1:7" x14ac:dyDescent="0.2">
      <c r="A35" s="245" t="s">
        <v>447</v>
      </c>
      <c r="B35" s="245" t="s">
        <v>74</v>
      </c>
      <c r="C35" s="245" t="s">
        <v>86</v>
      </c>
      <c r="D35" s="8">
        <v>328</v>
      </c>
      <c r="E35" s="239">
        <v>156</v>
      </c>
      <c r="F35" s="239">
        <v>780</v>
      </c>
      <c r="G35" s="61"/>
    </row>
    <row r="36" spans="1:7" x14ac:dyDescent="0.2">
      <c r="A36" s="245" t="s">
        <v>447</v>
      </c>
      <c r="B36" s="245" t="s">
        <v>74</v>
      </c>
      <c r="C36" s="245" t="s">
        <v>86</v>
      </c>
      <c r="D36" s="8">
        <v>329</v>
      </c>
      <c r="E36" s="239">
        <v>162</v>
      </c>
      <c r="F36" s="239">
        <v>810</v>
      </c>
      <c r="G36" s="61"/>
    </row>
    <row r="37" spans="1:7" x14ac:dyDescent="0.2">
      <c r="A37" s="245" t="s">
        <v>447</v>
      </c>
      <c r="B37" s="246" t="s">
        <v>75</v>
      </c>
      <c r="C37" s="246" t="s">
        <v>85</v>
      </c>
      <c r="D37" s="199">
        <v>331</v>
      </c>
      <c r="E37" s="239">
        <v>42.2</v>
      </c>
      <c r="F37" s="239">
        <v>211</v>
      </c>
      <c r="G37" s="61"/>
    </row>
    <row r="38" spans="1:7" x14ac:dyDescent="0.2">
      <c r="A38" s="245" t="s">
        <v>447</v>
      </c>
      <c r="B38" s="245" t="s">
        <v>75</v>
      </c>
      <c r="C38" s="245" t="s">
        <v>85</v>
      </c>
      <c r="D38" s="8">
        <v>332</v>
      </c>
      <c r="E38" s="239">
        <v>65.8</v>
      </c>
      <c r="F38" s="239">
        <v>329</v>
      </c>
      <c r="G38" s="61"/>
    </row>
    <row r="39" spans="1:7" x14ac:dyDescent="0.2">
      <c r="A39" s="245" t="s">
        <v>447</v>
      </c>
      <c r="B39" s="245" t="s">
        <v>75</v>
      </c>
      <c r="C39" s="245" t="s">
        <v>85</v>
      </c>
      <c r="D39" s="8">
        <v>333</v>
      </c>
      <c r="E39" s="239">
        <v>78.599999999999994</v>
      </c>
      <c r="F39" s="239">
        <v>393</v>
      </c>
      <c r="G39" s="61"/>
    </row>
    <row r="40" spans="1:7" x14ac:dyDescent="0.2">
      <c r="A40" s="245" t="s">
        <v>447</v>
      </c>
      <c r="B40" s="245" t="s">
        <v>75</v>
      </c>
      <c r="C40" s="245" t="s">
        <v>85</v>
      </c>
      <c r="D40" s="8">
        <v>334</v>
      </c>
      <c r="E40" s="239">
        <v>64.8</v>
      </c>
      <c r="F40" s="239">
        <v>324</v>
      </c>
      <c r="G40" s="61"/>
    </row>
    <row r="41" spans="1:7" x14ac:dyDescent="0.2">
      <c r="A41" s="245" t="s">
        <v>447</v>
      </c>
      <c r="B41" s="245" t="s">
        <v>75</v>
      </c>
      <c r="C41" s="245" t="s">
        <v>85</v>
      </c>
      <c r="D41" s="8">
        <v>335</v>
      </c>
      <c r="E41" s="239">
        <v>180</v>
      </c>
      <c r="F41" s="239">
        <v>900</v>
      </c>
      <c r="G41" s="61"/>
    </row>
    <row r="42" spans="1:7" x14ac:dyDescent="0.2">
      <c r="A42" s="245" t="s">
        <v>447</v>
      </c>
      <c r="B42" s="245" t="s">
        <v>75</v>
      </c>
      <c r="C42" s="245" t="s">
        <v>85</v>
      </c>
      <c r="D42" s="8">
        <v>336</v>
      </c>
      <c r="E42" s="239">
        <v>94.8</v>
      </c>
      <c r="F42" s="239">
        <v>474</v>
      </c>
      <c r="G42" s="61"/>
    </row>
    <row r="43" spans="1:7" x14ac:dyDescent="0.2">
      <c r="A43" s="245" t="s">
        <v>447</v>
      </c>
      <c r="B43" s="245" t="s">
        <v>75</v>
      </c>
      <c r="C43" s="245" t="s">
        <v>85</v>
      </c>
      <c r="D43" s="8">
        <v>337</v>
      </c>
      <c r="E43" s="239">
        <v>194</v>
      </c>
      <c r="F43" s="239">
        <v>970</v>
      </c>
      <c r="G43" s="61"/>
    </row>
    <row r="44" spans="1:7" x14ac:dyDescent="0.2">
      <c r="A44" s="245" t="s">
        <v>447</v>
      </c>
      <c r="B44" s="245" t="s">
        <v>75</v>
      </c>
      <c r="C44" s="245" t="s">
        <v>85</v>
      </c>
      <c r="D44" s="8">
        <v>338</v>
      </c>
      <c r="E44" s="239">
        <v>81.599999999999994</v>
      </c>
      <c r="F44" s="239">
        <v>408</v>
      </c>
      <c r="G44" s="61"/>
    </row>
    <row r="45" spans="1:7" x14ac:dyDescent="0.2">
      <c r="A45" s="245" t="s">
        <v>447</v>
      </c>
      <c r="B45" s="245" t="s">
        <v>75</v>
      </c>
      <c r="C45" s="245" t="s">
        <v>85</v>
      </c>
      <c r="D45" s="8">
        <v>339</v>
      </c>
      <c r="E45" s="239">
        <v>77.2</v>
      </c>
      <c r="F45" s="239">
        <v>386</v>
      </c>
      <c r="G45" s="61"/>
    </row>
    <row r="46" spans="1:7" x14ac:dyDescent="0.2">
      <c r="A46" s="245" t="s">
        <v>447</v>
      </c>
      <c r="B46" s="246" t="s">
        <v>75</v>
      </c>
      <c r="C46" s="246" t="s">
        <v>86</v>
      </c>
      <c r="D46" s="199">
        <v>341</v>
      </c>
      <c r="E46" s="239">
        <v>89.6</v>
      </c>
      <c r="F46" s="239">
        <v>448</v>
      </c>
      <c r="G46" s="61"/>
    </row>
    <row r="47" spans="1:7" x14ac:dyDescent="0.2">
      <c r="A47" s="245" t="s">
        <v>447</v>
      </c>
      <c r="B47" s="245" t="s">
        <v>75</v>
      </c>
      <c r="C47" s="245" t="s">
        <v>86</v>
      </c>
      <c r="D47" s="8">
        <v>342</v>
      </c>
      <c r="E47" s="239">
        <v>162</v>
      </c>
      <c r="F47" s="239">
        <v>810</v>
      </c>
      <c r="G47" s="61"/>
    </row>
    <row r="48" spans="1:7" x14ac:dyDescent="0.2">
      <c r="A48" s="245" t="s">
        <v>447</v>
      </c>
      <c r="B48" s="245" t="s">
        <v>75</v>
      </c>
      <c r="C48" s="245" t="s">
        <v>86</v>
      </c>
      <c r="D48" s="8">
        <v>343</v>
      </c>
      <c r="E48" s="239">
        <v>114</v>
      </c>
      <c r="F48" s="239">
        <v>570</v>
      </c>
      <c r="G48" s="61"/>
    </row>
    <row r="49" spans="1:7" x14ac:dyDescent="0.2">
      <c r="A49" s="245" t="s">
        <v>447</v>
      </c>
      <c r="B49" s="245" t="s">
        <v>75</v>
      </c>
      <c r="C49" s="245" t="s">
        <v>86</v>
      </c>
      <c r="D49" s="8">
        <v>344</v>
      </c>
      <c r="E49" s="239">
        <v>25</v>
      </c>
      <c r="F49" s="239">
        <v>125</v>
      </c>
      <c r="G49" s="61" t="s">
        <v>439</v>
      </c>
    </row>
    <row r="50" spans="1:7" x14ac:dyDescent="0.2">
      <c r="A50" s="245" t="s">
        <v>447</v>
      </c>
      <c r="B50" s="245" t="s">
        <v>75</v>
      </c>
      <c r="C50" s="245" t="s">
        <v>86</v>
      </c>
      <c r="D50" s="8">
        <v>345</v>
      </c>
      <c r="E50" s="239">
        <v>190</v>
      </c>
      <c r="F50" s="239">
        <v>950</v>
      </c>
      <c r="G50" s="61"/>
    </row>
    <row r="51" spans="1:7" x14ac:dyDescent="0.2">
      <c r="A51" s="245" t="s">
        <v>447</v>
      </c>
      <c r="B51" s="245" t="s">
        <v>75</v>
      </c>
      <c r="C51" s="245" t="s">
        <v>86</v>
      </c>
      <c r="D51" s="8">
        <v>346</v>
      </c>
      <c r="E51" s="239">
        <v>43.6</v>
      </c>
      <c r="F51" s="239">
        <v>218</v>
      </c>
      <c r="G51" s="61"/>
    </row>
    <row r="52" spans="1:7" x14ac:dyDescent="0.2">
      <c r="A52" s="245" t="s">
        <v>447</v>
      </c>
      <c r="B52" s="245" t="s">
        <v>75</v>
      </c>
      <c r="C52" s="245" t="s">
        <v>86</v>
      </c>
      <c r="D52" s="8">
        <v>347</v>
      </c>
      <c r="E52" s="239">
        <v>69</v>
      </c>
      <c r="F52" s="239">
        <v>345</v>
      </c>
      <c r="G52" s="61"/>
    </row>
    <row r="53" spans="1:7" x14ac:dyDescent="0.2">
      <c r="A53" s="245" t="s">
        <v>447</v>
      </c>
      <c r="B53" s="245" t="s">
        <v>75</v>
      </c>
      <c r="C53" s="245" t="s">
        <v>86</v>
      </c>
      <c r="D53" s="8">
        <v>348</v>
      </c>
      <c r="E53" s="239">
        <v>54.4</v>
      </c>
      <c r="F53" s="239">
        <v>272</v>
      </c>
      <c r="G53" s="61"/>
    </row>
    <row r="54" spans="1:7" x14ac:dyDescent="0.2">
      <c r="A54" s="245" t="s">
        <v>447</v>
      </c>
      <c r="B54" s="245" t="s">
        <v>75</v>
      </c>
      <c r="C54" s="245" t="s">
        <v>86</v>
      </c>
      <c r="D54" s="8">
        <v>349</v>
      </c>
      <c r="E54" s="239">
        <v>82</v>
      </c>
      <c r="F54" s="239">
        <v>410</v>
      </c>
      <c r="G54" s="61"/>
    </row>
    <row r="55" spans="1:7" ht="17" x14ac:dyDescent="0.2">
      <c r="A55" s="245" t="s">
        <v>448</v>
      </c>
      <c r="B55" s="247" t="s">
        <v>37</v>
      </c>
      <c r="C55" s="247" t="s">
        <v>96</v>
      </c>
      <c r="D55" s="22">
        <v>401</v>
      </c>
      <c r="E55" s="49">
        <v>93.4</v>
      </c>
      <c r="F55" s="57">
        <v>467</v>
      </c>
      <c r="G55" s="61"/>
    </row>
    <row r="56" spans="1:7" ht="17" x14ac:dyDescent="0.2">
      <c r="A56" s="245" t="s">
        <v>448</v>
      </c>
      <c r="B56" s="247" t="s">
        <v>37</v>
      </c>
      <c r="C56" s="247" t="s">
        <v>96</v>
      </c>
      <c r="D56" s="22">
        <v>402</v>
      </c>
      <c r="E56" s="49">
        <v>114</v>
      </c>
      <c r="F56" s="57">
        <v>570</v>
      </c>
      <c r="G56" s="61"/>
    </row>
    <row r="57" spans="1:7" ht="17" x14ac:dyDescent="0.2">
      <c r="A57" s="245" t="s">
        <v>448</v>
      </c>
      <c r="B57" s="247" t="s">
        <v>37</v>
      </c>
      <c r="C57" s="247" t="s">
        <v>96</v>
      </c>
      <c r="D57" s="22">
        <v>403</v>
      </c>
      <c r="E57" s="49">
        <v>136</v>
      </c>
      <c r="F57" s="57">
        <v>680</v>
      </c>
      <c r="G57" s="61"/>
    </row>
    <row r="58" spans="1:7" ht="17" x14ac:dyDescent="0.2">
      <c r="A58" s="245" t="s">
        <v>448</v>
      </c>
      <c r="B58" s="247" t="s">
        <v>37</v>
      </c>
      <c r="C58" s="247" t="s">
        <v>96</v>
      </c>
      <c r="D58" s="22">
        <v>404</v>
      </c>
      <c r="E58" s="49">
        <v>112</v>
      </c>
      <c r="F58" s="57">
        <v>560</v>
      </c>
      <c r="G58" s="61"/>
    </row>
    <row r="59" spans="1:7" ht="17" x14ac:dyDescent="0.2">
      <c r="A59" s="245" t="s">
        <v>448</v>
      </c>
      <c r="B59" s="247" t="s">
        <v>37</v>
      </c>
      <c r="C59" s="247" t="s">
        <v>449</v>
      </c>
      <c r="D59" s="22">
        <v>411</v>
      </c>
      <c r="E59" s="49">
        <v>72.599999999999994</v>
      </c>
      <c r="F59" s="57">
        <v>363</v>
      </c>
      <c r="G59" s="61"/>
    </row>
    <row r="60" spans="1:7" ht="17" x14ac:dyDescent="0.2">
      <c r="A60" s="245" t="s">
        <v>448</v>
      </c>
      <c r="B60" s="247" t="s">
        <v>37</v>
      </c>
      <c r="C60" s="247" t="s">
        <v>449</v>
      </c>
      <c r="D60" s="22">
        <v>412</v>
      </c>
      <c r="E60" s="49">
        <v>31.2</v>
      </c>
      <c r="F60" s="57">
        <v>156</v>
      </c>
      <c r="G60" s="61" t="s">
        <v>439</v>
      </c>
    </row>
    <row r="61" spans="1:7" ht="17" x14ac:dyDescent="0.2">
      <c r="A61" s="245" t="s">
        <v>448</v>
      </c>
      <c r="B61" s="247" t="s">
        <v>37</v>
      </c>
      <c r="C61" s="247" t="s">
        <v>449</v>
      </c>
      <c r="D61" s="22">
        <v>413</v>
      </c>
      <c r="E61" s="49">
        <v>130</v>
      </c>
      <c r="F61" s="57">
        <v>650</v>
      </c>
      <c r="G61" s="61"/>
    </row>
    <row r="62" spans="1:7" ht="17" x14ac:dyDescent="0.2">
      <c r="A62" s="245" t="s">
        <v>448</v>
      </c>
      <c r="B62" s="247" t="s">
        <v>37</v>
      </c>
      <c r="C62" s="247" t="s">
        <v>449</v>
      </c>
      <c r="D62" s="22">
        <v>414</v>
      </c>
      <c r="E62" s="49">
        <v>168</v>
      </c>
      <c r="F62" s="57">
        <v>840</v>
      </c>
      <c r="G62" s="61"/>
    </row>
    <row r="63" spans="1:7" ht="17" x14ac:dyDescent="0.2">
      <c r="A63" s="245" t="s">
        <v>448</v>
      </c>
      <c r="B63" s="247" t="s">
        <v>37</v>
      </c>
      <c r="C63" s="247" t="s">
        <v>103</v>
      </c>
      <c r="D63" s="22">
        <v>421</v>
      </c>
      <c r="E63" s="49">
        <v>57.6</v>
      </c>
      <c r="F63" s="57">
        <v>288</v>
      </c>
      <c r="G63" s="61"/>
    </row>
    <row r="64" spans="1:7" ht="17" x14ac:dyDescent="0.2">
      <c r="A64" s="245" t="s">
        <v>448</v>
      </c>
      <c r="B64" s="247" t="s">
        <v>37</v>
      </c>
      <c r="C64" s="247" t="s">
        <v>450</v>
      </c>
      <c r="D64" s="22" t="s">
        <v>255</v>
      </c>
      <c r="E64" s="49">
        <v>83</v>
      </c>
      <c r="F64" s="57">
        <v>415</v>
      </c>
      <c r="G64" s="61"/>
    </row>
    <row r="65" spans="1:7" ht="17" x14ac:dyDescent="0.2">
      <c r="A65" s="245" t="s">
        <v>448</v>
      </c>
      <c r="B65" s="247" t="s">
        <v>37</v>
      </c>
      <c r="C65" s="247" t="s">
        <v>450</v>
      </c>
      <c r="D65" s="22">
        <v>432</v>
      </c>
      <c r="E65" s="49">
        <v>74</v>
      </c>
      <c r="F65" s="57">
        <v>370</v>
      </c>
      <c r="G65" s="61"/>
    </row>
    <row r="66" spans="1:7" ht="17" x14ac:dyDescent="0.2">
      <c r="A66" s="245" t="s">
        <v>448</v>
      </c>
      <c r="B66" s="247" t="s">
        <v>37</v>
      </c>
      <c r="C66" s="247" t="s">
        <v>450</v>
      </c>
      <c r="D66" s="22">
        <v>434</v>
      </c>
      <c r="E66" s="49">
        <v>63</v>
      </c>
      <c r="F66" s="57">
        <v>315</v>
      </c>
      <c r="G66" s="61"/>
    </row>
    <row r="67" spans="1:7" ht="17" x14ac:dyDescent="0.2">
      <c r="A67" s="245" t="s">
        <v>448</v>
      </c>
      <c r="B67" s="247" t="s">
        <v>75</v>
      </c>
      <c r="C67" s="247" t="s">
        <v>96</v>
      </c>
      <c r="D67" s="22">
        <v>441</v>
      </c>
      <c r="E67" s="49">
        <v>16.2</v>
      </c>
      <c r="F67" s="57">
        <v>81</v>
      </c>
      <c r="G67" s="61" t="s">
        <v>439</v>
      </c>
    </row>
    <row r="68" spans="1:7" ht="17" x14ac:dyDescent="0.2">
      <c r="A68" s="245" t="s">
        <v>448</v>
      </c>
      <c r="B68" s="247" t="s">
        <v>75</v>
      </c>
      <c r="C68" s="247" t="s">
        <v>96</v>
      </c>
      <c r="D68" s="22" t="s">
        <v>257</v>
      </c>
      <c r="E68" s="49">
        <v>69.8</v>
      </c>
      <c r="F68" s="57">
        <v>349</v>
      </c>
      <c r="G68" s="61"/>
    </row>
    <row r="69" spans="1:7" ht="17" x14ac:dyDescent="0.2">
      <c r="A69" s="245" t="s">
        <v>448</v>
      </c>
      <c r="B69" s="247" t="s">
        <v>75</v>
      </c>
      <c r="C69" s="247" t="s">
        <v>96</v>
      </c>
      <c r="D69" s="22">
        <v>443</v>
      </c>
      <c r="E69" s="49">
        <v>60.2</v>
      </c>
      <c r="F69" s="57">
        <v>301</v>
      </c>
      <c r="G69" s="61"/>
    </row>
    <row r="70" spans="1:7" ht="17" x14ac:dyDescent="0.2">
      <c r="A70" s="245" t="s">
        <v>448</v>
      </c>
      <c r="B70" s="247" t="s">
        <v>75</v>
      </c>
      <c r="C70" s="247" t="s">
        <v>96</v>
      </c>
      <c r="D70" s="22">
        <v>444</v>
      </c>
      <c r="E70" s="49">
        <v>70.599999999999994</v>
      </c>
      <c r="F70" s="57">
        <v>353</v>
      </c>
      <c r="G70" s="61"/>
    </row>
    <row r="71" spans="1:7" ht="17" x14ac:dyDescent="0.2">
      <c r="A71" s="245" t="s">
        <v>448</v>
      </c>
      <c r="B71" s="247" t="s">
        <v>75</v>
      </c>
      <c r="C71" s="247" t="s">
        <v>96</v>
      </c>
      <c r="D71" s="22">
        <v>445</v>
      </c>
      <c r="E71" s="49">
        <v>160</v>
      </c>
      <c r="F71" s="57">
        <v>800</v>
      </c>
      <c r="G71" s="61"/>
    </row>
    <row r="72" spans="1:7" ht="17" x14ac:dyDescent="0.2">
      <c r="A72" s="245" t="s">
        <v>448</v>
      </c>
      <c r="B72" s="247" t="s">
        <v>75</v>
      </c>
      <c r="C72" s="247" t="s">
        <v>449</v>
      </c>
      <c r="D72" s="22">
        <v>451</v>
      </c>
      <c r="E72" s="49">
        <v>68.400000000000006</v>
      </c>
      <c r="F72" s="57">
        <v>342</v>
      </c>
      <c r="G72" s="61"/>
    </row>
    <row r="73" spans="1:7" ht="17" x14ac:dyDescent="0.2">
      <c r="A73" s="245" t="s">
        <v>448</v>
      </c>
      <c r="B73" s="247" t="s">
        <v>75</v>
      </c>
      <c r="C73" s="247" t="s">
        <v>449</v>
      </c>
      <c r="D73" s="22" t="s">
        <v>259</v>
      </c>
      <c r="E73" s="49">
        <v>97.2</v>
      </c>
      <c r="F73" s="57">
        <v>486</v>
      </c>
      <c r="G73" s="61"/>
    </row>
    <row r="74" spans="1:7" ht="17" x14ac:dyDescent="0.2">
      <c r="A74" s="245" t="s">
        <v>448</v>
      </c>
      <c r="B74" s="247" t="s">
        <v>75</v>
      </c>
      <c r="C74" s="247" t="s">
        <v>449</v>
      </c>
      <c r="D74" s="22">
        <v>453</v>
      </c>
      <c r="E74" s="49">
        <v>196</v>
      </c>
      <c r="F74" s="57">
        <v>980</v>
      </c>
      <c r="G74" s="61"/>
    </row>
    <row r="75" spans="1:7" ht="17" x14ac:dyDescent="0.2">
      <c r="A75" s="245" t="s">
        <v>448</v>
      </c>
      <c r="B75" s="247" t="s">
        <v>75</v>
      </c>
      <c r="C75" s="247" t="s">
        <v>103</v>
      </c>
      <c r="D75" s="22" t="s">
        <v>260</v>
      </c>
      <c r="E75" s="49">
        <v>84</v>
      </c>
      <c r="F75" s="57">
        <v>420</v>
      </c>
      <c r="G75" s="61"/>
    </row>
    <row r="76" spans="1:7" ht="17" x14ac:dyDescent="0.2">
      <c r="A76" s="245" t="s">
        <v>448</v>
      </c>
      <c r="B76" s="247" t="s">
        <v>75</v>
      </c>
      <c r="C76" s="247" t="s">
        <v>103</v>
      </c>
      <c r="D76" s="22" t="s">
        <v>261</v>
      </c>
      <c r="E76" s="49">
        <v>106</v>
      </c>
      <c r="F76" s="57">
        <v>530</v>
      </c>
      <c r="G76" s="61"/>
    </row>
    <row r="77" spans="1:7" ht="17" x14ac:dyDescent="0.2">
      <c r="A77" s="245" t="s">
        <v>448</v>
      </c>
      <c r="B77" s="247" t="s">
        <v>75</v>
      </c>
      <c r="C77" s="247" t="s">
        <v>450</v>
      </c>
      <c r="D77" s="22" t="s">
        <v>262</v>
      </c>
      <c r="E77" s="49">
        <v>108</v>
      </c>
      <c r="F77" s="57">
        <v>540</v>
      </c>
      <c r="G77" s="61"/>
    </row>
    <row r="78" spans="1:7" ht="17" x14ac:dyDescent="0.2">
      <c r="A78" s="245" t="s">
        <v>448</v>
      </c>
      <c r="B78" s="247" t="s">
        <v>75</v>
      </c>
      <c r="C78" s="247" t="s">
        <v>450</v>
      </c>
      <c r="D78" s="22" t="s">
        <v>263</v>
      </c>
      <c r="E78" s="49">
        <v>97</v>
      </c>
      <c r="F78" s="57">
        <v>485</v>
      </c>
      <c r="G78" s="61"/>
    </row>
    <row r="79" spans="1:7" ht="17" x14ac:dyDescent="0.2">
      <c r="A79" s="245" t="s">
        <v>448</v>
      </c>
      <c r="B79" s="247" t="s">
        <v>75</v>
      </c>
      <c r="C79" s="247" t="s">
        <v>450</v>
      </c>
      <c r="D79" s="22">
        <v>473</v>
      </c>
      <c r="E79" s="49">
        <v>124</v>
      </c>
      <c r="F79" s="57">
        <v>620</v>
      </c>
      <c r="G79" s="61"/>
    </row>
    <row r="80" spans="1:7" ht="17" x14ac:dyDescent="0.2">
      <c r="A80" s="245" t="s">
        <v>448</v>
      </c>
      <c r="B80" s="247" t="s">
        <v>75</v>
      </c>
      <c r="C80" s="247" t="s">
        <v>450</v>
      </c>
      <c r="D80" s="22">
        <v>474</v>
      </c>
      <c r="E80" s="49">
        <v>77.2</v>
      </c>
      <c r="F80" s="57">
        <v>386</v>
      </c>
      <c r="G80" s="61"/>
    </row>
    <row r="81" spans="1:8" ht="17" x14ac:dyDescent="0.2">
      <c r="A81" s="245" t="s">
        <v>448</v>
      </c>
      <c r="B81" s="247" t="s">
        <v>75</v>
      </c>
      <c r="C81" s="247" t="s">
        <v>450</v>
      </c>
      <c r="D81" s="22">
        <v>475</v>
      </c>
      <c r="E81" s="49">
        <v>27.4</v>
      </c>
      <c r="F81" s="57">
        <v>137</v>
      </c>
      <c r="G81" s="61" t="s">
        <v>439</v>
      </c>
    </row>
    <row r="82" spans="1:8" ht="17" x14ac:dyDescent="0.2">
      <c r="A82" s="245" t="s">
        <v>448</v>
      </c>
      <c r="B82" s="247" t="s">
        <v>75</v>
      </c>
      <c r="C82" s="247" t="s">
        <v>450</v>
      </c>
      <c r="D82" s="22">
        <v>476</v>
      </c>
      <c r="E82" s="49">
        <v>39.200000000000003</v>
      </c>
      <c r="F82" s="57">
        <v>196</v>
      </c>
      <c r="G82" s="61"/>
    </row>
    <row r="83" spans="1:8" ht="17" x14ac:dyDescent="0.2">
      <c r="A83" s="245" t="s">
        <v>448</v>
      </c>
      <c r="B83" s="247" t="s">
        <v>75</v>
      </c>
      <c r="C83" s="247" t="s">
        <v>450</v>
      </c>
      <c r="D83" s="22">
        <v>477</v>
      </c>
      <c r="E83" s="49">
        <v>164</v>
      </c>
      <c r="F83" s="57">
        <v>820</v>
      </c>
      <c r="G83" s="61"/>
    </row>
    <row r="84" spans="1:8" ht="17" x14ac:dyDescent="0.2">
      <c r="A84" s="245" t="s">
        <v>448</v>
      </c>
      <c r="B84" s="247" t="s">
        <v>92</v>
      </c>
      <c r="C84" s="247" t="s">
        <v>96</v>
      </c>
      <c r="D84" s="22">
        <v>481</v>
      </c>
      <c r="E84" s="49">
        <v>89.2</v>
      </c>
      <c r="F84" s="57">
        <v>446</v>
      </c>
      <c r="G84" s="61"/>
    </row>
    <row r="85" spans="1:8" ht="17" x14ac:dyDescent="0.2">
      <c r="A85" s="245" t="s">
        <v>448</v>
      </c>
      <c r="B85" s="247" t="s">
        <v>92</v>
      </c>
      <c r="C85" s="247" t="s">
        <v>96</v>
      </c>
      <c r="D85" s="22">
        <v>482</v>
      </c>
      <c r="E85" s="49">
        <v>22.2</v>
      </c>
      <c r="F85" s="57">
        <v>111</v>
      </c>
      <c r="G85" s="61" t="s">
        <v>439</v>
      </c>
    </row>
    <row r="86" spans="1:8" ht="17" x14ac:dyDescent="0.2">
      <c r="A86" s="245" t="s">
        <v>448</v>
      </c>
      <c r="B86" s="247" t="s">
        <v>92</v>
      </c>
      <c r="C86" s="247" t="s">
        <v>96</v>
      </c>
      <c r="D86" s="22">
        <v>483</v>
      </c>
      <c r="E86" s="49">
        <v>99</v>
      </c>
      <c r="F86" s="57">
        <v>495</v>
      </c>
      <c r="G86" s="61"/>
    </row>
    <row r="87" spans="1:8" ht="17" x14ac:dyDescent="0.2">
      <c r="A87" s="245" t="s">
        <v>448</v>
      </c>
      <c r="B87" s="247" t="s">
        <v>92</v>
      </c>
      <c r="C87" s="247" t="s">
        <v>96</v>
      </c>
      <c r="D87" s="22">
        <v>484</v>
      </c>
      <c r="E87" s="49">
        <v>58.4</v>
      </c>
      <c r="F87" s="57">
        <v>292</v>
      </c>
      <c r="G87" s="61"/>
    </row>
    <row r="88" spans="1:8" ht="17" x14ac:dyDescent="0.2">
      <c r="A88" s="245" t="s">
        <v>448</v>
      </c>
      <c r="B88" s="247" t="s">
        <v>92</v>
      </c>
      <c r="C88" s="247" t="s">
        <v>96</v>
      </c>
      <c r="D88" s="22">
        <v>485</v>
      </c>
      <c r="E88" s="49">
        <v>19.100000000000001</v>
      </c>
      <c r="F88" s="57">
        <v>95.5</v>
      </c>
      <c r="G88" s="61" t="s">
        <v>439</v>
      </c>
      <c r="H88" s="30"/>
    </row>
    <row r="89" spans="1:8" ht="17" x14ac:dyDescent="0.2">
      <c r="A89" s="245" t="s">
        <v>448</v>
      </c>
      <c r="B89" s="247" t="s">
        <v>92</v>
      </c>
      <c r="C89" s="247" t="s">
        <v>96</v>
      </c>
      <c r="D89" s="22" t="s">
        <v>264</v>
      </c>
      <c r="E89" s="49">
        <v>148</v>
      </c>
      <c r="F89" s="57">
        <v>740</v>
      </c>
      <c r="G89" s="61"/>
      <c r="H89" s="30"/>
    </row>
    <row r="90" spans="1:8" ht="17" x14ac:dyDescent="0.2">
      <c r="A90" s="245" t="s">
        <v>448</v>
      </c>
      <c r="B90" s="247" t="s">
        <v>92</v>
      </c>
      <c r="C90" s="247" t="s">
        <v>96</v>
      </c>
      <c r="D90" s="22">
        <v>487</v>
      </c>
      <c r="E90" s="49">
        <v>118</v>
      </c>
      <c r="F90" s="57">
        <v>590</v>
      </c>
      <c r="G90" s="61"/>
      <c r="H90" s="30"/>
    </row>
    <row r="91" spans="1:8" ht="17" x14ac:dyDescent="0.2">
      <c r="A91" s="245" t="s">
        <v>448</v>
      </c>
      <c r="B91" s="247" t="s">
        <v>92</v>
      </c>
      <c r="C91" s="247" t="s">
        <v>96</v>
      </c>
      <c r="D91" s="22">
        <v>488</v>
      </c>
      <c r="E91" s="49">
        <v>60</v>
      </c>
      <c r="F91" s="57">
        <v>300</v>
      </c>
      <c r="G91" s="61"/>
      <c r="H91" s="30"/>
    </row>
    <row r="92" spans="1:8" ht="17" x14ac:dyDescent="0.2">
      <c r="A92" s="245" t="s">
        <v>448</v>
      </c>
      <c r="B92" s="247" t="s">
        <v>92</v>
      </c>
      <c r="C92" s="247" t="s">
        <v>96</v>
      </c>
      <c r="D92" s="22">
        <v>489</v>
      </c>
      <c r="E92" s="49">
        <v>68</v>
      </c>
      <c r="F92" s="57">
        <v>340</v>
      </c>
      <c r="G92" s="61"/>
      <c r="H92" s="30"/>
    </row>
    <row r="93" spans="1:8" ht="17" x14ac:dyDescent="0.2">
      <c r="A93" s="245" t="s">
        <v>448</v>
      </c>
      <c r="B93" s="247" t="s">
        <v>92</v>
      </c>
      <c r="C93" s="247" t="s">
        <v>96</v>
      </c>
      <c r="D93" s="22">
        <v>490</v>
      </c>
      <c r="E93" s="49">
        <v>186</v>
      </c>
      <c r="F93" s="57">
        <v>930</v>
      </c>
      <c r="G93" s="61"/>
      <c r="H93" s="30"/>
    </row>
    <row r="94" spans="1:8" ht="17" x14ac:dyDescent="0.2">
      <c r="A94" s="245" t="s">
        <v>448</v>
      </c>
      <c r="B94" s="247" t="s">
        <v>92</v>
      </c>
      <c r="C94" s="247" t="s">
        <v>96</v>
      </c>
      <c r="D94" s="22">
        <v>491</v>
      </c>
      <c r="E94" s="49">
        <v>58.4</v>
      </c>
      <c r="F94" s="57">
        <v>292</v>
      </c>
      <c r="G94" s="61"/>
    </row>
    <row r="95" spans="1:8" ht="17" x14ac:dyDescent="0.2">
      <c r="A95" s="245" t="s">
        <v>448</v>
      </c>
      <c r="B95" s="247" t="s">
        <v>92</v>
      </c>
      <c r="C95" s="247" t="s">
        <v>96</v>
      </c>
      <c r="D95" s="22">
        <v>492</v>
      </c>
      <c r="E95" s="49">
        <v>82.6</v>
      </c>
      <c r="F95" s="57">
        <v>413</v>
      </c>
      <c r="G95" s="61"/>
    </row>
    <row r="96" spans="1:8" ht="17" x14ac:dyDescent="0.2">
      <c r="A96" s="245" t="s">
        <v>448</v>
      </c>
      <c r="B96" s="249" t="s">
        <v>92</v>
      </c>
      <c r="C96" s="249" t="s">
        <v>449</v>
      </c>
      <c r="D96" s="213">
        <v>41</v>
      </c>
      <c r="E96" s="243">
        <v>108</v>
      </c>
      <c r="F96" s="222">
        <v>540</v>
      </c>
      <c r="G96" s="61"/>
    </row>
    <row r="97" spans="1:7" ht="17" x14ac:dyDescent="0.2">
      <c r="A97" s="245" t="s">
        <v>448</v>
      </c>
      <c r="B97" s="247" t="s">
        <v>92</v>
      </c>
      <c r="C97" s="247" t="s">
        <v>449</v>
      </c>
      <c r="D97" s="22">
        <v>43</v>
      </c>
      <c r="E97" s="49">
        <v>156</v>
      </c>
      <c r="F97" s="57">
        <v>780</v>
      </c>
      <c r="G97" s="61"/>
    </row>
    <row r="98" spans="1:7" ht="17" x14ac:dyDescent="0.2">
      <c r="A98" s="245" t="s">
        <v>448</v>
      </c>
      <c r="B98" s="247" t="s">
        <v>92</v>
      </c>
      <c r="C98" s="247" t="s">
        <v>449</v>
      </c>
      <c r="D98" s="22">
        <v>46</v>
      </c>
      <c r="E98" s="49">
        <v>98.6</v>
      </c>
      <c r="F98" s="57">
        <v>493</v>
      </c>
      <c r="G98" s="61"/>
    </row>
    <row r="99" spans="1:7" ht="17" x14ac:dyDescent="0.2">
      <c r="A99" s="245" t="s">
        <v>448</v>
      </c>
      <c r="B99" s="249" t="s">
        <v>92</v>
      </c>
      <c r="C99" s="249" t="s">
        <v>449</v>
      </c>
      <c r="D99" s="213">
        <v>47</v>
      </c>
      <c r="E99" s="243">
        <v>128</v>
      </c>
      <c r="F99" s="222">
        <v>640</v>
      </c>
      <c r="G99" s="61"/>
    </row>
    <row r="100" spans="1:7" ht="17" x14ac:dyDescent="0.2">
      <c r="A100" s="245" t="s">
        <v>448</v>
      </c>
      <c r="B100" s="249" t="s">
        <v>92</v>
      </c>
      <c r="C100" s="249" t="s">
        <v>449</v>
      </c>
      <c r="D100" s="213">
        <v>44</v>
      </c>
      <c r="E100" s="243">
        <v>41.4</v>
      </c>
      <c r="F100" s="222">
        <v>207</v>
      </c>
      <c r="G100" s="61"/>
    </row>
    <row r="101" spans="1:7" ht="17" x14ac:dyDescent="0.2">
      <c r="A101" s="245" t="s">
        <v>448</v>
      </c>
      <c r="B101" s="247" t="s">
        <v>92</v>
      </c>
      <c r="C101" s="247" t="s">
        <v>449</v>
      </c>
      <c r="D101" s="22">
        <v>506</v>
      </c>
      <c r="E101" s="49">
        <v>29.2</v>
      </c>
      <c r="F101" s="57">
        <v>146</v>
      </c>
      <c r="G101" s="61" t="s">
        <v>439</v>
      </c>
    </row>
    <row r="102" spans="1:7" ht="17" x14ac:dyDescent="0.2">
      <c r="A102" s="245" t="s">
        <v>448</v>
      </c>
      <c r="B102" s="249" t="s">
        <v>92</v>
      </c>
      <c r="C102" s="249" t="s">
        <v>449</v>
      </c>
      <c r="D102" s="213">
        <v>45</v>
      </c>
      <c r="E102" s="243">
        <v>25.1</v>
      </c>
      <c r="F102" s="222">
        <v>125.5</v>
      </c>
      <c r="G102" s="61" t="s">
        <v>439</v>
      </c>
    </row>
    <row r="103" spans="1:7" ht="17" x14ac:dyDescent="0.2">
      <c r="A103" s="245" t="s">
        <v>448</v>
      </c>
      <c r="B103" s="249" t="s">
        <v>92</v>
      </c>
      <c r="C103" s="249" t="s">
        <v>103</v>
      </c>
      <c r="D103" s="213">
        <v>35</v>
      </c>
      <c r="E103" s="243">
        <v>94.4</v>
      </c>
      <c r="F103" s="222">
        <v>472</v>
      </c>
      <c r="G103" s="61"/>
    </row>
    <row r="104" spans="1:7" ht="17" x14ac:dyDescent="0.2">
      <c r="A104" s="245" t="s">
        <v>448</v>
      </c>
      <c r="B104" s="248" t="s">
        <v>92</v>
      </c>
      <c r="C104" s="248" t="s">
        <v>103</v>
      </c>
      <c r="D104" s="63">
        <v>38</v>
      </c>
      <c r="E104" s="49" t="s">
        <v>244</v>
      </c>
      <c r="F104" s="57" t="e">
        <v>#VALUE!</v>
      </c>
      <c r="G104" s="61"/>
    </row>
    <row r="105" spans="1:7" ht="17" x14ac:dyDescent="0.2">
      <c r="A105" s="245" t="s">
        <v>448</v>
      </c>
      <c r="B105" s="247" t="s">
        <v>92</v>
      </c>
      <c r="C105" s="247" t="s">
        <v>103</v>
      </c>
      <c r="D105" s="22">
        <v>513</v>
      </c>
      <c r="E105" s="49">
        <v>142</v>
      </c>
      <c r="F105" s="57">
        <v>710</v>
      </c>
      <c r="G105" s="61"/>
    </row>
    <row r="106" spans="1:7" ht="17" x14ac:dyDescent="0.2">
      <c r="A106" s="245" t="s">
        <v>448</v>
      </c>
      <c r="B106" s="249" t="s">
        <v>92</v>
      </c>
      <c r="C106" s="249" t="s">
        <v>103</v>
      </c>
      <c r="D106" s="213">
        <v>39</v>
      </c>
      <c r="E106" s="243">
        <v>89.8</v>
      </c>
      <c r="F106" s="222">
        <v>449</v>
      </c>
      <c r="G106" s="61"/>
    </row>
    <row r="107" spans="1:7" ht="17" x14ac:dyDescent="0.2">
      <c r="A107" s="245" t="s">
        <v>448</v>
      </c>
      <c r="B107" s="249" t="s">
        <v>92</v>
      </c>
      <c r="C107" s="249" t="s">
        <v>103</v>
      </c>
      <c r="D107" s="213">
        <v>37</v>
      </c>
      <c r="E107" s="243">
        <v>74.599999999999994</v>
      </c>
      <c r="F107" s="222">
        <v>373</v>
      </c>
      <c r="G107" s="61"/>
    </row>
    <row r="108" spans="1:7" ht="17" x14ac:dyDescent="0.2">
      <c r="A108" s="245" t="s">
        <v>448</v>
      </c>
      <c r="B108" s="249" t="s">
        <v>92</v>
      </c>
      <c r="C108" s="249" t="s">
        <v>103</v>
      </c>
      <c r="D108" s="213">
        <v>34</v>
      </c>
      <c r="E108" s="243">
        <v>104</v>
      </c>
      <c r="F108" s="222">
        <v>520</v>
      </c>
      <c r="G108" s="61"/>
    </row>
    <row r="109" spans="1:7" ht="17" x14ac:dyDescent="0.2">
      <c r="A109" s="245" t="s">
        <v>448</v>
      </c>
      <c r="B109" s="247" t="s">
        <v>92</v>
      </c>
      <c r="C109" s="247" t="s">
        <v>450</v>
      </c>
      <c r="D109" s="22">
        <v>521</v>
      </c>
      <c r="E109" s="49">
        <v>66.599999999999994</v>
      </c>
      <c r="F109" s="57">
        <v>333</v>
      </c>
      <c r="G109" s="61"/>
    </row>
    <row r="110" spans="1:7" ht="17" x14ac:dyDescent="0.2">
      <c r="A110" s="245" t="s">
        <v>448</v>
      </c>
      <c r="B110" s="247" t="s">
        <v>92</v>
      </c>
      <c r="C110" s="247" t="s">
        <v>450</v>
      </c>
      <c r="D110" s="22">
        <v>522</v>
      </c>
      <c r="E110" s="49">
        <v>32.200000000000003</v>
      </c>
      <c r="F110" s="57">
        <v>161</v>
      </c>
      <c r="G110" s="61" t="s">
        <v>439</v>
      </c>
    </row>
    <row r="111" spans="1:7" ht="17" x14ac:dyDescent="0.2">
      <c r="A111" s="245" t="s">
        <v>448</v>
      </c>
      <c r="B111" s="247" t="s">
        <v>92</v>
      </c>
      <c r="C111" s="247" t="s">
        <v>450</v>
      </c>
      <c r="D111" s="22">
        <v>523</v>
      </c>
      <c r="E111" s="49">
        <v>71.400000000000006</v>
      </c>
      <c r="F111" s="57">
        <v>357</v>
      </c>
      <c r="G111" s="61"/>
    </row>
    <row r="112" spans="1:7" ht="17" x14ac:dyDescent="0.2">
      <c r="A112" s="245" t="s">
        <v>448</v>
      </c>
      <c r="B112" s="247" t="s">
        <v>92</v>
      </c>
      <c r="C112" s="247" t="s">
        <v>450</v>
      </c>
      <c r="D112" s="22">
        <v>524</v>
      </c>
      <c r="E112" s="49">
        <v>63</v>
      </c>
      <c r="F112" s="57">
        <v>315</v>
      </c>
      <c r="G112" s="61"/>
    </row>
    <row r="113" spans="1:7" ht="17" x14ac:dyDescent="0.2">
      <c r="A113" s="245" t="s">
        <v>448</v>
      </c>
      <c r="B113" s="247" t="s">
        <v>92</v>
      </c>
      <c r="C113" s="247" t="s">
        <v>450</v>
      </c>
      <c r="D113" s="22">
        <v>525</v>
      </c>
      <c r="E113" s="49">
        <v>140</v>
      </c>
      <c r="F113" s="57">
        <v>700</v>
      </c>
      <c r="G113" s="61"/>
    </row>
    <row r="114" spans="1:7" ht="17" x14ac:dyDescent="0.2">
      <c r="A114" s="245" t="s">
        <v>448</v>
      </c>
      <c r="B114" s="247" t="s">
        <v>92</v>
      </c>
      <c r="C114" s="247" t="s">
        <v>450</v>
      </c>
      <c r="D114" s="22">
        <v>526</v>
      </c>
      <c r="E114" s="49">
        <v>138</v>
      </c>
      <c r="F114" s="57">
        <v>690</v>
      </c>
      <c r="G114" s="61"/>
    </row>
    <row r="115" spans="1:7" ht="17" x14ac:dyDescent="0.2">
      <c r="A115" s="245" t="s">
        <v>448</v>
      </c>
      <c r="B115" s="247" t="s">
        <v>92</v>
      </c>
      <c r="C115" s="247" t="s">
        <v>450</v>
      </c>
      <c r="D115" s="22">
        <v>527</v>
      </c>
      <c r="E115" s="49">
        <v>124</v>
      </c>
      <c r="F115" s="57">
        <v>620</v>
      </c>
      <c r="G115" s="61"/>
    </row>
    <row r="116" spans="1:7" ht="17" x14ac:dyDescent="0.2">
      <c r="A116" s="245" t="s">
        <v>448</v>
      </c>
      <c r="B116" s="247" t="s">
        <v>92</v>
      </c>
      <c r="C116" s="247" t="s">
        <v>450</v>
      </c>
      <c r="D116" s="22">
        <v>528</v>
      </c>
      <c r="E116" s="49">
        <v>87.6</v>
      </c>
      <c r="F116" s="57">
        <v>438</v>
      </c>
      <c r="G116" s="61"/>
    </row>
    <row r="117" spans="1:7" ht="17" x14ac:dyDescent="0.2">
      <c r="A117" s="245" t="s">
        <v>448</v>
      </c>
      <c r="B117" s="247" t="s">
        <v>92</v>
      </c>
      <c r="C117" s="247" t="s">
        <v>450</v>
      </c>
      <c r="D117" s="22">
        <v>529</v>
      </c>
      <c r="E117" s="49">
        <v>56.8</v>
      </c>
      <c r="F117" s="57">
        <v>284</v>
      </c>
      <c r="G117" s="61"/>
    </row>
    <row r="118" spans="1:7" ht="17" x14ac:dyDescent="0.2">
      <c r="A118" s="245" t="s">
        <v>448</v>
      </c>
      <c r="B118" s="247" t="s">
        <v>99</v>
      </c>
      <c r="C118" s="247" t="s">
        <v>96</v>
      </c>
      <c r="D118" s="22">
        <v>531</v>
      </c>
      <c r="E118" s="49">
        <v>95.4</v>
      </c>
      <c r="F118" s="57">
        <v>477</v>
      </c>
      <c r="G118" s="61"/>
    </row>
    <row r="119" spans="1:7" ht="17" x14ac:dyDescent="0.2">
      <c r="A119" s="245" t="s">
        <v>448</v>
      </c>
      <c r="B119" s="247" t="s">
        <v>99</v>
      </c>
      <c r="C119" s="247" t="s">
        <v>96</v>
      </c>
      <c r="D119" s="22">
        <v>532</v>
      </c>
      <c r="E119" s="49">
        <v>93.6</v>
      </c>
      <c r="F119" s="57">
        <v>468</v>
      </c>
      <c r="G119" s="61"/>
    </row>
    <row r="120" spans="1:7" ht="17" x14ac:dyDescent="0.2">
      <c r="A120" s="245" t="s">
        <v>448</v>
      </c>
      <c r="B120" s="248" t="s">
        <v>99</v>
      </c>
      <c r="C120" s="248" t="s">
        <v>96</v>
      </c>
      <c r="D120" s="63">
        <v>533</v>
      </c>
      <c r="E120" s="49">
        <v>6.52</v>
      </c>
      <c r="F120" s="57">
        <v>32.599999999999994</v>
      </c>
      <c r="G120" s="61" t="s">
        <v>439</v>
      </c>
    </row>
    <row r="121" spans="1:7" ht="17" x14ac:dyDescent="0.2">
      <c r="A121" s="245" t="s">
        <v>448</v>
      </c>
      <c r="B121" s="247" t="s">
        <v>99</v>
      </c>
      <c r="C121" s="247" t="s">
        <v>449</v>
      </c>
      <c r="D121" s="22">
        <v>541</v>
      </c>
      <c r="E121" s="49">
        <v>44.4</v>
      </c>
      <c r="F121" s="57">
        <v>222</v>
      </c>
      <c r="G121" s="61"/>
    </row>
    <row r="122" spans="1:7" ht="17" x14ac:dyDescent="0.2">
      <c r="A122" s="245" t="s">
        <v>448</v>
      </c>
      <c r="B122" s="247" t="s">
        <v>99</v>
      </c>
      <c r="C122" s="247" t="s">
        <v>449</v>
      </c>
      <c r="D122" s="22">
        <v>542</v>
      </c>
      <c r="E122" s="49">
        <v>32.799999999999997</v>
      </c>
      <c r="F122" s="57">
        <v>164</v>
      </c>
      <c r="G122" s="61" t="s">
        <v>439</v>
      </c>
    </row>
    <row r="123" spans="1:7" ht="17" x14ac:dyDescent="0.2">
      <c r="A123" s="245" t="s">
        <v>448</v>
      </c>
      <c r="B123" s="247" t="s">
        <v>99</v>
      </c>
      <c r="C123" s="247" t="s">
        <v>449</v>
      </c>
      <c r="D123" s="22">
        <v>543</v>
      </c>
      <c r="E123" s="49">
        <v>162</v>
      </c>
      <c r="F123" s="57">
        <v>810</v>
      </c>
      <c r="G123" s="61"/>
    </row>
    <row r="124" spans="1:7" ht="17" x14ac:dyDescent="0.2">
      <c r="A124" s="245" t="s">
        <v>448</v>
      </c>
      <c r="B124" s="247" t="s">
        <v>99</v>
      </c>
      <c r="C124" s="247" t="s">
        <v>103</v>
      </c>
      <c r="D124" s="22">
        <v>551</v>
      </c>
      <c r="E124" s="49">
        <v>96.4</v>
      </c>
      <c r="F124" s="57">
        <v>482</v>
      </c>
      <c r="G124" s="61"/>
    </row>
    <row r="125" spans="1:7" ht="17" x14ac:dyDescent="0.2">
      <c r="A125" s="245" t="s">
        <v>448</v>
      </c>
      <c r="B125" s="247" t="s">
        <v>99</v>
      </c>
      <c r="C125" s="247" t="s">
        <v>103</v>
      </c>
      <c r="D125" s="22" t="s">
        <v>268</v>
      </c>
      <c r="E125" s="49">
        <v>74.599999999999994</v>
      </c>
      <c r="F125" s="57">
        <v>373</v>
      </c>
      <c r="G125" s="61"/>
    </row>
    <row r="126" spans="1:7" ht="17" x14ac:dyDescent="0.2">
      <c r="A126" s="245" t="s">
        <v>448</v>
      </c>
      <c r="B126" s="247" t="s">
        <v>99</v>
      </c>
      <c r="C126" s="247" t="s">
        <v>103</v>
      </c>
      <c r="D126" s="22">
        <v>553</v>
      </c>
      <c r="E126" s="49">
        <v>186</v>
      </c>
      <c r="F126" s="57">
        <v>930</v>
      </c>
      <c r="G126" s="61"/>
    </row>
    <row r="127" spans="1:7" ht="17" x14ac:dyDescent="0.2">
      <c r="A127" s="245" t="s">
        <v>448</v>
      </c>
      <c r="B127" s="247" t="s">
        <v>99</v>
      </c>
      <c r="C127" s="247" t="s">
        <v>103</v>
      </c>
      <c r="D127" s="22">
        <v>554</v>
      </c>
      <c r="E127" s="49">
        <v>188</v>
      </c>
      <c r="F127" s="57">
        <v>940</v>
      </c>
      <c r="G127" s="61"/>
    </row>
    <row r="128" spans="1:7" ht="17" x14ac:dyDescent="0.2">
      <c r="A128" s="245" t="s">
        <v>448</v>
      </c>
      <c r="B128" s="247" t="s">
        <v>99</v>
      </c>
      <c r="C128" s="247" t="s">
        <v>450</v>
      </c>
      <c r="D128" s="22">
        <v>561</v>
      </c>
      <c r="E128" s="49">
        <v>28</v>
      </c>
      <c r="F128" s="57">
        <v>140</v>
      </c>
      <c r="G128" s="61" t="s">
        <v>439</v>
      </c>
    </row>
    <row r="129" spans="1:7" ht="17" x14ac:dyDescent="0.2">
      <c r="A129" s="245" t="s">
        <v>448</v>
      </c>
      <c r="B129" s="247" t="s">
        <v>99</v>
      </c>
      <c r="C129" s="247" t="s">
        <v>450</v>
      </c>
      <c r="D129" s="22">
        <v>562</v>
      </c>
      <c r="E129" s="49">
        <v>126</v>
      </c>
      <c r="F129" s="57">
        <v>630</v>
      </c>
      <c r="G129" s="61"/>
    </row>
    <row r="130" spans="1:7" ht="17" x14ac:dyDescent="0.2">
      <c r="A130" s="245" t="s">
        <v>448</v>
      </c>
      <c r="B130" s="247" t="s">
        <v>99</v>
      </c>
      <c r="C130" s="247" t="s">
        <v>450</v>
      </c>
      <c r="D130" s="22">
        <v>563</v>
      </c>
      <c r="E130" s="49">
        <v>47</v>
      </c>
      <c r="F130" s="57">
        <v>235</v>
      </c>
      <c r="G130" s="61"/>
    </row>
    <row r="131" spans="1:7" ht="17" x14ac:dyDescent="0.2">
      <c r="A131" s="245" t="s">
        <v>448</v>
      </c>
      <c r="B131" s="247" t="s">
        <v>99</v>
      </c>
      <c r="C131" s="247" t="s">
        <v>450</v>
      </c>
      <c r="D131" s="22">
        <v>564</v>
      </c>
      <c r="E131" s="49">
        <v>152</v>
      </c>
      <c r="F131" s="57">
        <v>760</v>
      </c>
      <c r="G131" s="61"/>
    </row>
    <row r="132" spans="1:7" ht="17" x14ac:dyDescent="0.2">
      <c r="A132" s="245" t="s">
        <v>448</v>
      </c>
      <c r="B132" s="247" t="s">
        <v>99</v>
      </c>
      <c r="C132" s="247" t="s">
        <v>450</v>
      </c>
      <c r="D132" s="22">
        <v>565</v>
      </c>
      <c r="E132" s="49">
        <v>31.2</v>
      </c>
      <c r="F132" s="57">
        <v>156</v>
      </c>
      <c r="G132" s="61" t="s">
        <v>439</v>
      </c>
    </row>
    <row r="133" spans="1:7" ht="17" x14ac:dyDescent="0.2">
      <c r="A133" s="247" t="s">
        <v>451</v>
      </c>
      <c r="B133" s="247" t="s">
        <v>295</v>
      </c>
      <c r="C133" s="247" t="s">
        <v>235</v>
      </c>
      <c r="D133" s="127">
        <v>571</v>
      </c>
      <c r="E133" s="55" t="s">
        <v>244</v>
      </c>
      <c r="F133" s="60" t="s">
        <v>244</v>
      </c>
      <c r="G133" s="61"/>
    </row>
    <row r="134" spans="1:7" ht="17" x14ac:dyDescent="0.2">
      <c r="A134" s="247" t="s">
        <v>451</v>
      </c>
      <c r="B134" s="247" t="s">
        <v>295</v>
      </c>
      <c r="C134" s="247" t="s">
        <v>235</v>
      </c>
      <c r="D134" s="127">
        <v>572</v>
      </c>
      <c r="E134" s="55"/>
      <c r="F134" s="60"/>
      <c r="G134" s="61"/>
    </row>
    <row r="135" spans="1:7" ht="17" x14ac:dyDescent="0.2">
      <c r="A135" s="247" t="s">
        <v>451</v>
      </c>
      <c r="B135" s="247" t="s">
        <v>296</v>
      </c>
      <c r="C135" s="247" t="s">
        <v>235</v>
      </c>
      <c r="D135" s="127">
        <v>574</v>
      </c>
      <c r="E135" s="55"/>
      <c r="F135" s="60"/>
      <c r="G135" s="61"/>
    </row>
    <row r="136" spans="1:7" ht="17" x14ac:dyDescent="0.2">
      <c r="A136" s="247" t="s">
        <v>451</v>
      </c>
      <c r="B136" s="247" t="s">
        <v>297</v>
      </c>
      <c r="C136" s="247" t="s">
        <v>235</v>
      </c>
      <c r="D136" s="127">
        <v>575</v>
      </c>
      <c r="E136" s="55"/>
      <c r="F136" s="60"/>
      <c r="G136" s="61"/>
    </row>
  </sheetData>
  <conditionalFormatting sqref="F2:F133">
    <cfRule type="cellIs" dxfId="0" priority="1" operator="lessThan">
      <formula>200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ctenidia</vt:lpstr>
      <vt:lpstr>larvae</vt:lpstr>
      <vt:lpstr>Lipid</vt:lpstr>
      <vt:lpstr>Library prep test-run</vt:lpstr>
      <vt:lpstr>qPCR Master Mix calcs</vt:lpstr>
      <vt:lpstr>qPCR Round I</vt:lpstr>
      <vt:lpstr>qPCR Round II</vt:lpstr>
      <vt:lpstr>qPCR Round III</vt:lpstr>
      <vt:lpstr>qPCR Round IV</vt:lpstr>
      <vt:lpstr>DNAse Batch 1 RNA</vt:lpstr>
      <vt:lpstr>xtra sheet for random calcs,git</vt:lpstr>
      <vt:lpstr>larvae!Print_Area</vt:lpstr>
      <vt:lpstr>larvae!Print_Titles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 Spencer</dc:creator>
  <cp:lastModifiedBy>Laura H Spencer</cp:lastModifiedBy>
  <cp:lastPrinted>2019-08-16T00:22:58Z</cp:lastPrinted>
  <dcterms:created xsi:type="dcterms:W3CDTF">2019-07-10T20:28:34Z</dcterms:created>
  <dcterms:modified xsi:type="dcterms:W3CDTF">2019-09-14T02:09:50Z</dcterms:modified>
</cp:coreProperties>
</file>