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560" yWindow="0" windowWidth="24960" windowHeight="15460" tabRatio="1000" activeTab="1"/>
  </bookViews>
  <sheets>
    <sheet name="Collection" sheetId="1" r:id="rId1"/>
    <sheet name="Bucket Counts" sheetId="2" r:id="rId2"/>
    <sheet name="Stocking" sheetId="9" r:id="rId3"/>
    <sheet name="Total Larvae to Date" sheetId="4" r:id="rId4"/>
    <sheet name="Date Chart" sheetId="5" r:id="rId5"/>
    <sheet name="Algae Counts" sheetId="7" r:id="rId6"/>
    <sheet name="Resources" sheetId="6" r:id="rId7"/>
    <sheet name="Larval Trial" sheetId="10" r:id="rId8"/>
    <sheet name="Outside Tank Temps" sheetId="11" r:id="rId9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1" i="4" l="1"/>
  <c r="L107" i="4"/>
  <c r="L50" i="4"/>
  <c r="L106" i="4"/>
  <c r="L49" i="4"/>
  <c r="L105" i="4"/>
  <c r="L48" i="4"/>
  <c r="L104" i="4"/>
  <c r="L47" i="4"/>
  <c r="L103" i="4"/>
  <c r="L46" i="4"/>
  <c r="L102" i="4"/>
  <c r="L45" i="4"/>
  <c r="L101" i="4"/>
  <c r="L44" i="4"/>
  <c r="L100" i="4"/>
  <c r="L43" i="4"/>
  <c r="L42" i="4"/>
  <c r="L99" i="4"/>
  <c r="L40" i="4"/>
  <c r="L41" i="4"/>
  <c r="L98" i="4"/>
  <c r="L39" i="4"/>
  <c r="L38" i="4"/>
  <c r="L97" i="4"/>
  <c r="L36" i="4"/>
  <c r="L37" i="4"/>
  <c r="L96" i="4"/>
  <c r="L35" i="4"/>
  <c r="L34" i="4"/>
  <c r="L95" i="4"/>
  <c r="L32" i="4"/>
  <c r="L33" i="4"/>
  <c r="L94" i="4"/>
  <c r="L30" i="4"/>
  <c r="L31" i="4"/>
  <c r="L93" i="4"/>
  <c r="L28" i="4"/>
  <c r="L29" i="4"/>
  <c r="L92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54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K37" i="4"/>
  <c r="J37" i="4"/>
  <c r="I37" i="4"/>
  <c r="H37" i="4"/>
  <c r="G37" i="4"/>
  <c r="Q680" i="2"/>
  <c r="Q657" i="2"/>
  <c r="P657" i="2"/>
  <c r="Q656" i="2"/>
  <c r="P656" i="2"/>
  <c r="Q655" i="2"/>
  <c r="P655" i="2"/>
  <c r="Q654" i="2"/>
  <c r="P654" i="2"/>
  <c r="Q653" i="2"/>
  <c r="P653" i="2"/>
  <c r="Q652" i="2"/>
  <c r="P652" i="2"/>
  <c r="Q651" i="2"/>
  <c r="P651" i="2"/>
  <c r="Q650" i="2"/>
  <c r="P650" i="2"/>
  <c r="Q649" i="2"/>
  <c r="P649" i="2"/>
  <c r="Q648" i="2"/>
  <c r="P648" i="2"/>
  <c r="Q647" i="2"/>
  <c r="P647" i="2"/>
  <c r="Q646" i="2"/>
  <c r="P646" i="2"/>
  <c r="Q644" i="2"/>
  <c r="P644" i="2"/>
  <c r="Q643" i="2"/>
  <c r="P643" i="2"/>
  <c r="Q642" i="2"/>
  <c r="P642" i="2"/>
  <c r="P638" i="2"/>
  <c r="P639" i="2"/>
  <c r="P700" i="2"/>
  <c r="Q700" i="2"/>
  <c r="R700" i="2"/>
  <c r="P699" i="2"/>
  <c r="Q699" i="2"/>
  <c r="R699" i="2"/>
  <c r="P698" i="2"/>
  <c r="Q698" i="2"/>
  <c r="S698" i="2"/>
  <c r="R698" i="2"/>
  <c r="S697" i="2"/>
  <c r="R697" i="2"/>
  <c r="P696" i="2"/>
  <c r="Q696" i="2"/>
  <c r="R696" i="2"/>
  <c r="P695" i="2"/>
  <c r="Q695" i="2"/>
  <c r="R695" i="2"/>
  <c r="P693" i="2"/>
  <c r="P694" i="2"/>
  <c r="Q693" i="2"/>
  <c r="Q694" i="2"/>
  <c r="S694" i="2"/>
  <c r="R694" i="2"/>
  <c r="S693" i="2"/>
  <c r="R693" i="2"/>
  <c r="P692" i="2"/>
  <c r="Q692" i="2"/>
  <c r="R692" i="2"/>
  <c r="P691" i="2"/>
  <c r="Q691" i="2"/>
  <c r="R691" i="2"/>
  <c r="P689" i="2"/>
  <c r="P690" i="2"/>
  <c r="Q689" i="2"/>
  <c r="Q690" i="2"/>
  <c r="S690" i="2"/>
  <c r="R690" i="2"/>
  <c r="S689" i="2"/>
  <c r="R689" i="2"/>
  <c r="P688" i="2"/>
  <c r="Q688" i="2"/>
  <c r="R688" i="2"/>
  <c r="P687" i="2"/>
  <c r="Q687" i="2"/>
  <c r="R687" i="2"/>
  <c r="P686" i="2"/>
  <c r="Q686" i="2"/>
  <c r="S686" i="2"/>
  <c r="R686" i="2"/>
  <c r="S685" i="2"/>
  <c r="R685" i="2"/>
  <c r="P684" i="2"/>
  <c r="Q684" i="2"/>
  <c r="R684" i="2"/>
  <c r="P683" i="2"/>
  <c r="Q683" i="2"/>
  <c r="R683" i="2"/>
  <c r="P682" i="2"/>
  <c r="Q682" i="2"/>
  <c r="S682" i="2"/>
  <c r="R682" i="2"/>
  <c r="S681" i="2"/>
  <c r="R681" i="2"/>
  <c r="P680" i="2"/>
  <c r="R680" i="2"/>
  <c r="P679" i="2"/>
  <c r="Q679" i="2"/>
  <c r="R679" i="2"/>
  <c r="P677" i="2"/>
  <c r="P678" i="2"/>
  <c r="Q677" i="2"/>
  <c r="Q678" i="2"/>
  <c r="S678" i="2"/>
  <c r="R678" i="2"/>
  <c r="S677" i="2"/>
  <c r="R677" i="2"/>
  <c r="P676" i="2"/>
  <c r="Q676" i="2"/>
  <c r="R676" i="2"/>
  <c r="P675" i="2"/>
  <c r="Q675" i="2"/>
  <c r="R675" i="2"/>
  <c r="P673" i="2"/>
  <c r="P674" i="2"/>
  <c r="Q673" i="2"/>
  <c r="Q674" i="2"/>
  <c r="S674" i="2"/>
  <c r="R674" i="2"/>
  <c r="S673" i="2"/>
  <c r="R673" i="2"/>
  <c r="P672" i="2"/>
  <c r="Q672" i="2"/>
  <c r="R672" i="2"/>
  <c r="P671" i="2"/>
  <c r="Q671" i="2"/>
  <c r="R671" i="2"/>
  <c r="P670" i="2"/>
  <c r="Q670" i="2"/>
  <c r="S670" i="2"/>
  <c r="R670" i="2"/>
  <c r="S669" i="2"/>
  <c r="R669" i="2"/>
  <c r="P668" i="2"/>
  <c r="Q668" i="2"/>
  <c r="R668" i="2"/>
  <c r="P667" i="2"/>
  <c r="Q667" i="2"/>
  <c r="R667" i="2"/>
  <c r="P665" i="2"/>
  <c r="P666" i="2"/>
  <c r="Q665" i="2"/>
  <c r="Q666" i="2"/>
  <c r="S666" i="2"/>
  <c r="R666" i="2"/>
  <c r="S665" i="2"/>
  <c r="R665" i="2"/>
  <c r="P664" i="2"/>
  <c r="Q664" i="2"/>
  <c r="R664" i="2"/>
  <c r="P663" i="2"/>
  <c r="Q663" i="2"/>
  <c r="R663" i="2"/>
  <c r="P661" i="2"/>
  <c r="P662" i="2"/>
  <c r="Q661" i="2"/>
  <c r="Q662" i="2"/>
  <c r="S662" i="2"/>
  <c r="R662" i="2"/>
  <c r="S661" i="2"/>
  <c r="R661" i="2"/>
  <c r="P660" i="2"/>
  <c r="Q660" i="2"/>
  <c r="R660" i="2"/>
  <c r="P659" i="2"/>
  <c r="Q659" i="2"/>
  <c r="R659" i="2"/>
  <c r="P658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P640" i="2"/>
  <c r="Q640" i="2"/>
  <c r="R640" i="2"/>
  <c r="Q639" i="2"/>
  <c r="R639" i="2"/>
  <c r="Q638" i="2"/>
  <c r="S638" i="2"/>
  <c r="R638" i="2"/>
  <c r="S637" i="2"/>
  <c r="R637" i="2"/>
  <c r="Q580" i="2"/>
  <c r="P580" i="2"/>
  <c r="P622" i="2"/>
  <c r="H43" i="10"/>
  <c r="I43" i="10"/>
  <c r="K43" i="10"/>
  <c r="J43" i="10"/>
  <c r="P636" i="2"/>
  <c r="Q636" i="2"/>
  <c r="R636" i="2"/>
  <c r="P635" i="2"/>
  <c r="Q635" i="2"/>
  <c r="R635" i="2"/>
  <c r="P633" i="2"/>
  <c r="P634" i="2"/>
  <c r="Q633" i="2"/>
  <c r="Q634" i="2"/>
  <c r="S634" i="2"/>
  <c r="R634" i="2"/>
  <c r="S633" i="2"/>
  <c r="R633" i="2"/>
  <c r="P632" i="2"/>
  <c r="Q632" i="2"/>
  <c r="R632" i="2"/>
  <c r="P631" i="2"/>
  <c r="Q631" i="2"/>
  <c r="R631" i="2"/>
  <c r="P629" i="2"/>
  <c r="P630" i="2"/>
  <c r="Q629" i="2"/>
  <c r="Q630" i="2"/>
  <c r="S630" i="2"/>
  <c r="R630" i="2"/>
  <c r="S629" i="2"/>
  <c r="R629" i="2"/>
  <c r="P628" i="2"/>
  <c r="Q628" i="2"/>
  <c r="R628" i="2"/>
  <c r="P627" i="2"/>
  <c r="Q627" i="2"/>
  <c r="R627" i="2"/>
  <c r="P625" i="2"/>
  <c r="P626" i="2"/>
  <c r="Q625" i="2"/>
  <c r="Q626" i="2"/>
  <c r="S626" i="2"/>
  <c r="R626" i="2"/>
  <c r="S625" i="2"/>
  <c r="R625" i="2"/>
  <c r="P624" i="2"/>
  <c r="Q624" i="2"/>
  <c r="R624" i="2"/>
  <c r="P623" i="2"/>
  <c r="Q623" i="2"/>
  <c r="R623" i="2"/>
  <c r="P621" i="2"/>
  <c r="Q621" i="2"/>
  <c r="Q622" i="2"/>
  <c r="S622" i="2"/>
  <c r="R622" i="2"/>
  <c r="S621" i="2"/>
  <c r="R621" i="2"/>
  <c r="P620" i="2"/>
  <c r="Q620" i="2"/>
  <c r="R620" i="2"/>
  <c r="P619" i="2"/>
  <c r="Q619" i="2"/>
  <c r="R619" i="2"/>
  <c r="P617" i="2"/>
  <c r="P618" i="2"/>
  <c r="Q617" i="2"/>
  <c r="Q618" i="2"/>
  <c r="S618" i="2"/>
  <c r="R618" i="2"/>
  <c r="S617" i="2"/>
  <c r="R617" i="2"/>
  <c r="P616" i="2"/>
  <c r="Q616" i="2"/>
  <c r="R616" i="2"/>
  <c r="P615" i="2"/>
  <c r="Q615" i="2"/>
  <c r="R615" i="2"/>
  <c r="P613" i="2"/>
  <c r="P614" i="2"/>
  <c r="Q613" i="2"/>
  <c r="Q614" i="2"/>
  <c r="S614" i="2"/>
  <c r="R614" i="2"/>
  <c r="S613" i="2"/>
  <c r="R613" i="2"/>
  <c r="P612" i="2"/>
  <c r="Q612" i="2"/>
  <c r="R612" i="2"/>
  <c r="P611" i="2"/>
  <c r="Q611" i="2"/>
  <c r="R611" i="2"/>
  <c r="P609" i="2"/>
  <c r="P610" i="2"/>
  <c r="Q609" i="2"/>
  <c r="Q610" i="2"/>
  <c r="S610" i="2"/>
  <c r="R610" i="2"/>
  <c r="S609" i="2"/>
  <c r="R609" i="2"/>
  <c r="P608" i="2"/>
  <c r="Q608" i="2"/>
  <c r="R608" i="2"/>
  <c r="P607" i="2"/>
  <c r="Q607" i="2"/>
  <c r="R607" i="2"/>
  <c r="P605" i="2"/>
  <c r="P606" i="2"/>
  <c r="Q605" i="2"/>
  <c r="Q606" i="2"/>
  <c r="S606" i="2"/>
  <c r="R606" i="2"/>
  <c r="S605" i="2"/>
  <c r="R605" i="2"/>
  <c r="P604" i="2"/>
  <c r="Q604" i="2"/>
  <c r="R604" i="2"/>
  <c r="P603" i="2"/>
  <c r="Q603" i="2"/>
  <c r="R603" i="2"/>
  <c r="P601" i="2"/>
  <c r="P602" i="2"/>
  <c r="Q601" i="2"/>
  <c r="Q602" i="2"/>
  <c r="S602" i="2"/>
  <c r="R602" i="2"/>
  <c r="S601" i="2"/>
  <c r="R601" i="2"/>
  <c r="P600" i="2"/>
  <c r="Q600" i="2"/>
  <c r="R600" i="2"/>
  <c r="P599" i="2"/>
  <c r="Q599" i="2"/>
  <c r="R599" i="2"/>
  <c r="P598" i="2"/>
  <c r="Q597" i="2"/>
  <c r="Q598" i="2"/>
  <c r="S598" i="2"/>
  <c r="R598" i="2"/>
  <c r="S597" i="2"/>
  <c r="R597" i="2"/>
  <c r="P596" i="2"/>
  <c r="Q596" i="2"/>
  <c r="R596" i="2"/>
  <c r="P595" i="2"/>
  <c r="Q595" i="2"/>
  <c r="R595" i="2"/>
  <c r="P593" i="2"/>
  <c r="P594" i="2"/>
  <c r="Q593" i="2"/>
  <c r="Q594" i="2"/>
  <c r="S594" i="2"/>
  <c r="R594" i="2"/>
  <c r="S593" i="2"/>
  <c r="R593" i="2"/>
  <c r="P592" i="2"/>
  <c r="Q592" i="2"/>
  <c r="R592" i="2"/>
  <c r="P591" i="2"/>
  <c r="Q591" i="2"/>
  <c r="R591" i="2"/>
  <c r="P589" i="2"/>
  <c r="P590" i="2"/>
  <c r="Q589" i="2"/>
  <c r="Q590" i="2"/>
  <c r="S590" i="2"/>
  <c r="R590" i="2"/>
  <c r="S589" i="2"/>
  <c r="R589" i="2"/>
  <c r="P588" i="2"/>
  <c r="Q588" i="2"/>
  <c r="R588" i="2"/>
  <c r="P587" i="2"/>
  <c r="Q587" i="2"/>
  <c r="R587" i="2"/>
  <c r="P586" i="2"/>
  <c r="Q585" i="2"/>
  <c r="Q586" i="2"/>
  <c r="S586" i="2"/>
  <c r="R586" i="2"/>
  <c r="S585" i="2"/>
  <c r="R585" i="2"/>
  <c r="P584" i="2"/>
  <c r="Q584" i="2"/>
  <c r="R584" i="2"/>
  <c r="P583" i="2"/>
  <c r="Q583" i="2"/>
  <c r="R583" i="2"/>
  <c r="P581" i="2"/>
  <c r="P582" i="2"/>
  <c r="Q581" i="2"/>
  <c r="Q582" i="2"/>
  <c r="S582" i="2"/>
  <c r="R582" i="2"/>
  <c r="S581" i="2"/>
  <c r="R581" i="2"/>
  <c r="R580" i="2"/>
  <c r="P579" i="2"/>
  <c r="Q579" i="2"/>
  <c r="R579" i="2"/>
  <c r="P577" i="2"/>
  <c r="P578" i="2"/>
  <c r="Q577" i="2"/>
  <c r="Q578" i="2"/>
  <c r="S578" i="2"/>
  <c r="R578" i="2"/>
  <c r="S577" i="2"/>
  <c r="R577" i="2"/>
  <c r="P576" i="2"/>
  <c r="Q576" i="2"/>
  <c r="R576" i="2"/>
  <c r="P575" i="2"/>
  <c r="Q575" i="2"/>
  <c r="R575" i="2"/>
  <c r="P573" i="2"/>
  <c r="P574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D3" i="4"/>
  <c r="D2" i="4"/>
  <c r="L2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P529" i="2"/>
  <c r="P528" i="2"/>
  <c r="P527" i="2"/>
  <c r="P526" i="2"/>
  <c r="S522" i="2"/>
  <c r="S526" i="2"/>
  <c r="Q480" i="2"/>
  <c r="P480" i="2"/>
  <c r="H34" i="10"/>
  <c r="I34" i="10"/>
  <c r="K34" i="10"/>
  <c r="J34" i="10"/>
  <c r="I182" i="1"/>
  <c r="J182" i="1"/>
  <c r="O182" i="1"/>
  <c r="Q182" i="1"/>
  <c r="M182" i="1"/>
  <c r="Q384" i="2"/>
  <c r="Q381" i="2"/>
  <c r="P383" i="2"/>
  <c r="P382" i="2"/>
  <c r="P381" i="2"/>
  <c r="Q360" i="2"/>
  <c r="Q359" i="2"/>
  <c r="Q358" i="2"/>
  <c r="P359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24" i="2"/>
  <c r="P524" i="2"/>
  <c r="P572" i="2"/>
  <c r="Q572" i="2"/>
  <c r="R572" i="2"/>
  <c r="P571" i="2"/>
  <c r="Q571" i="2"/>
  <c r="R571" i="2"/>
  <c r="P569" i="2"/>
  <c r="P570" i="2"/>
  <c r="Q569" i="2"/>
  <c r="Q570" i="2"/>
  <c r="S570" i="2"/>
  <c r="R570" i="2"/>
  <c r="S569" i="2"/>
  <c r="R569" i="2"/>
  <c r="P568" i="2"/>
  <c r="Q568" i="2"/>
  <c r="R568" i="2"/>
  <c r="P567" i="2"/>
  <c r="Q567" i="2"/>
  <c r="R567" i="2"/>
  <c r="P565" i="2"/>
  <c r="P566" i="2"/>
  <c r="Q565" i="2"/>
  <c r="Q566" i="2"/>
  <c r="S566" i="2"/>
  <c r="R566" i="2"/>
  <c r="S565" i="2"/>
  <c r="R565" i="2"/>
  <c r="P564" i="2"/>
  <c r="Q564" i="2"/>
  <c r="R564" i="2"/>
  <c r="P563" i="2"/>
  <c r="Q563" i="2"/>
  <c r="R563" i="2"/>
  <c r="P561" i="2"/>
  <c r="P562" i="2"/>
  <c r="Q561" i="2"/>
  <c r="Q562" i="2"/>
  <c r="S562" i="2"/>
  <c r="R562" i="2"/>
  <c r="S561" i="2"/>
  <c r="R561" i="2"/>
  <c r="P560" i="2"/>
  <c r="Q560" i="2"/>
  <c r="R560" i="2"/>
  <c r="P559" i="2"/>
  <c r="Q559" i="2"/>
  <c r="R559" i="2"/>
  <c r="P557" i="2"/>
  <c r="P558" i="2"/>
  <c r="Q557" i="2"/>
  <c r="Q558" i="2"/>
  <c r="S558" i="2"/>
  <c r="R558" i="2"/>
  <c r="S557" i="2"/>
  <c r="R557" i="2"/>
  <c r="P556" i="2"/>
  <c r="Q556" i="2"/>
  <c r="R556" i="2"/>
  <c r="P555" i="2"/>
  <c r="Q555" i="2"/>
  <c r="R555" i="2"/>
  <c r="P553" i="2"/>
  <c r="P554" i="2"/>
  <c r="Q553" i="2"/>
  <c r="Q554" i="2"/>
  <c r="S554" i="2"/>
  <c r="R554" i="2"/>
  <c r="S553" i="2"/>
  <c r="R553" i="2"/>
  <c r="P552" i="2"/>
  <c r="Q552" i="2"/>
  <c r="R552" i="2"/>
  <c r="P551" i="2"/>
  <c r="Q551" i="2"/>
  <c r="R551" i="2"/>
  <c r="P549" i="2"/>
  <c r="P550" i="2"/>
  <c r="Q549" i="2"/>
  <c r="Q550" i="2"/>
  <c r="S550" i="2"/>
  <c r="R550" i="2"/>
  <c r="S549" i="2"/>
  <c r="R549" i="2"/>
  <c r="P548" i="2"/>
  <c r="Q548" i="2"/>
  <c r="R548" i="2"/>
  <c r="P547" i="2"/>
  <c r="Q547" i="2"/>
  <c r="R547" i="2"/>
  <c r="P545" i="2"/>
  <c r="P546" i="2"/>
  <c r="Q545" i="2"/>
  <c r="Q546" i="2"/>
  <c r="S546" i="2"/>
  <c r="R546" i="2"/>
  <c r="S545" i="2"/>
  <c r="R545" i="2"/>
  <c r="P544" i="2"/>
  <c r="Q544" i="2"/>
  <c r="R544" i="2"/>
  <c r="P543" i="2"/>
  <c r="Q543" i="2"/>
  <c r="R543" i="2"/>
  <c r="P541" i="2"/>
  <c r="P542" i="2"/>
  <c r="Q541" i="2"/>
  <c r="Q542" i="2"/>
  <c r="S542" i="2"/>
  <c r="R542" i="2"/>
  <c r="S541" i="2"/>
  <c r="R541" i="2"/>
  <c r="P540" i="2"/>
  <c r="Q540" i="2"/>
  <c r="R540" i="2"/>
  <c r="P539" i="2"/>
  <c r="Q539" i="2"/>
  <c r="R539" i="2"/>
  <c r="P537" i="2"/>
  <c r="P538" i="2"/>
  <c r="Q537" i="2"/>
  <c r="Q538" i="2"/>
  <c r="S538" i="2"/>
  <c r="R538" i="2"/>
  <c r="S537" i="2"/>
  <c r="R537" i="2"/>
  <c r="P536" i="2"/>
  <c r="Q536" i="2"/>
  <c r="R536" i="2"/>
  <c r="P535" i="2"/>
  <c r="Q535" i="2"/>
  <c r="R535" i="2"/>
  <c r="P533" i="2"/>
  <c r="P534" i="2"/>
  <c r="Q533" i="2"/>
  <c r="Q534" i="2"/>
  <c r="S534" i="2"/>
  <c r="R534" i="2"/>
  <c r="S533" i="2"/>
  <c r="R533" i="2"/>
  <c r="P532" i="2"/>
  <c r="Q532" i="2"/>
  <c r="R532" i="2"/>
  <c r="P531" i="2"/>
  <c r="Q531" i="2"/>
  <c r="R531" i="2"/>
  <c r="P530" i="2"/>
  <c r="Q530" i="2"/>
  <c r="S530" i="2"/>
  <c r="R530" i="2"/>
  <c r="S529" i="2"/>
  <c r="R529" i="2"/>
  <c r="R528" i="2"/>
  <c r="R527" i="2"/>
  <c r="P525" i="2"/>
  <c r="Q525" i="2"/>
  <c r="R526" i="2"/>
  <c r="S525" i="2"/>
  <c r="R525" i="2"/>
  <c r="R524" i="2"/>
  <c r="P523" i="2"/>
  <c r="Q523" i="2"/>
  <c r="R523" i="2"/>
  <c r="P521" i="2"/>
  <c r="P522" i="2"/>
  <c r="Q521" i="2"/>
  <c r="Q522" i="2"/>
  <c r="R522" i="2"/>
  <c r="S521" i="2"/>
  <c r="R521" i="2"/>
  <c r="P520" i="2"/>
  <c r="Q520" i="2"/>
  <c r="R520" i="2"/>
  <c r="P519" i="2"/>
  <c r="Q519" i="2"/>
  <c r="R519" i="2"/>
  <c r="P517" i="2"/>
  <c r="P518" i="2"/>
  <c r="Q517" i="2"/>
  <c r="Q518" i="2"/>
  <c r="S518" i="2"/>
  <c r="R518" i="2"/>
  <c r="S517" i="2"/>
  <c r="R517" i="2"/>
  <c r="P516" i="2"/>
  <c r="Q516" i="2"/>
  <c r="R516" i="2"/>
  <c r="P515" i="2"/>
  <c r="Q515" i="2"/>
  <c r="R515" i="2"/>
  <c r="P513" i="2"/>
  <c r="P514" i="2"/>
  <c r="Q513" i="2"/>
  <c r="Q514" i="2"/>
  <c r="S514" i="2"/>
  <c r="R514" i="2"/>
  <c r="S513" i="2"/>
  <c r="R513" i="2"/>
  <c r="P512" i="2"/>
  <c r="Q512" i="2"/>
  <c r="R512" i="2"/>
  <c r="P511" i="2"/>
  <c r="Q511" i="2"/>
  <c r="R511" i="2"/>
  <c r="P509" i="2"/>
  <c r="P510" i="2"/>
  <c r="Q509" i="2"/>
  <c r="Q510" i="2"/>
  <c r="S510" i="2"/>
  <c r="R510" i="2"/>
  <c r="S509" i="2"/>
  <c r="R509" i="2"/>
  <c r="P459" i="2"/>
  <c r="Q448" i="2"/>
  <c r="P448" i="2"/>
  <c r="P508" i="2"/>
  <c r="Q508" i="2"/>
  <c r="R508" i="2"/>
  <c r="P507" i="2"/>
  <c r="Q507" i="2"/>
  <c r="R507" i="2"/>
  <c r="P505" i="2"/>
  <c r="P506" i="2"/>
  <c r="Q505" i="2"/>
  <c r="Q506" i="2"/>
  <c r="S506" i="2"/>
  <c r="R506" i="2"/>
  <c r="S505" i="2"/>
  <c r="R505" i="2"/>
  <c r="P504" i="2"/>
  <c r="Q504" i="2"/>
  <c r="R504" i="2"/>
  <c r="P503" i="2"/>
  <c r="Q503" i="2"/>
  <c r="R503" i="2"/>
  <c r="P501" i="2"/>
  <c r="P502" i="2"/>
  <c r="Q501" i="2"/>
  <c r="Q502" i="2"/>
  <c r="S502" i="2"/>
  <c r="R502" i="2"/>
  <c r="S501" i="2"/>
  <c r="R501" i="2"/>
  <c r="P500" i="2"/>
  <c r="Q500" i="2"/>
  <c r="R500" i="2"/>
  <c r="P499" i="2"/>
  <c r="Q499" i="2"/>
  <c r="R499" i="2"/>
  <c r="P497" i="2"/>
  <c r="P498" i="2"/>
  <c r="Q497" i="2"/>
  <c r="Q498" i="2"/>
  <c r="S498" i="2"/>
  <c r="R498" i="2"/>
  <c r="S497" i="2"/>
  <c r="R497" i="2"/>
  <c r="P496" i="2"/>
  <c r="Q496" i="2"/>
  <c r="R496" i="2"/>
  <c r="P495" i="2"/>
  <c r="Q495" i="2"/>
  <c r="R495" i="2"/>
  <c r="P493" i="2"/>
  <c r="P494" i="2"/>
  <c r="Q493" i="2"/>
  <c r="Q494" i="2"/>
  <c r="S494" i="2"/>
  <c r="R494" i="2"/>
  <c r="S493" i="2"/>
  <c r="R493" i="2"/>
  <c r="P492" i="2"/>
  <c r="Q492" i="2"/>
  <c r="R492" i="2"/>
  <c r="P491" i="2"/>
  <c r="Q491" i="2"/>
  <c r="R491" i="2"/>
  <c r="P489" i="2"/>
  <c r="P490" i="2"/>
  <c r="Q489" i="2"/>
  <c r="Q490" i="2"/>
  <c r="S490" i="2"/>
  <c r="R490" i="2"/>
  <c r="S489" i="2"/>
  <c r="R489" i="2"/>
  <c r="P488" i="2"/>
  <c r="Q488" i="2"/>
  <c r="R488" i="2"/>
  <c r="P487" i="2"/>
  <c r="Q487" i="2"/>
  <c r="R487" i="2"/>
  <c r="P485" i="2"/>
  <c r="P486" i="2"/>
  <c r="Q485" i="2"/>
  <c r="Q486" i="2"/>
  <c r="S486" i="2"/>
  <c r="R486" i="2"/>
  <c r="S485" i="2"/>
  <c r="R485" i="2"/>
  <c r="P484" i="2"/>
  <c r="Q484" i="2"/>
  <c r="R484" i="2"/>
  <c r="P483" i="2"/>
  <c r="Q483" i="2"/>
  <c r="R483" i="2"/>
  <c r="P481" i="2"/>
  <c r="P482" i="2"/>
  <c r="Q481" i="2"/>
  <c r="Q482" i="2"/>
  <c r="S482" i="2"/>
  <c r="R482" i="2"/>
  <c r="S481" i="2"/>
  <c r="R481" i="2"/>
  <c r="R480" i="2"/>
  <c r="P479" i="2"/>
  <c r="Q479" i="2"/>
  <c r="R479" i="2"/>
  <c r="P477" i="2"/>
  <c r="P478" i="2"/>
  <c r="Q477" i="2"/>
  <c r="Q478" i="2"/>
  <c r="S478" i="2"/>
  <c r="R478" i="2"/>
  <c r="S477" i="2"/>
  <c r="R477" i="2"/>
  <c r="P476" i="2"/>
  <c r="Q476" i="2"/>
  <c r="R476" i="2"/>
  <c r="P475" i="2"/>
  <c r="Q475" i="2"/>
  <c r="R475" i="2"/>
  <c r="P473" i="2"/>
  <c r="P474" i="2"/>
  <c r="Q473" i="2"/>
  <c r="Q474" i="2"/>
  <c r="S474" i="2"/>
  <c r="R474" i="2"/>
  <c r="S473" i="2"/>
  <c r="R473" i="2"/>
  <c r="P472" i="2"/>
  <c r="Q472" i="2"/>
  <c r="R472" i="2"/>
  <c r="P471" i="2"/>
  <c r="Q471" i="2"/>
  <c r="R471" i="2"/>
  <c r="P469" i="2"/>
  <c r="P470" i="2"/>
  <c r="Q469" i="2"/>
  <c r="Q470" i="2"/>
  <c r="S470" i="2"/>
  <c r="R470" i="2"/>
  <c r="S469" i="2"/>
  <c r="R469" i="2"/>
  <c r="P468" i="2"/>
  <c r="Q468" i="2"/>
  <c r="R468" i="2"/>
  <c r="P467" i="2"/>
  <c r="Q467" i="2"/>
  <c r="R467" i="2"/>
  <c r="P465" i="2"/>
  <c r="P466" i="2"/>
  <c r="Q465" i="2"/>
  <c r="Q466" i="2"/>
  <c r="S466" i="2"/>
  <c r="R466" i="2"/>
  <c r="S465" i="2"/>
  <c r="R465" i="2"/>
  <c r="P464" i="2"/>
  <c r="Q464" i="2"/>
  <c r="R464" i="2"/>
  <c r="P463" i="2"/>
  <c r="Q463" i="2"/>
  <c r="R463" i="2"/>
  <c r="P461" i="2"/>
  <c r="P462" i="2"/>
  <c r="Q461" i="2"/>
  <c r="Q462" i="2"/>
  <c r="S462" i="2"/>
  <c r="R462" i="2"/>
  <c r="S461" i="2"/>
  <c r="R461" i="2"/>
  <c r="P460" i="2"/>
  <c r="Q460" i="2"/>
  <c r="R460" i="2"/>
  <c r="Q459" i="2"/>
  <c r="R459" i="2"/>
  <c r="P457" i="2"/>
  <c r="P458" i="2"/>
  <c r="Q457" i="2"/>
  <c r="Q458" i="2"/>
  <c r="S458" i="2"/>
  <c r="R458" i="2"/>
  <c r="S457" i="2"/>
  <c r="R457" i="2"/>
  <c r="P456" i="2"/>
  <c r="Q456" i="2"/>
  <c r="R456" i="2"/>
  <c r="P455" i="2"/>
  <c r="Q455" i="2"/>
  <c r="R455" i="2"/>
  <c r="P453" i="2"/>
  <c r="P454" i="2"/>
  <c r="Q453" i="2"/>
  <c r="Q454" i="2"/>
  <c r="S454" i="2"/>
  <c r="R454" i="2"/>
  <c r="S453" i="2"/>
  <c r="R453" i="2"/>
  <c r="P452" i="2"/>
  <c r="Q452" i="2"/>
  <c r="R452" i="2"/>
  <c r="P451" i="2"/>
  <c r="Q451" i="2"/>
  <c r="R451" i="2"/>
  <c r="P449" i="2"/>
  <c r="P450" i="2"/>
  <c r="Q449" i="2"/>
  <c r="Q450" i="2"/>
  <c r="S450" i="2"/>
  <c r="R450" i="2"/>
  <c r="S449" i="2"/>
  <c r="R449" i="2"/>
  <c r="R448" i="2"/>
  <c r="P447" i="2"/>
  <c r="Q447" i="2"/>
  <c r="R447" i="2"/>
  <c r="P445" i="2"/>
  <c r="P446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P443" i="2"/>
  <c r="P441" i="2"/>
  <c r="P442" i="2"/>
  <c r="S442" i="2"/>
  <c r="S406" i="2"/>
  <c r="S390" i="2"/>
  <c r="P444" i="2"/>
  <c r="R444" i="2"/>
  <c r="R443" i="2"/>
  <c r="R442" i="2"/>
  <c r="S441" i="2"/>
  <c r="R441" i="2"/>
  <c r="P440" i="2"/>
  <c r="Q440" i="2"/>
  <c r="R440" i="2"/>
  <c r="P439" i="2"/>
  <c r="Q439" i="2"/>
  <c r="R439" i="2"/>
  <c r="P437" i="2"/>
  <c r="P438" i="2"/>
  <c r="Q437" i="2"/>
  <c r="Q438" i="2"/>
  <c r="S438" i="2"/>
  <c r="R438" i="2"/>
  <c r="S437" i="2"/>
  <c r="R437" i="2"/>
  <c r="P436" i="2"/>
  <c r="Q436" i="2"/>
  <c r="R436" i="2"/>
  <c r="P435" i="2"/>
  <c r="Q435" i="2"/>
  <c r="R435" i="2"/>
  <c r="P433" i="2"/>
  <c r="P434" i="2"/>
  <c r="Q433" i="2"/>
  <c r="Q434" i="2"/>
  <c r="S434" i="2"/>
  <c r="R434" i="2"/>
  <c r="S433" i="2"/>
  <c r="R433" i="2"/>
  <c r="P432" i="2"/>
  <c r="Q432" i="2"/>
  <c r="R432" i="2"/>
  <c r="P431" i="2"/>
  <c r="Q431" i="2"/>
  <c r="R431" i="2"/>
  <c r="P429" i="2"/>
  <c r="P430" i="2"/>
  <c r="Q429" i="2"/>
  <c r="Q430" i="2"/>
  <c r="S430" i="2"/>
  <c r="R430" i="2"/>
  <c r="S429" i="2"/>
  <c r="R429" i="2"/>
  <c r="P428" i="2"/>
  <c r="Q428" i="2"/>
  <c r="R428" i="2"/>
  <c r="P427" i="2"/>
  <c r="Q427" i="2"/>
  <c r="R427" i="2"/>
  <c r="P425" i="2"/>
  <c r="P426" i="2"/>
  <c r="Q425" i="2"/>
  <c r="Q426" i="2"/>
  <c r="S426" i="2"/>
  <c r="R426" i="2"/>
  <c r="S425" i="2"/>
  <c r="R425" i="2"/>
  <c r="P424" i="2"/>
  <c r="Q424" i="2"/>
  <c r="R424" i="2"/>
  <c r="P423" i="2"/>
  <c r="Q423" i="2"/>
  <c r="R423" i="2"/>
  <c r="P421" i="2"/>
  <c r="P422" i="2"/>
  <c r="Q421" i="2"/>
  <c r="Q422" i="2"/>
  <c r="S422" i="2"/>
  <c r="R422" i="2"/>
  <c r="S421" i="2"/>
  <c r="R421" i="2"/>
  <c r="P420" i="2"/>
  <c r="Q420" i="2"/>
  <c r="R420" i="2"/>
  <c r="P419" i="2"/>
  <c r="Q419" i="2"/>
  <c r="R419" i="2"/>
  <c r="P417" i="2"/>
  <c r="P418" i="2"/>
  <c r="Q417" i="2"/>
  <c r="Q418" i="2"/>
  <c r="S418" i="2"/>
  <c r="R418" i="2"/>
  <c r="S417" i="2"/>
  <c r="R417" i="2"/>
  <c r="P416" i="2"/>
  <c r="Q416" i="2"/>
  <c r="R416" i="2"/>
  <c r="P415" i="2"/>
  <c r="Q415" i="2"/>
  <c r="R415" i="2"/>
  <c r="P413" i="2"/>
  <c r="P414" i="2"/>
  <c r="Q413" i="2"/>
  <c r="Q414" i="2"/>
  <c r="S414" i="2"/>
  <c r="R414" i="2"/>
  <c r="S413" i="2"/>
  <c r="R413" i="2"/>
  <c r="P412" i="2"/>
  <c r="Q412" i="2"/>
  <c r="R412" i="2"/>
  <c r="P411" i="2"/>
  <c r="Q411" i="2"/>
  <c r="R411" i="2"/>
  <c r="P409" i="2"/>
  <c r="P410" i="2"/>
  <c r="Q409" i="2"/>
  <c r="Q410" i="2"/>
  <c r="S410" i="2"/>
  <c r="R410" i="2"/>
  <c r="S409" i="2"/>
  <c r="R409" i="2"/>
  <c r="P408" i="2"/>
  <c r="Q408" i="2"/>
  <c r="R408" i="2"/>
  <c r="P407" i="2"/>
  <c r="Q407" i="2"/>
  <c r="R407" i="2"/>
  <c r="P405" i="2"/>
  <c r="P406" i="2"/>
  <c r="Q405" i="2"/>
  <c r="Q406" i="2"/>
  <c r="R406" i="2"/>
  <c r="S405" i="2"/>
  <c r="R405" i="2"/>
  <c r="P404" i="2"/>
  <c r="Q404" i="2"/>
  <c r="R404" i="2"/>
  <c r="P403" i="2"/>
  <c r="Q403" i="2"/>
  <c r="R403" i="2"/>
  <c r="P401" i="2"/>
  <c r="P402" i="2"/>
  <c r="Q401" i="2"/>
  <c r="Q402" i="2"/>
  <c r="S402" i="2"/>
  <c r="R402" i="2"/>
  <c r="S401" i="2"/>
  <c r="R401" i="2"/>
  <c r="P400" i="2"/>
  <c r="Q400" i="2"/>
  <c r="R400" i="2"/>
  <c r="P399" i="2"/>
  <c r="Q399" i="2"/>
  <c r="R399" i="2"/>
  <c r="P397" i="2"/>
  <c r="P398" i="2"/>
  <c r="Q397" i="2"/>
  <c r="Q398" i="2"/>
  <c r="S398" i="2"/>
  <c r="R398" i="2"/>
  <c r="S397" i="2"/>
  <c r="R397" i="2"/>
  <c r="P396" i="2"/>
  <c r="Q396" i="2"/>
  <c r="R396" i="2"/>
  <c r="P395" i="2"/>
  <c r="Q395" i="2"/>
  <c r="R395" i="2"/>
  <c r="P393" i="2"/>
  <c r="P394" i="2"/>
  <c r="Q393" i="2"/>
  <c r="Q394" i="2"/>
  <c r="S394" i="2"/>
  <c r="R394" i="2"/>
  <c r="S393" i="2"/>
  <c r="R393" i="2"/>
  <c r="P392" i="2"/>
  <c r="Q392" i="2"/>
  <c r="R392" i="2"/>
  <c r="P391" i="2"/>
  <c r="Q391" i="2"/>
  <c r="R391" i="2"/>
  <c r="P389" i="2"/>
  <c r="P390" i="2"/>
  <c r="Q389" i="2"/>
  <c r="Q390" i="2"/>
  <c r="R390" i="2"/>
  <c r="S389" i="2"/>
  <c r="R389" i="2"/>
  <c r="P388" i="2"/>
  <c r="Q388" i="2"/>
  <c r="R388" i="2"/>
  <c r="P387" i="2"/>
  <c r="Q387" i="2"/>
  <c r="R387" i="2"/>
  <c r="P385" i="2"/>
  <c r="P386" i="2"/>
  <c r="Q385" i="2"/>
  <c r="Q386" i="2"/>
  <c r="S386" i="2"/>
  <c r="R386" i="2"/>
  <c r="S385" i="2"/>
  <c r="R385" i="2"/>
  <c r="P384" i="2"/>
  <c r="R384" i="2"/>
  <c r="Q383" i="2"/>
  <c r="R383" i="2"/>
  <c r="Q382" i="2"/>
  <c r="S382" i="2"/>
  <c r="R382" i="2"/>
  <c r="S381" i="2"/>
  <c r="R381" i="2"/>
  <c r="L91" i="4"/>
  <c r="P333" i="2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4" i="4"/>
  <c r="C5" i="4"/>
  <c r="K3" i="4"/>
  <c r="C2" i="4"/>
  <c r="C3" i="4"/>
  <c r="K2" i="4"/>
  <c r="H89" i="4"/>
  <c r="P277" i="2"/>
  <c r="P281" i="2"/>
  <c r="P373" i="2"/>
  <c r="P363" i="2"/>
  <c r="P362" i="2"/>
  <c r="P361" i="2"/>
  <c r="P360" i="2"/>
  <c r="P358" i="2"/>
  <c r="P345" i="2"/>
  <c r="Q345" i="2"/>
  <c r="P380" i="2"/>
  <c r="Q380" i="2"/>
  <c r="R380" i="2"/>
  <c r="P379" i="2"/>
  <c r="Q379" i="2"/>
  <c r="R379" i="2"/>
  <c r="P377" i="2"/>
  <c r="P378" i="2"/>
  <c r="Q377" i="2"/>
  <c r="Q378" i="2"/>
  <c r="S378" i="2"/>
  <c r="R378" i="2"/>
  <c r="S377" i="2"/>
  <c r="R377" i="2"/>
  <c r="P376" i="2"/>
  <c r="Q376" i="2"/>
  <c r="R376" i="2"/>
  <c r="P375" i="2"/>
  <c r="Q375" i="2"/>
  <c r="R375" i="2"/>
  <c r="P374" i="2"/>
  <c r="Q373" i="2"/>
  <c r="Q374" i="2"/>
  <c r="S374" i="2"/>
  <c r="R374" i="2"/>
  <c r="S373" i="2"/>
  <c r="R373" i="2"/>
  <c r="P372" i="2"/>
  <c r="Q372" i="2"/>
  <c r="R372" i="2"/>
  <c r="P371" i="2"/>
  <c r="Q371" i="2"/>
  <c r="R371" i="2"/>
  <c r="P369" i="2"/>
  <c r="P370" i="2"/>
  <c r="Q369" i="2"/>
  <c r="Q370" i="2"/>
  <c r="S370" i="2"/>
  <c r="R370" i="2"/>
  <c r="S369" i="2"/>
  <c r="R369" i="2"/>
  <c r="P368" i="2"/>
  <c r="Q368" i="2"/>
  <c r="R368" i="2"/>
  <c r="P367" i="2"/>
  <c r="Q367" i="2"/>
  <c r="R367" i="2"/>
  <c r="P365" i="2"/>
  <c r="P366" i="2"/>
  <c r="Q365" i="2"/>
  <c r="Q366" i="2"/>
  <c r="S366" i="2"/>
  <c r="R366" i="2"/>
  <c r="S365" i="2"/>
  <c r="R365" i="2"/>
  <c r="P364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P357" i="2"/>
  <c r="Q357" i="2"/>
  <c r="S358" i="2"/>
  <c r="R358" i="2"/>
  <c r="S357" i="2"/>
  <c r="R357" i="2"/>
  <c r="P356" i="2"/>
  <c r="Q356" i="2"/>
  <c r="R356" i="2"/>
  <c r="P355" i="2"/>
  <c r="Q355" i="2"/>
  <c r="R355" i="2"/>
  <c r="P353" i="2"/>
  <c r="P354" i="2"/>
  <c r="Q353" i="2"/>
  <c r="Q354" i="2"/>
  <c r="S354" i="2"/>
  <c r="R354" i="2"/>
  <c r="S353" i="2"/>
  <c r="R353" i="2"/>
  <c r="P352" i="2"/>
  <c r="Q352" i="2"/>
  <c r="R352" i="2"/>
  <c r="P351" i="2"/>
  <c r="Q351" i="2"/>
  <c r="R351" i="2"/>
  <c r="P349" i="2"/>
  <c r="P350" i="2"/>
  <c r="Q349" i="2"/>
  <c r="Q350" i="2"/>
  <c r="S350" i="2"/>
  <c r="R350" i="2"/>
  <c r="S349" i="2"/>
  <c r="R349" i="2"/>
  <c r="P348" i="2"/>
  <c r="Q348" i="2"/>
  <c r="R348" i="2"/>
  <c r="P347" i="2"/>
  <c r="Q347" i="2"/>
  <c r="R347" i="2"/>
  <c r="P346" i="2"/>
  <c r="Q346" i="2"/>
  <c r="S346" i="2"/>
  <c r="R346" i="2"/>
  <c r="S345" i="2"/>
  <c r="R345" i="2"/>
  <c r="P344" i="2"/>
  <c r="Q344" i="2"/>
  <c r="R344" i="2"/>
  <c r="P343" i="2"/>
  <c r="Q343" i="2"/>
  <c r="R343" i="2"/>
  <c r="P341" i="2"/>
  <c r="P342" i="2"/>
  <c r="Q341" i="2"/>
  <c r="Q342" i="2"/>
  <c r="S342" i="2"/>
  <c r="R342" i="2"/>
  <c r="S341" i="2"/>
  <c r="R341" i="2"/>
  <c r="P340" i="2"/>
  <c r="Q340" i="2"/>
  <c r="R340" i="2"/>
  <c r="P339" i="2"/>
  <c r="Q339" i="2"/>
  <c r="R339" i="2"/>
  <c r="P337" i="2"/>
  <c r="P338" i="2"/>
  <c r="Q337" i="2"/>
  <c r="Q338" i="2"/>
  <c r="S338" i="2"/>
  <c r="R338" i="2"/>
  <c r="S337" i="2"/>
  <c r="R337" i="2"/>
  <c r="P336" i="2"/>
  <c r="Q336" i="2"/>
  <c r="R336" i="2"/>
  <c r="P335" i="2"/>
  <c r="Q335" i="2"/>
  <c r="R335" i="2"/>
  <c r="P334" i="2"/>
  <c r="Q333" i="2"/>
  <c r="Q334" i="2"/>
  <c r="S334" i="2"/>
  <c r="R334" i="2"/>
  <c r="S333" i="2"/>
  <c r="R333" i="2"/>
  <c r="P332" i="2"/>
  <c r="Q332" i="2"/>
  <c r="R332" i="2"/>
  <c r="P331" i="2"/>
  <c r="Q331" i="2"/>
  <c r="R331" i="2"/>
  <c r="P329" i="2"/>
  <c r="P330" i="2"/>
  <c r="Q329" i="2"/>
  <c r="Q330" i="2"/>
  <c r="S330" i="2"/>
  <c r="R330" i="2"/>
  <c r="S329" i="2"/>
  <c r="R329" i="2"/>
  <c r="P328" i="2"/>
  <c r="Q328" i="2"/>
  <c r="R328" i="2"/>
  <c r="P327" i="2"/>
  <c r="Q327" i="2"/>
  <c r="R327" i="2"/>
  <c r="P325" i="2"/>
  <c r="P326" i="2"/>
  <c r="Q325" i="2"/>
  <c r="Q326" i="2"/>
  <c r="S326" i="2"/>
  <c r="R326" i="2"/>
  <c r="S325" i="2"/>
  <c r="R325" i="2"/>
  <c r="P324" i="2"/>
  <c r="Q324" i="2"/>
  <c r="R324" i="2"/>
  <c r="P323" i="2"/>
  <c r="Q323" i="2"/>
  <c r="R323" i="2"/>
  <c r="P321" i="2"/>
  <c r="P322" i="2"/>
  <c r="Q321" i="2"/>
  <c r="Q322" i="2"/>
  <c r="S322" i="2"/>
  <c r="R322" i="2"/>
  <c r="S321" i="2"/>
  <c r="R321" i="2"/>
  <c r="P320" i="2"/>
  <c r="Q320" i="2"/>
  <c r="R320" i="2"/>
  <c r="P319" i="2"/>
  <c r="Q319" i="2"/>
  <c r="R319" i="2"/>
  <c r="P317" i="2"/>
  <c r="P318" i="2"/>
  <c r="Q317" i="2"/>
  <c r="Q318" i="2"/>
  <c r="S318" i="2"/>
  <c r="R318" i="2"/>
  <c r="S317" i="2"/>
  <c r="R317" i="2"/>
  <c r="O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P278" i="2"/>
  <c r="F65" i="4"/>
  <c r="F47" i="4"/>
  <c r="F103" i="4"/>
  <c r="F82" i="4"/>
  <c r="P282" i="2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54" i="4"/>
  <c r="C92" i="4"/>
  <c r="L71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S314" i="2"/>
  <c r="S313" i="2"/>
  <c r="S310" i="2"/>
  <c r="S309" i="2"/>
  <c r="S306" i="2"/>
  <c r="S305" i="2"/>
  <c r="S302" i="2"/>
  <c r="S301" i="2"/>
  <c r="S298" i="2"/>
  <c r="S297" i="2"/>
  <c r="S294" i="2"/>
  <c r="S293" i="2"/>
  <c r="S290" i="2"/>
  <c r="S289" i="2"/>
  <c r="S286" i="2"/>
  <c r="S285" i="2"/>
  <c r="Q281" i="2"/>
  <c r="Q282" i="2"/>
  <c r="S282" i="2"/>
  <c r="S281" i="2"/>
  <c r="Q277" i="2"/>
  <c r="Q278" i="2"/>
  <c r="S278" i="2"/>
  <c r="S277" i="2"/>
  <c r="S274" i="2"/>
  <c r="S273" i="2"/>
  <c r="S270" i="2"/>
  <c r="S269" i="2"/>
  <c r="S266" i="2"/>
  <c r="S265" i="2"/>
  <c r="S262" i="2"/>
  <c r="S261" i="2"/>
  <c r="S258" i="2"/>
  <c r="S257" i="2"/>
  <c r="S254" i="2"/>
  <c r="S253" i="2"/>
  <c r="S250" i="2"/>
  <c r="S249" i="2"/>
  <c r="S246" i="2"/>
  <c r="S245" i="2"/>
  <c r="S242" i="2"/>
  <c r="S241" i="2"/>
  <c r="S238" i="2"/>
  <c r="S237" i="2"/>
  <c r="S234" i="2"/>
  <c r="S233" i="2"/>
  <c r="S230" i="2"/>
  <c r="S229" i="2"/>
  <c r="S226" i="2"/>
  <c r="S225" i="2"/>
  <c r="S222" i="2"/>
  <c r="S221" i="2"/>
  <c r="S218" i="2"/>
  <c r="S217" i="2"/>
  <c r="S214" i="2"/>
  <c r="S213" i="2"/>
  <c r="S210" i="2"/>
  <c r="S209" i="2"/>
  <c r="S206" i="2"/>
  <c r="S205" i="2"/>
  <c r="S202" i="2"/>
  <c r="S201" i="2"/>
  <c r="S198" i="2"/>
  <c r="S197" i="2"/>
  <c r="S194" i="2"/>
  <c r="S193" i="2"/>
  <c r="S159" i="2"/>
  <c r="S160" i="2"/>
  <c r="S190" i="2"/>
  <c r="S189" i="2"/>
  <c r="S186" i="2"/>
  <c r="S185" i="2"/>
  <c r="S182" i="2"/>
  <c r="S181" i="2"/>
  <c r="S178" i="2"/>
  <c r="S177" i="2"/>
  <c r="S174" i="2"/>
  <c r="S173" i="2"/>
  <c r="S170" i="2"/>
  <c r="S169" i="2"/>
  <c r="S166" i="2"/>
  <c r="S165" i="2"/>
  <c r="S162" i="2"/>
  <c r="S161" i="2"/>
  <c r="S156" i="2"/>
  <c r="S155" i="2"/>
  <c r="S152" i="2"/>
  <c r="S151" i="2"/>
  <c r="S148" i="2"/>
  <c r="S147" i="2"/>
  <c r="S144" i="2"/>
  <c r="S143" i="2"/>
  <c r="S140" i="2"/>
  <c r="S139" i="2"/>
  <c r="S136" i="2"/>
  <c r="S135" i="2"/>
  <c r="S132" i="2"/>
  <c r="S131" i="2"/>
  <c r="S129" i="2"/>
  <c r="S128" i="2"/>
  <c r="S126" i="2"/>
  <c r="S125" i="2"/>
  <c r="S123" i="2"/>
  <c r="S122" i="2"/>
  <c r="S120" i="2"/>
  <c r="S119" i="2"/>
  <c r="S117" i="2"/>
  <c r="S116" i="2"/>
  <c r="S114" i="2"/>
  <c r="S113" i="2"/>
  <c r="S108" i="2"/>
  <c r="S107" i="2"/>
  <c r="S105" i="2"/>
  <c r="S104" i="2"/>
  <c r="S102" i="2"/>
  <c r="S101" i="2"/>
  <c r="S99" i="2"/>
  <c r="S98" i="2"/>
  <c r="S96" i="2"/>
  <c r="S95" i="2"/>
  <c r="S93" i="2"/>
  <c r="S92" i="2"/>
  <c r="S90" i="2"/>
  <c r="S89" i="2"/>
  <c r="S87" i="2"/>
  <c r="S86" i="2"/>
  <c r="S84" i="2"/>
  <c r="S110" i="2"/>
  <c r="S83" i="2"/>
  <c r="S51" i="2"/>
  <c r="P316" i="2"/>
  <c r="Q316" i="2"/>
  <c r="R316" i="2"/>
  <c r="P315" i="2"/>
  <c r="Q315" i="2"/>
  <c r="R315" i="2"/>
  <c r="P314" i="2"/>
  <c r="Q314" i="2"/>
  <c r="R314" i="2"/>
  <c r="P313" i="2"/>
  <c r="Q313" i="2"/>
  <c r="R313" i="2"/>
  <c r="P312" i="2"/>
  <c r="Q312" i="2"/>
  <c r="R312" i="2"/>
  <c r="P311" i="2"/>
  <c r="Q311" i="2"/>
  <c r="R311" i="2"/>
  <c r="P310" i="2"/>
  <c r="Q310" i="2"/>
  <c r="R310" i="2"/>
  <c r="P309" i="2"/>
  <c r="Q309" i="2"/>
  <c r="R309" i="2"/>
  <c r="P308" i="2"/>
  <c r="Q308" i="2"/>
  <c r="R308" i="2"/>
  <c r="P307" i="2"/>
  <c r="Q307" i="2"/>
  <c r="R307" i="2"/>
  <c r="P306" i="2"/>
  <c r="Q306" i="2"/>
  <c r="R306" i="2"/>
  <c r="P305" i="2"/>
  <c r="Q305" i="2"/>
  <c r="R305" i="2"/>
  <c r="P304" i="2"/>
  <c r="Q304" i="2"/>
  <c r="R304" i="2"/>
  <c r="P303" i="2"/>
  <c r="Q303" i="2"/>
  <c r="R303" i="2"/>
  <c r="P302" i="2"/>
  <c r="Q302" i="2"/>
  <c r="R302" i="2"/>
  <c r="P301" i="2"/>
  <c r="Q301" i="2"/>
  <c r="R301" i="2"/>
  <c r="P300" i="2"/>
  <c r="Q300" i="2"/>
  <c r="R300" i="2"/>
  <c r="P299" i="2"/>
  <c r="Q299" i="2"/>
  <c r="R299" i="2"/>
  <c r="P298" i="2"/>
  <c r="Q298" i="2"/>
  <c r="R298" i="2"/>
  <c r="P297" i="2"/>
  <c r="Q297" i="2"/>
  <c r="R297" i="2"/>
  <c r="P296" i="2"/>
  <c r="Q296" i="2"/>
  <c r="R296" i="2"/>
  <c r="P295" i="2"/>
  <c r="Q295" i="2"/>
  <c r="R295" i="2"/>
  <c r="P294" i="2"/>
  <c r="Q294" i="2"/>
  <c r="R294" i="2"/>
  <c r="P293" i="2"/>
  <c r="Q293" i="2"/>
  <c r="R293" i="2"/>
  <c r="P292" i="2"/>
  <c r="Q292" i="2"/>
  <c r="R292" i="2"/>
  <c r="P291" i="2"/>
  <c r="Q291" i="2"/>
  <c r="R291" i="2"/>
  <c r="P290" i="2"/>
  <c r="Q290" i="2"/>
  <c r="R290" i="2"/>
  <c r="P289" i="2"/>
  <c r="Q289" i="2"/>
  <c r="R289" i="2"/>
  <c r="P288" i="2"/>
  <c r="Q288" i="2"/>
  <c r="R288" i="2"/>
  <c r="P287" i="2"/>
  <c r="Q287" i="2"/>
  <c r="R287" i="2"/>
  <c r="P286" i="2"/>
  <c r="Q286" i="2"/>
  <c r="R286" i="2"/>
  <c r="P285" i="2"/>
  <c r="Q285" i="2"/>
  <c r="R285" i="2"/>
  <c r="P284" i="2"/>
  <c r="Q284" i="2"/>
  <c r="R284" i="2"/>
  <c r="P283" i="2"/>
  <c r="Q283" i="2"/>
  <c r="R283" i="2"/>
  <c r="R282" i="2"/>
  <c r="R281" i="2"/>
  <c r="P280" i="2"/>
  <c r="Q280" i="2"/>
  <c r="R280" i="2"/>
  <c r="P279" i="2"/>
  <c r="Q279" i="2"/>
  <c r="R279" i="2"/>
  <c r="R278" i="2"/>
  <c r="R277" i="2"/>
  <c r="P276" i="2"/>
  <c r="Q276" i="2"/>
  <c r="R276" i="2"/>
  <c r="P275" i="2"/>
  <c r="Q275" i="2"/>
  <c r="R275" i="2"/>
  <c r="P274" i="2"/>
  <c r="Q274" i="2"/>
  <c r="R274" i="2"/>
  <c r="P273" i="2"/>
  <c r="Q273" i="2"/>
  <c r="R273" i="2"/>
  <c r="P272" i="2"/>
  <c r="Q272" i="2"/>
  <c r="R272" i="2"/>
  <c r="P271" i="2"/>
  <c r="Q271" i="2"/>
  <c r="R271" i="2"/>
  <c r="P270" i="2"/>
  <c r="Q270" i="2"/>
  <c r="R270" i="2"/>
  <c r="P269" i="2"/>
  <c r="Q269" i="2"/>
  <c r="R269" i="2"/>
  <c r="P268" i="2"/>
  <c r="Q268" i="2"/>
  <c r="R268" i="2"/>
  <c r="P267" i="2"/>
  <c r="Q267" i="2"/>
  <c r="R267" i="2"/>
  <c r="P266" i="2"/>
  <c r="Q266" i="2"/>
  <c r="R266" i="2"/>
  <c r="P265" i="2"/>
  <c r="Q265" i="2"/>
  <c r="R265" i="2"/>
  <c r="P264" i="2"/>
  <c r="Q264" i="2"/>
  <c r="R264" i="2"/>
  <c r="P263" i="2"/>
  <c r="Q263" i="2"/>
  <c r="R263" i="2"/>
  <c r="P262" i="2"/>
  <c r="Q262" i="2"/>
  <c r="R262" i="2"/>
  <c r="P261" i="2"/>
  <c r="Q261" i="2"/>
  <c r="R261" i="2"/>
  <c r="P260" i="2"/>
  <c r="Q260" i="2"/>
  <c r="R260" i="2"/>
  <c r="P259" i="2"/>
  <c r="Q259" i="2"/>
  <c r="R259" i="2"/>
  <c r="P258" i="2"/>
  <c r="Q258" i="2"/>
  <c r="R258" i="2"/>
  <c r="P257" i="2"/>
  <c r="Q257" i="2"/>
  <c r="R257" i="2"/>
  <c r="P256" i="2"/>
  <c r="Q256" i="2"/>
  <c r="R256" i="2"/>
  <c r="P255" i="2"/>
  <c r="Q255" i="2"/>
  <c r="R255" i="2"/>
  <c r="P254" i="2"/>
  <c r="Q254" i="2"/>
  <c r="R254" i="2"/>
  <c r="P253" i="2"/>
  <c r="Q253" i="2"/>
  <c r="R253" i="2"/>
  <c r="P252" i="2"/>
  <c r="Q252" i="2"/>
  <c r="R252" i="2"/>
  <c r="P251" i="2"/>
  <c r="Q251" i="2"/>
  <c r="R251" i="2"/>
  <c r="P250" i="2"/>
  <c r="Q250" i="2"/>
  <c r="R250" i="2"/>
  <c r="P249" i="2"/>
  <c r="Q249" i="2"/>
  <c r="R249" i="2"/>
  <c r="P248" i="2"/>
  <c r="Q248" i="2"/>
  <c r="R248" i="2"/>
  <c r="P247" i="2"/>
  <c r="Q247" i="2"/>
  <c r="R247" i="2"/>
  <c r="P246" i="2"/>
  <c r="Q246" i="2"/>
  <c r="R246" i="2"/>
  <c r="P245" i="2"/>
  <c r="Q245" i="2"/>
  <c r="R245" i="2"/>
  <c r="P244" i="2"/>
  <c r="Q244" i="2"/>
  <c r="R244" i="2"/>
  <c r="P243" i="2"/>
  <c r="Q243" i="2"/>
  <c r="R243" i="2"/>
  <c r="P242" i="2"/>
  <c r="Q242" i="2"/>
  <c r="R242" i="2"/>
  <c r="P241" i="2"/>
  <c r="Q241" i="2"/>
  <c r="R241" i="2"/>
  <c r="P240" i="2"/>
  <c r="Q240" i="2"/>
  <c r="R240" i="2"/>
  <c r="P239" i="2"/>
  <c r="Q239" i="2"/>
  <c r="R239" i="2"/>
  <c r="P238" i="2"/>
  <c r="Q238" i="2"/>
  <c r="R238" i="2"/>
  <c r="P237" i="2"/>
  <c r="Q237" i="2"/>
  <c r="R237" i="2"/>
  <c r="P236" i="2"/>
  <c r="Q236" i="2"/>
  <c r="R236" i="2"/>
  <c r="P235" i="2"/>
  <c r="Q235" i="2"/>
  <c r="R235" i="2"/>
  <c r="P234" i="2"/>
  <c r="Q234" i="2"/>
  <c r="R234" i="2"/>
  <c r="P233" i="2"/>
  <c r="Q233" i="2"/>
  <c r="R233" i="2"/>
  <c r="P232" i="2"/>
  <c r="Q232" i="2"/>
  <c r="R232" i="2"/>
  <c r="P231" i="2"/>
  <c r="Q231" i="2"/>
  <c r="R231" i="2"/>
  <c r="P230" i="2"/>
  <c r="Q230" i="2"/>
  <c r="R230" i="2"/>
  <c r="P229" i="2"/>
  <c r="Q229" i="2"/>
  <c r="R229" i="2"/>
  <c r="P228" i="2"/>
  <c r="Q228" i="2"/>
  <c r="R228" i="2"/>
  <c r="P227" i="2"/>
  <c r="Q227" i="2"/>
  <c r="R227" i="2"/>
  <c r="P226" i="2"/>
  <c r="Q226" i="2"/>
  <c r="R226" i="2"/>
  <c r="P225" i="2"/>
  <c r="Q225" i="2"/>
  <c r="R225" i="2"/>
  <c r="P224" i="2"/>
  <c r="Q224" i="2"/>
  <c r="R224" i="2"/>
  <c r="P223" i="2"/>
  <c r="Q223" i="2"/>
  <c r="R223" i="2"/>
  <c r="P222" i="2"/>
  <c r="Q222" i="2"/>
  <c r="R222" i="2"/>
  <c r="P221" i="2"/>
  <c r="Q221" i="2"/>
  <c r="R221" i="2"/>
  <c r="P220" i="2"/>
  <c r="Q220" i="2"/>
  <c r="R220" i="2"/>
  <c r="P219" i="2"/>
  <c r="Q219" i="2"/>
  <c r="R219" i="2"/>
  <c r="P218" i="2"/>
  <c r="Q218" i="2"/>
  <c r="R218" i="2"/>
  <c r="P217" i="2"/>
  <c r="Q217" i="2"/>
  <c r="R217" i="2"/>
  <c r="P216" i="2"/>
  <c r="Q216" i="2"/>
  <c r="R216" i="2"/>
  <c r="P215" i="2"/>
  <c r="Q215" i="2"/>
  <c r="R215" i="2"/>
  <c r="P214" i="2"/>
  <c r="Q214" i="2"/>
  <c r="R214" i="2"/>
  <c r="P213" i="2"/>
  <c r="Q213" i="2"/>
  <c r="R213" i="2"/>
  <c r="P212" i="2"/>
  <c r="Q212" i="2"/>
  <c r="R212" i="2"/>
  <c r="P211" i="2"/>
  <c r="Q211" i="2"/>
  <c r="R211" i="2"/>
  <c r="P210" i="2"/>
  <c r="Q210" i="2"/>
  <c r="R210" i="2"/>
  <c r="P209" i="2"/>
  <c r="Q209" i="2"/>
  <c r="R209" i="2"/>
  <c r="P208" i="2"/>
  <c r="Q208" i="2"/>
  <c r="R208" i="2"/>
  <c r="P207" i="2"/>
  <c r="Q207" i="2"/>
  <c r="R207" i="2"/>
  <c r="P206" i="2"/>
  <c r="Q206" i="2"/>
  <c r="R206" i="2"/>
  <c r="P205" i="2"/>
  <c r="Q205" i="2"/>
  <c r="R205" i="2"/>
  <c r="P204" i="2"/>
  <c r="Q204" i="2"/>
  <c r="R204" i="2"/>
  <c r="P203" i="2"/>
  <c r="Q203" i="2"/>
  <c r="R203" i="2"/>
  <c r="P202" i="2"/>
  <c r="Q202" i="2"/>
  <c r="R202" i="2"/>
  <c r="P201" i="2"/>
  <c r="Q201" i="2"/>
  <c r="R201" i="2"/>
  <c r="P200" i="2"/>
  <c r="Q200" i="2"/>
  <c r="R200" i="2"/>
  <c r="P199" i="2"/>
  <c r="Q199" i="2"/>
  <c r="R199" i="2"/>
  <c r="P198" i="2"/>
  <c r="Q198" i="2"/>
  <c r="R198" i="2"/>
  <c r="P197" i="2"/>
  <c r="Q197" i="2"/>
  <c r="R197" i="2"/>
  <c r="P196" i="2"/>
  <c r="Q196" i="2"/>
  <c r="R196" i="2"/>
  <c r="P195" i="2"/>
  <c r="Q195" i="2"/>
  <c r="R195" i="2"/>
  <c r="P194" i="2"/>
  <c r="Q194" i="2"/>
  <c r="R194" i="2"/>
  <c r="P193" i="2"/>
  <c r="Q193" i="2"/>
  <c r="R193" i="2"/>
  <c r="P192" i="2"/>
  <c r="Q192" i="2"/>
  <c r="R192" i="2"/>
  <c r="P191" i="2"/>
  <c r="Q191" i="2"/>
  <c r="R191" i="2"/>
  <c r="P190" i="2"/>
  <c r="Q190" i="2"/>
  <c r="R190" i="2"/>
  <c r="P189" i="2"/>
  <c r="Q189" i="2"/>
  <c r="R189" i="2"/>
  <c r="P188" i="2"/>
  <c r="Q188" i="2"/>
  <c r="R188" i="2"/>
  <c r="P187" i="2"/>
  <c r="Q187" i="2"/>
  <c r="R187" i="2"/>
  <c r="P186" i="2"/>
  <c r="Q186" i="2"/>
  <c r="R186" i="2"/>
  <c r="P185" i="2"/>
  <c r="Q185" i="2"/>
  <c r="R185" i="2"/>
  <c r="P184" i="2"/>
  <c r="Q184" i="2"/>
  <c r="R184" i="2"/>
  <c r="P183" i="2"/>
  <c r="Q183" i="2"/>
  <c r="R183" i="2"/>
  <c r="P182" i="2"/>
  <c r="Q182" i="2"/>
  <c r="R182" i="2"/>
  <c r="P181" i="2"/>
  <c r="Q181" i="2"/>
  <c r="R181" i="2"/>
  <c r="P180" i="2"/>
  <c r="Q180" i="2"/>
  <c r="R180" i="2"/>
  <c r="P179" i="2"/>
  <c r="Q179" i="2"/>
  <c r="R179" i="2"/>
  <c r="P178" i="2"/>
  <c r="Q178" i="2"/>
  <c r="R178" i="2"/>
  <c r="P177" i="2"/>
  <c r="Q177" i="2"/>
  <c r="R177" i="2"/>
  <c r="P176" i="2"/>
  <c r="Q176" i="2"/>
  <c r="R176" i="2"/>
  <c r="P175" i="2"/>
  <c r="Q175" i="2"/>
  <c r="R175" i="2"/>
  <c r="P174" i="2"/>
  <c r="Q174" i="2"/>
  <c r="R174" i="2"/>
  <c r="P173" i="2"/>
  <c r="Q173" i="2"/>
  <c r="R173" i="2"/>
  <c r="P172" i="2"/>
  <c r="Q172" i="2"/>
  <c r="R172" i="2"/>
  <c r="P171" i="2"/>
  <c r="Q171" i="2"/>
  <c r="R171" i="2"/>
  <c r="P170" i="2"/>
  <c r="Q170" i="2"/>
  <c r="R170" i="2"/>
  <c r="P169" i="2"/>
  <c r="Q169" i="2"/>
  <c r="R169" i="2"/>
  <c r="P168" i="2"/>
  <c r="Q168" i="2"/>
  <c r="R168" i="2"/>
  <c r="P167" i="2"/>
  <c r="Q167" i="2"/>
  <c r="R167" i="2"/>
  <c r="P166" i="2"/>
  <c r="Q166" i="2"/>
  <c r="R166" i="2"/>
  <c r="P165" i="2"/>
  <c r="Q165" i="2"/>
  <c r="R165" i="2"/>
  <c r="P164" i="2"/>
  <c r="Q164" i="2"/>
  <c r="R164" i="2"/>
  <c r="P163" i="2"/>
  <c r="Q163" i="2"/>
  <c r="R163" i="2"/>
  <c r="P162" i="2"/>
  <c r="Q162" i="2"/>
  <c r="R162" i="2"/>
  <c r="P161" i="2"/>
  <c r="Q161" i="2"/>
  <c r="R161" i="2"/>
  <c r="P160" i="2"/>
  <c r="Q160" i="2"/>
  <c r="R160" i="2"/>
  <c r="P159" i="2"/>
  <c r="Q159" i="2"/>
  <c r="R159" i="2"/>
  <c r="P158" i="2"/>
  <c r="Q158" i="2"/>
  <c r="R158" i="2"/>
  <c r="P157" i="2"/>
  <c r="Q157" i="2"/>
  <c r="R157" i="2"/>
  <c r="P156" i="2"/>
  <c r="Q156" i="2"/>
  <c r="R156" i="2"/>
  <c r="P155" i="2"/>
  <c r="Q155" i="2"/>
  <c r="R155" i="2"/>
  <c r="P154" i="2"/>
  <c r="Q154" i="2"/>
  <c r="R154" i="2"/>
  <c r="P153" i="2"/>
  <c r="Q153" i="2"/>
  <c r="R153" i="2"/>
  <c r="P152" i="2"/>
  <c r="Q152" i="2"/>
  <c r="R152" i="2"/>
  <c r="P151" i="2"/>
  <c r="Q151" i="2"/>
  <c r="R151" i="2"/>
  <c r="P150" i="2"/>
  <c r="Q150" i="2"/>
  <c r="R150" i="2"/>
  <c r="P149" i="2"/>
  <c r="Q149" i="2"/>
  <c r="R149" i="2"/>
  <c r="P148" i="2"/>
  <c r="Q148" i="2"/>
  <c r="R148" i="2"/>
  <c r="P147" i="2"/>
  <c r="Q147" i="2"/>
  <c r="R147" i="2"/>
  <c r="P146" i="2"/>
  <c r="Q146" i="2"/>
  <c r="R146" i="2"/>
  <c r="P145" i="2"/>
  <c r="Q145" i="2"/>
  <c r="R145" i="2"/>
  <c r="P144" i="2"/>
  <c r="Q144" i="2"/>
  <c r="R144" i="2"/>
  <c r="P143" i="2"/>
  <c r="Q143" i="2"/>
  <c r="R143" i="2"/>
  <c r="P142" i="2"/>
  <c r="Q142" i="2"/>
  <c r="R142" i="2"/>
  <c r="P141" i="2"/>
  <c r="Q141" i="2"/>
  <c r="R141" i="2"/>
  <c r="P140" i="2"/>
  <c r="Q140" i="2"/>
  <c r="R140" i="2"/>
  <c r="P139" i="2"/>
  <c r="Q139" i="2"/>
  <c r="R139" i="2"/>
  <c r="P138" i="2"/>
  <c r="Q138" i="2"/>
  <c r="R138" i="2"/>
  <c r="P137" i="2"/>
  <c r="Q137" i="2"/>
  <c r="R137" i="2"/>
  <c r="P136" i="2"/>
  <c r="Q136" i="2"/>
  <c r="R136" i="2"/>
  <c r="P135" i="2"/>
  <c r="Q135" i="2"/>
  <c r="R135" i="2"/>
  <c r="P134" i="2"/>
  <c r="Q134" i="2"/>
  <c r="R134" i="2"/>
  <c r="P133" i="2"/>
  <c r="Q133" i="2"/>
  <c r="R133" i="2"/>
  <c r="P132" i="2"/>
  <c r="Q132" i="2"/>
  <c r="R132" i="2"/>
  <c r="P131" i="2"/>
  <c r="Q131" i="2"/>
  <c r="R131" i="2"/>
  <c r="P130" i="2"/>
  <c r="Q130" i="2"/>
  <c r="R130" i="2"/>
  <c r="P129" i="2"/>
  <c r="Q129" i="2"/>
  <c r="R129" i="2"/>
  <c r="P128" i="2"/>
  <c r="Q128" i="2"/>
  <c r="R128" i="2"/>
  <c r="P127" i="2"/>
  <c r="Q127" i="2"/>
  <c r="R127" i="2"/>
  <c r="P126" i="2"/>
  <c r="Q126" i="2"/>
  <c r="R126" i="2"/>
  <c r="P125" i="2"/>
  <c r="Q125" i="2"/>
  <c r="R125" i="2"/>
  <c r="P124" i="2"/>
  <c r="Q124" i="2"/>
  <c r="R124" i="2"/>
  <c r="P123" i="2"/>
  <c r="Q123" i="2"/>
  <c r="R123" i="2"/>
  <c r="P122" i="2"/>
  <c r="Q122" i="2"/>
  <c r="R122" i="2"/>
  <c r="P121" i="2"/>
  <c r="Q121" i="2"/>
  <c r="R121" i="2"/>
  <c r="P120" i="2"/>
  <c r="Q120" i="2"/>
  <c r="R120" i="2"/>
  <c r="P119" i="2"/>
  <c r="Q119" i="2"/>
  <c r="R119" i="2"/>
  <c r="P118" i="2"/>
  <c r="Q118" i="2"/>
  <c r="R118" i="2"/>
  <c r="P117" i="2"/>
  <c r="Q117" i="2"/>
  <c r="R117" i="2"/>
  <c r="P116" i="2"/>
  <c r="Q116" i="2"/>
  <c r="R116" i="2"/>
  <c r="P115" i="2"/>
  <c r="Q115" i="2"/>
  <c r="R115" i="2"/>
  <c r="P114" i="2"/>
  <c r="Q114" i="2"/>
  <c r="R114" i="2"/>
  <c r="P113" i="2"/>
  <c r="Q113" i="2"/>
  <c r="R113" i="2"/>
  <c r="P112" i="2"/>
  <c r="Q112" i="2"/>
  <c r="R112" i="2"/>
  <c r="P111" i="2"/>
  <c r="Q111" i="2"/>
  <c r="R111" i="2"/>
  <c r="P110" i="2"/>
  <c r="Q110" i="2"/>
  <c r="R110" i="2"/>
  <c r="P109" i="2"/>
  <c r="Q109" i="2"/>
  <c r="R109" i="2"/>
  <c r="P108" i="2"/>
  <c r="Q108" i="2"/>
  <c r="R108" i="2"/>
  <c r="P107" i="2"/>
  <c r="Q107" i="2"/>
  <c r="R107" i="2"/>
  <c r="P106" i="2"/>
  <c r="Q106" i="2"/>
  <c r="R106" i="2"/>
  <c r="P105" i="2"/>
  <c r="Q105" i="2"/>
  <c r="R105" i="2"/>
  <c r="P104" i="2"/>
  <c r="Q104" i="2"/>
  <c r="R104" i="2"/>
  <c r="P103" i="2"/>
  <c r="Q103" i="2"/>
  <c r="R103" i="2"/>
  <c r="P102" i="2"/>
  <c r="Q102" i="2"/>
  <c r="R102" i="2"/>
  <c r="P101" i="2"/>
  <c r="Q101" i="2"/>
  <c r="R101" i="2"/>
  <c r="P100" i="2"/>
  <c r="Q100" i="2"/>
  <c r="R100" i="2"/>
  <c r="P99" i="2"/>
  <c r="Q99" i="2"/>
  <c r="R99" i="2"/>
  <c r="P98" i="2"/>
  <c r="Q98" i="2"/>
  <c r="R98" i="2"/>
  <c r="P97" i="2"/>
  <c r="Q97" i="2"/>
  <c r="R97" i="2"/>
  <c r="P96" i="2"/>
  <c r="Q96" i="2"/>
  <c r="R96" i="2"/>
  <c r="P95" i="2"/>
  <c r="Q95" i="2"/>
  <c r="R95" i="2"/>
  <c r="P94" i="2"/>
  <c r="Q94" i="2"/>
  <c r="R94" i="2"/>
  <c r="P93" i="2"/>
  <c r="Q93" i="2"/>
  <c r="R93" i="2"/>
  <c r="P92" i="2"/>
  <c r="Q92" i="2"/>
  <c r="R92" i="2"/>
  <c r="P91" i="2"/>
  <c r="Q91" i="2"/>
  <c r="R91" i="2"/>
  <c r="P90" i="2"/>
  <c r="Q90" i="2"/>
  <c r="R90" i="2"/>
  <c r="P89" i="2"/>
  <c r="Q89" i="2"/>
  <c r="R89" i="2"/>
  <c r="P88" i="2"/>
  <c r="Q88" i="2"/>
  <c r="R88" i="2"/>
  <c r="P87" i="2"/>
  <c r="Q87" i="2"/>
  <c r="R87" i="2"/>
  <c r="P86" i="2"/>
  <c r="Q86" i="2"/>
  <c r="R86" i="2"/>
  <c r="P85" i="2"/>
  <c r="Q85" i="2"/>
  <c r="R85" i="2"/>
  <c r="P84" i="2"/>
  <c r="Q84" i="2"/>
  <c r="R84" i="2"/>
  <c r="P83" i="2"/>
  <c r="Q83" i="2"/>
  <c r="R83" i="2"/>
  <c r="P82" i="2"/>
  <c r="Q82" i="2"/>
  <c r="R82" i="2"/>
  <c r="P81" i="2"/>
  <c r="Q81" i="2"/>
  <c r="R81" i="2"/>
  <c r="P80" i="2"/>
  <c r="Q80" i="2"/>
  <c r="R80" i="2"/>
  <c r="P79" i="2"/>
  <c r="Q79" i="2"/>
  <c r="R79" i="2"/>
  <c r="P78" i="2"/>
  <c r="Q78" i="2"/>
  <c r="R78" i="2"/>
  <c r="P77" i="2"/>
  <c r="Q77" i="2"/>
  <c r="R77" i="2"/>
  <c r="P76" i="2"/>
  <c r="Q76" i="2"/>
  <c r="R76" i="2"/>
  <c r="P75" i="2"/>
  <c r="Q75" i="2"/>
  <c r="R75" i="2"/>
  <c r="P74" i="2"/>
  <c r="Q74" i="2"/>
  <c r="R74" i="2"/>
  <c r="P73" i="2"/>
  <c r="Q73" i="2"/>
  <c r="R73" i="2"/>
  <c r="P72" i="2"/>
  <c r="Q72" i="2"/>
  <c r="R72" i="2"/>
  <c r="P71" i="2"/>
  <c r="Q71" i="2"/>
  <c r="R71" i="2"/>
  <c r="P70" i="2"/>
  <c r="Q70" i="2"/>
  <c r="R70" i="2"/>
  <c r="P69" i="2"/>
  <c r="Q69" i="2"/>
  <c r="R69" i="2"/>
  <c r="P68" i="2"/>
  <c r="Q68" i="2"/>
  <c r="R68" i="2"/>
  <c r="P67" i="2"/>
  <c r="Q67" i="2"/>
  <c r="R67" i="2"/>
  <c r="P66" i="2"/>
  <c r="Q66" i="2"/>
  <c r="R66" i="2"/>
  <c r="P65" i="2"/>
  <c r="Q65" i="2"/>
  <c r="R65" i="2"/>
  <c r="P64" i="2"/>
  <c r="Q64" i="2"/>
  <c r="R64" i="2"/>
  <c r="P63" i="2"/>
  <c r="Q63" i="2"/>
  <c r="R63" i="2"/>
  <c r="P62" i="2"/>
  <c r="Q62" i="2"/>
  <c r="R62" i="2"/>
  <c r="P61" i="2"/>
  <c r="Q61" i="2"/>
  <c r="R61" i="2"/>
  <c r="P60" i="2"/>
  <c r="Q60" i="2"/>
  <c r="R60" i="2"/>
  <c r="P59" i="2"/>
  <c r="Q59" i="2"/>
  <c r="R59" i="2"/>
  <c r="P58" i="2"/>
  <c r="Q58" i="2"/>
  <c r="R58" i="2"/>
  <c r="P57" i="2"/>
  <c r="Q57" i="2"/>
  <c r="R57" i="2"/>
  <c r="P56" i="2"/>
  <c r="Q56" i="2"/>
  <c r="R56" i="2"/>
  <c r="P55" i="2"/>
  <c r="Q55" i="2"/>
  <c r="R55" i="2"/>
  <c r="P54" i="2"/>
  <c r="Q54" i="2"/>
  <c r="R54" i="2"/>
  <c r="P53" i="2"/>
  <c r="Q53" i="2"/>
  <c r="R53" i="2"/>
  <c r="P52" i="2"/>
  <c r="Q52" i="2"/>
  <c r="R52" i="2"/>
  <c r="P51" i="2"/>
  <c r="Q51" i="2"/>
  <c r="R51" i="2"/>
  <c r="P50" i="2"/>
  <c r="Q50" i="2"/>
  <c r="R50" i="2"/>
  <c r="P49" i="2"/>
  <c r="Q49" i="2"/>
  <c r="R49" i="2"/>
  <c r="P48" i="2"/>
  <c r="Q48" i="2"/>
  <c r="R48" i="2"/>
  <c r="P47" i="2"/>
  <c r="Q47" i="2"/>
  <c r="R47" i="2"/>
  <c r="P46" i="2"/>
  <c r="Q46" i="2"/>
  <c r="R46" i="2"/>
  <c r="P45" i="2"/>
  <c r="Q45" i="2"/>
  <c r="R45" i="2"/>
  <c r="P44" i="2"/>
  <c r="Q44" i="2"/>
  <c r="R44" i="2"/>
  <c r="P43" i="2"/>
  <c r="Q43" i="2"/>
  <c r="R43" i="2"/>
  <c r="P42" i="2"/>
  <c r="Q42" i="2"/>
  <c r="R42" i="2"/>
  <c r="P41" i="2"/>
  <c r="Q41" i="2"/>
  <c r="R41" i="2"/>
  <c r="P40" i="2"/>
  <c r="Q40" i="2"/>
  <c r="R40" i="2"/>
  <c r="P39" i="2"/>
  <c r="Q39" i="2"/>
  <c r="R39" i="2"/>
  <c r="P38" i="2"/>
  <c r="Q38" i="2"/>
  <c r="R38" i="2"/>
  <c r="P37" i="2"/>
  <c r="Q37" i="2"/>
  <c r="R37" i="2"/>
  <c r="P36" i="2"/>
  <c r="Q36" i="2"/>
  <c r="R36" i="2"/>
  <c r="P35" i="2"/>
  <c r="Q35" i="2"/>
  <c r="R35" i="2"/>
  <c r="O253" i="2"/>
  <c r="O193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O83" i="2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35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O50" i="2"/>
  <c r="O49" i="2"/>
  <c r="O48" i="2"/>
  <c r="O47" i="2"/>
  <c r="O46" i="2"/>
  <c r="O45" i="2"/>
  <c r="O44" i="2"/>
  <c r="O43" i="2"/>
  <c r="O42" i="2"/>
  <c r="O41" i="2"/>
  <c r="O40" i="2"/>
  <c r="O39" i="2"/>
  <c r="O37" i="2"/>
  <c r="O36" i="2"/>
  <c r="O38" i="2"/>
  <c r="U44" i="2"/>
  <c r="P24" i="2"/>
  <c r="U24" i="2"/>
  <c r="D14" i="9"/>
  <c r="D16" i="9"/>
  <c r="D15" i="9"/>
  <c r="D18" i="9"/>
  <c r="D19" i="9"/>
  <c r="C18" i="9"/>
  <c r="C19" i="9"/>
  <c r="B18" i="9"/>
  <c r="B19" i="9"/>
  <c r="P34" i="2"/>
  <c r="U34" i="2"/>
  <c r="W14" i="9"/>
  <c r="V15" i="9"/>
  <c r="V14" i="9"/>
  <c r="P33" i="2"/>
  <c r="U33" i="2"/>
  <c r="U14" i="9"/>
  <c r="P32" i="2"/>
  <c r="U32" i="2"/>
  <c r="T14" i="9"/>
  <c r="S15" i="9"/>
  <c r="P31" i="2"/>
  <c r="U31" i="2"/>
  <c r="S14" i="9"/>
  <c r="P30" i="2"/>
  <c r="U30" i="2"/>
  <c r="R14" i="9"/>
  <c r="Q15" i="9"/>
  <c r="P22" i="2"/>
  <c r="U22" i="2"/>
  <c r="Q14" i="9"/>
  <c r="N15" i="9"/>
  <c r="P23" i="2"/>
  <c r="U23" i="2"/>
  <c r="N14" i="9"/>
  <c r="M15" i="9"/>
  <c r="P26" i="2"/>
  <c r="P28" i="2"/>
  <c r="U26" i="2"/>
  <c r="M14" i="9"/>
  <c r="P20" i="2"/>
  <c r="U20" i="2"/>
  <c r="L14" i="9"/>
  <c r="K15" i="9"/>
  <c r="P29" i="2"/>
  <c r="U29" i="2"/>
  <c r="K14" i="9"/>
  <c r="J17" i="9"/>
  <c r="J15" i="9"/>
  <c r="J14" i="9"/>
  <c r="I17" i="9"/>
  <c r="I15" i="9"/>
  <c r="P21" i="2"/>
  <c r="U21" i="2"/>
  <c r="I14" i="9"/>
  <c r="P27" i="2"/>
  <c r="U27" i="2"/>
  <c r="H14" i="9"/>
  <c r="P25" i="2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3" i="5"/>
  <c r="B4" i="5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P19" i="2"/>
  <c r="P18" i="2"/>
  <c r="U18" i="2"/>
  <c r="V18" i="2"/>
  <c r="P17" i="2"/>
  <c r="U17" i="2"/>
  <c r="V17" i="2"/>
  <c r="P16" i="2"/>
  <c r="U16" i="2"/>
  <c r="V16" i="2"/>
  <c r="P15" i="2"/>
  <c r="P14" i="2"/>
  <c r="U14" i="2"/>
  <c r="V14" i="2"/>
  <c r="P13" i="2"/>
  <c r="U13" i="2"/>
  <c r="V13" i="2"/>
  <c r="P12" i="2"/>
  <c r="U12" i="2"/>
  <c r="V12" i="2"/>
  <c r="P11" i="2"/>
  <c r="U11" i="2"/>
  <c r="V11" i="2"/>
  <c r="V10" i="2"/>
  <c r="P10" i="2"/>
  <c r="V9" i="2"/>
  <c r="P9" i="2"/>
  <c r="P8" i="2"/>
  <c r="U8" i="2"/>
  <c r="V8" i="2"/>
  <c r="V7" i="2"/>
  <c r="P7" i="2"/>
  <c r="V6" i="2"/>
  <c r="P6" i="2"/>
  <c r="P5" i="2"/>
  <c r="U5" i="2"/>
  <c r="V5" i="2"/>
  <c r="V4" i="2"/>
  <c r="P4" i="2"/>
  <c r="V3" i="2"/>
  <c r="P3" i="2"/>
  <c r="P2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G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<sst xmlns="http://schemas.openxmlformats.org/spreadsheetml/2006/main" count="1776" uniqueCount="317">
  <si>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</si>
  <si>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</si>
  <si>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</si>
  <si>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</si>
  <si>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</si>
  <si>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</si>
  <si>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</si>
  <si>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</si>
  <si>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</si>
  <si>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</si>
  <si>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</si>
  <si>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</si>
  <si>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</si>
  <si>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</si>
  <si>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</si>
  <si>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</si>
  <si>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</si>
  <si>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</si>
  <si>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</si>
  <si>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</si>
  <si>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</si>
  <si>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</si>
  <si>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</si>
  <si>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</si>
  <si>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</si>
  <si>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</si>
  <si>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</si>
  <si>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</si>
  <si>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</si>
  <si>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</si>
  <si>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</si>
  <si>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</si>
  <si>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</si>
  <si>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</si>
  <si>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</si>
  <si>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</si>
  <si>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</si>
  <si>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</si>
  <si>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</si>
  <si>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</si>
  <si>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</si>
  <si>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</si>
  <si>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</si>
  <si>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</si>
  <si>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</si>
  <si>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</si>
  <si>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</si>
  <si>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</si>
  <si>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</si>
  <si>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</si>
  <si>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</si>
  <si>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</si>
  <si>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</si>
  <si>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</si>
  <si>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</si>
  <si>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</si>
  <si>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</si>
  <si>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</si>
  <si>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</si>
  <si>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</si>
  <si>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</si>
  <si>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</si>
  <si>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</si>
  <si>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</si>
  <si>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</si>
  <si>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</si>
  <si>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</si>
  <si>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</si>
  <si>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</si>
  <si>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</si>
  <si>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</si>
  <si>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</si>
  <si>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</si>
  <si>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</si>
  <si>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</si>
  <si>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</si>
  <si>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</si>
  <si>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</si>
  <si>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</si>
  <si>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</si>
  <si>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</si>
  <si>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</si>
  <si>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</si>
  <si>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</si>
  <si>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</si>
  <si>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</si>
  <si>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</si>
  <si>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</si>
  <si>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</si>
  <si>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</si>
  <si>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</si>
  <si>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</si>
  <si>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</si>
  <si>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</si>
  <si>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</si>
  <si>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</si>
  <si>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</si>
  <si>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</si>
  <si>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</si>
  <si>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</si>
  <si>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</si>
  <si>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</si>
  <si>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</si>
  <si>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</si>
  <si>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</si>
  <si>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</si>
  <si>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</si>
  <si>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</si>
  <si>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</si>
  <si>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</si>
  <si>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</si>
  <si>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</si>
  <si>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</si>
  <si>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</si>
  <si>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</si>
  <si>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</si>
  <si>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</si>
  <si>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</si>
  <si>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</si>
  <si>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</si>
  <si>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</si>
  <si>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</si>
  <si>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</si>
  <si>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</si>
  <si>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6°C Ambient pH</t>
  </si>
  <si>
    <t>6°C Low pH</t>
  </si>
  <si>
    <t>10°C Ambient pH</t>
  </si>
  <si>
    <t>10°C Low pH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</si>
  <si>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</si>
  <si>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</si>
  <si>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</si>
  <si>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</si>
  <si>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</si>
  <si>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</si>
  <si>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</si>
  <si>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</si>
  <si>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</si>
  <si>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</si>
  <si>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</si>
  <si>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</si>
  <si>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</si>
  <si>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</si>
  <si>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</si>
  <si>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</si>
  <si>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</si>
  <si>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</si>
  <si>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</si>
  <si>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</si>
  <si>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</si>
  <si>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</si>
  <si>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</si>
  <si>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% Alive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</si>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</sst>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DE9D9"/>
        <bgColor rgb="FF00000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897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8" fillId="6" borderId="10" xfId="0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8" fillId="7" borderId="10" xfId="0" applyFont="1" applyFill="1" applyBorder="1"/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164" fontId="0" fillId="0" borderId="18" xfId="1" applyNumberFormat="1" applyFont="1" applyBorder="1"/>
    <xf numFmtId="0" fontId="0" fillId="0" borderId="4" xfId="0" applyBorder="1" applyAlignment="1">
      <alignment horizontal="right"/>
    </xf>
    <xf numFmtId="164" fontId="0" fillId="0" borderId="19" xfId="1" applyNumberFormat="1" applyFont="1" applyBorder="1"/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3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0" fontId="6" fillId="0" borderId="17" xfId="0" applyFont="1" applyFill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8" borderId="10" xfId="0" applyFont="1" applyFill="1" applyBorder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</cellXfs>
  <cellStyles count="189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630453329256173"/>
          <c:y val="0.05150214592274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2" formatCode="_(* #,##0_);_(* \(#,##0\);_(* &quot;-&quot;??_);_(@_)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554500.0</c:v>
                </c:pt>
                <c:pt idx="7" formatCode="_(* #,##0_);_(* \(#,##0\);_(* &quot;-&quot;??_);_(@_)">
                  <c:v>0.0</c:v>
                </c:pt>
                <c:pt idx="8" formatCode="_(* #,##0_);_(* \(#,##0\);_(* &quot;-&quot;??_);_(@_)">
                  <c:v>53000.0</c:v>
                </c:pt>
                <c:pt idx="9" formatCode="_(* #,##0_);_(* \(#,##0\);_(* &quot;-&quot;??_);_(@_)">
                  <c:v>250.0</c:v>
                </c:pt>
                <c:pt idx="10" formatCode="_(* #,##0_);_(* \(#,##0\);_(* &quot;-&quot;??_);_(@_)">
                  <c:v>0.0</c:v>
                </c:pt>
                <c:pt idx="11" formatCode="_(* #,##0_);_(* \(#,##0\);_(* &quot;-&quot;??_);_(@_)">
                  <c:v>309333.3333333333</c:v>
                </c:pt>
                <c:pt idx="12" formatCode="_(* #,##0_);_(* \(#,##0\);_(* &quot;-&quot;??_);_(@_)">
                  <c:v>447466.6666666667</c:v>
                </c:pt>
                <c:pt idx="13" formatCode="_(* #,##0_);_(* \(#,##0\);_(* &quot;-&quot;??_);_(@_)">
                  <c:v>0.0</c:v>
                </c:pt>
                <c:pt idx="14" formatCode="_(* #,##0_);_(* \(#,##0\);_(* &quot;-&quot;??_);_(@_)">
                  <c:v>38266.66666666666</c:v>
                </c:pt>
                <c:pt idx="15" formatCode="_(* #,##0_);_(* \(#,##0\);_(* &quot;-&quot;??_);_(@_)">
                  <c:v>0.0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326906.6666666667</c:v>
                </c:pt>
                <c:pt idx="26" formatCode="_(* #,##0_);_(* \(#,##0\);_(* &quot;-&quot;??_);_(@_)">
                  <c:v>182050.0</c:v>
                </c:pt>
                <c:pt idx="27" formatCode="_(* #,##0_);_(* \(#,##0\);_(* &quot;-&quot;??_);_(@_)">
                  <c:v>0.0</c:v>
                </c:pt>
                <c:pt idx="28" formatCode="_(* #,##0_);_(* \(#,##0\);_(* &quot;-&quot;??_);_(@_)">
                  <c:v>6300.0</c:v>
                </c:pt>
                <c:pt idx="29" formatCode="_(* #,##0_);_(* \(#,##0\);_(* &quot;-&quot;??_);_(@_)">
                  <c:v>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200.0</c:v>
                </c:pt>
                <c:pt idx="63" formatCode="_(* #,##0_);_(* \(#,##0\);_(* &quot;-&quot;??_);_(@_)">
                  <c:v>0.0</c:v>
                </c:pt>
                <c:pt idx="64" formatCode="_(* #,##0_);_(* \(#,##0\);_(* &quot;-&quot;??_);_(@_)">
                  <c:v>0.0</c:v>
                </c:pt>
                <c:pt idx="65" formatCode="_(* #,##0_);_(* \(#,##0\);_(* &quot;-&quot;??_);_(@_)">
                  <c:v>0.0</c:v>
                </c:pt>
                <c:pt idx="66" formatCode="_(* #,##0_);_(* \(#,##0\);_(* &quot;-&quot;??_);_(@_)">
                  <c:v>0.0</c:v>
                </c:pt>
                <c:pt idx="67" formatCode="_(* #,##0_);_(* \(#,##0\);_(* &quot;-&quot;??_);_(@_)">
                  <c:v>0.0</c:v>
                </c:pt>
                <c:pt idx="68" formatCode="_(* #,##0_);_(* \(#,##0\);_(* &quot;-&quot;??_);_(@_)">
                  <c:v>0.0</c:v>
                </c:pt>
                <c:pt idx="69" formatCode="_(* #,##0_);_(* \(#,##0\);_(* &quot;-&quot;??_);_(@_)">
                  <c:v>0.0</c:v>
                </c:pt>
                <c:pt idx="70" formatCode="_(* #,##0_);_(* \(#,##0\);_(* &quot;-&quot;??_);_(@_)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945912"/>
        <c:axId val="-2120950312"/>
      </c:barChart>
      <c:dateAx>
        <c:axId val="-2120945912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-2120950312"/>
        <c:crosses val="autoZero"/>
        <c:auto val="1"/>
        <c:lblOffset val="100"/>
        <c:baseTimeUnit val="days"/>
        <c:minorUnit val="1.0"/>
        <c:minorTimeUnit val="days"/>
      </c:dateAx>
      <c:valAx>
        <c:axId val="-212095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094591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Chart'!$B$3:$B$71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580696"/>
        <c:axId val="-2090577720"/>
      </c:barChart>
      <c:dateAx>
        <c:axId val="-209058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0577720"/>
        <c:crosses val="autoZero"/>
        <c:auto val="1"/>
        <c:lblOffset val="100"/>
        <c:baseTimeUnit val="days"/>
        <c:minorUnit val="1.0"/>
        <c:minorTimeUnit val="days"/>
      </c:dateAx>
      <c:valAx>
        <c:axId val="-209057772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058069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76200</xdr:colOff>
      <xdr:row>1</xdr:row>
      <xdr:rowOff>68792</xdr:rowOff>
    </xdr:from>
    <xdr:to>
      <xdr:col>54</xdr:col>
      <xdr:colOff>698499</xdr:colOff>
      <xdr:row>40</xdr:row>
      <xdr:rowOff>119592</xdr:rowOff>
    </xdr:to>
    <xdr:grpSp>
      <xdr:nvGrpSpPr>
        <xdr:cNvPr id="10" name="Group 9"/>
        <xdr:cNvGrpSpPr/>
      </xdr:nvGrpSpPr>
      <xdr:grpSpPr>
        <a:xfrm>
          <a:off x="32778700" y="259292"/>
          <a:ext cx="16306799" cy="7924800"/>
          <a:chOff x="24113067" y="440267"/>
          <a:chExt cx="16387233" cy="7755466"/>
        </a:xfrm>
      </xdr:grpSpPr>
      <xdr:graphicFrame macro="">
        <xdr:nvGraphicFramePr>
          <xdr:cNvPr id="2" name="Chart 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6423600" y="1049866"/>
            <a:ext cx="3251201" cy="2726267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chemeClr val="accent3"/>
                </a:solidFill>
              </a:rPr>
              <a:t>SOUTH</a:t>
            </a:r>
            <a:r>
              <a:rPr lang="en-US" sz="2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5"/>
                </a:solidFill>
              </a:rPr>
              <a:t>SOUTH SOUND F2 (K) </a:t>
            </a:r>
            <a:endParaRPr lang="en-US" sz="2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7193943" y="1632751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7193944" y="1620012"/>
            <a:ext cx="3319589" cy="3375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  <xdr:twoCellAnchor>
    <xdr:from>
      <xdr:col>37</xdr:col>
      <xdr:colOff>158750</xdr:colOff>
      <xdr:row>45</xdr:row>
      <xdr:rowOff>111125</xdr:rowOff>
    </xdr:from>
    <xdr:to>
      <xdr:col>56</xdr:col>
      <xdr:colOff>781049</xdr:colOff>
      <xdr:row>87</xdr:row>
      <xdr:rowOff>39158</xdr:rowOff>
    </xdr:to>
    <xdr:grpSp>
      <xdr:nvGrpSpPr>
        <xdr:cNvPr id="11" name="Group 10"/>
        <xdr:cNvGrpSpPr/>
      </xdr:nvGrpSpPr>
      <xdr:grpSpPr>
        <a:xfrm>
          <a:off x="34512250" y="9128125"/>
          <a:ext cx="16306799" cy="7929033"/>
          <a:chOff x="24113067" y="440267"/>
          <a:chExt cx="16387233" cy="7755466"/>
        </a:xfrm>
      </xdr:grpSpPr>
      <xdr:graphicFrame macro="">
        <xdr:nvGraphicFramePr>
          <xdr:cNvPr id="12" name="Chart 1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100933" y="914400"/>
            <a:ext cx="2675468" cy="2810934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2400" b="1" baseline="0"/>
          </a:p>
          <a:p>
            <a:pPr algn="ctr"/>
            <a:endParaRPr lang="en-US" sz="2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7144123" y="1581892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7112218" y="1460487"/>
            <a:ext cx="3445984" cy="31514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workbookViewId="0">
      <pane ySplit="2080" topLeftCell="A181" activePane="bottomLeft"/>
      <selection activeCell="T1" sqref="T1:T1048576"/>
      <selection pane="bottomLeft" activeCell="P191" sqref="P191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bestFit="1" customWidth="1"/>
    <col min="5" max="5" width="10.83203125" style="12"/>
    <col min="6" max="6" width="10.5" style="12" bestFit="1" customWidth="1"/>
    <col min="7" max="8" width="10.33203125" style="12" bestFit="1" customWidth="1"/>
    <col min="9" max="9" width="10.6640625" style="13" bestFit="1" customWidth="1"/>
    <col min="10" max="10" width="12.5" style="13" customWidth="1"/>
    <col min="11" max="11" width="10.1640625" style="12" customWidth="1"/>
    <col min="12" max="13" width="10.5" style="145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3" t="s">
        <v>11</v>
      </c>
      <c r="M1" s="143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6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4" t="s">
        <v>18</v>
      </c>
      <c r="M2" s="144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4" t="s">
        <v>18</v>
      </c>
      <c r="M3" s="144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4" t="s">
        <v>18</v>
      </c>
      <c r="M4" s="144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4" t="s">
        <v>18</v>
      </c>
      <c r="M5" s="144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4" t="s">
        <v>18</v>
      </c>
      <c r="M6" s="144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4" t="s">
        <v>18</v>
      </c>
      <c r="M7" s="144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4" t="s">
        <v>18</v>
      </c>
      <c r="M8" s="144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4" t="s">
        <v>18</v>
      </c>
      <c r="M9" s="144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4" t="s">
        <v>18</v>
      </c>
      <c r="M10" s="144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4" t="s">
        <v>18</v>
      </c>
      <c r="M11" s="144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4" t="s">
        <v>18</v>
      </c>
      <c r="M12" s="144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4" t="s">
        <v>18</v>
      </c>
      <c r="M13" s="144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4" t="s">
        <v>18</v>
      </c>
      <c r="M14" s="144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4" t="s">
        <v>18</v>
      </c>
      <c r="M15" s="144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4" t="s">
        <v>18</v>
      </c>
      <c r="M16" s="144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4" t="s">
        <v>18</v>
      </c>
      <c r="M17" s="144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4" t="s">
        <v>18</v>
      </c>
      <c r="M18" s="144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4" t="s">
        <v>18</v>
      </c>
      <c r="M19" s="144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4" t="s">
        <v>18</v>
      </c>
      <c r="M20" s="144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4" t="s">
        <v>18</v>
      </c>
      <c r="M21" s="144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4" t="s">
        <v>18</v>
      </c>
      <c r="M22" s="144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4" t="s">
        <v>18</v>
      </c>
      <c r="M23" s="144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4" t="s">
        <v>18</v>
      </c>
      <c r="M24" s="144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4" t="s">
        <v>18</v>
      </c>
      <c r="M25" s="144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4" t="s">
        <v>18</v>
      </c>
      <c r="M26" s="144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4" t="s">
        <v>18</v>
      </c>
      <c r="M27" s="144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4" t="s">
        <v>18</v>
      </c>
      <c r="M28" s="144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4" t="s">
        <v>18</v>
      </c>
      <c r="M29" s="144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4" t="s">
        <v>18</v>
      </c>
      <c r="M30" s="144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4" t="s">
        <v>18</v>
      </c>
      <c r="M31" s="144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4" t="s">
        <v>18</v>
      </c>
      <c r="M32" s="144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4"/>
      <c r="M33" s="144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4"/>
      <c r="M34" s="144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4"/>
      <c r="M35" s="144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4">
        <v>80640</v>
      </c>
      <c r="M36" s="144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4"/>
      <c r="M37" s="144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4"/>
      <c r="M38" s="144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4"/>
      <c r="M39" s="144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4"/>
      <c r="M40" s="144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4"/>
      <c r="M41" s="144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4"/>
      <c r="M42" s="144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4"/>
      <c r="M43" s="144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4"/>
      <c r="M44" s="144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4"/>
      <c r="M45" s="144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4"/>
      <c r="M46" s="144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4"/>
      <c r="M47" s="144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4"/>
      <c r="M48" s="144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4"/>
      <c r="M49" s="144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4"/>
      <c r="M50" s="144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4"/>
      <c r="M51" s="144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4"/>
      <c r="M52" s="144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4"/>
      <c r="M53" s="144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4"/>
      <c r="M54" s="144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4"/>
      <c r="M55" s="144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4"/>
      <c r="M56" s="144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4"/>
      <c r="M57" s="144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4"/>
      <c r="M58" s="144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4"/>
      <c r="M59" s="144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4"/>
      <c r="M60" s="144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4"/>
      <c r="M61" s="144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4"/>
      <c r="M62" s="144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4"/>
      <c r="M63" s="144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4"/>
      <c r="M64" s="144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4"/>
      <c r="M65" s="144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4">
        <v>50000</v>
      </c>
      <c r="M66" s="144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4">
        <v>25000</v>
      </c>
      <c r="M67" s="144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4">
        <v>50000</v>
      </c>
      <c r="M68" s="144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4"/>
      <c r="M69" s="144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4"/>
      <c r="M70" s="144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4">
        <v>50000</v>
      </c>
      <c r="M71" s="144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4">
        <v>50000</v>
      </c>
      <c r="M72" s="144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4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4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5">
        <v>50000</v>
      </c>
      <c r="M76" s="146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5">
        <v>50000</v>
      </c>
      <c r="M77" s="144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5">
        <v>50000</v>
      </c>
      <c r="M78" s="144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5">
        <v>50000</v>
      </c>
      <c r="M79" s="146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5">
        <v>32000</v>
      </c>
      <c r="M80" s="146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5">
        <v>30000</v>
      </c>
      <c r="M81" s="146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5">
        <v>32000</v>
      </c>
      <c r="M82" s="146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5">
        <v>47000</v>
      </c>
      <c r="M83" s="146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5">
        <v>25000</v>
      </c>
      <c r="M84" s="146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5">
        <v>50000</v>
      </c>
      <c r="M85" s="146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5">
        <v>50000</v>
      </c>
      <c r="M86" s="146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6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6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6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6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6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6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6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6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5">
        <v>50000</v>
      </c>
      <c r="M95" s="146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5">
        <v>50000</v>
      </c>
      <c r="M96" s="146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5">
        <v>25000</v>
      </c>
      <c r="M97" s="146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6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6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5">
        <v>50000</v>
      </c>
      <c r="M100" s="146">
        <f t="shared" si="8"/>
        <v>371.28712871287132</v>
      </c>
      <c r="N100" s="12">
        <v>375</v>
      </c>
      <c r="O100" s="13">
        <f t="shared" si="9"/>
        <v>50500</v>
      </c>
      <c r="P100" s="12" t="s">
        <v>128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129</v>
      </c>
      <c r="M101" s="146">
        <f t="shared" si="8"/>
        <v>0</v>
      </c>
      <c r="O101" s="13">
        <f t="shared" si="9"/>
        <v>0</v>
      </c>
      <c r="P101" s="12" t="s">
        <v>130</v>
      </c>
      <c r="Q101" s="13">
        <f t="shared" si="7"/>
        <v>7900</v>
      </c>
      <c r="T101" s="14" t="s">
        <v>131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5">
        <v>50000</v>
      </c>
      <c r="M102" s="146">
        <f t="shared" si="8"/>
        <v>103.02197802197803</v>
      </c>
      <c r="N102" s="12">
        <v>150</v>
      </c>
      <c r="O102" s="13">
        <f t="shared" si="9"/>
        <v>72800</v>
      </c>
      <c r="P102" s="12" t="s">
        <v>152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5">
        <v>50000</v>
      </c>
      <c r="M103" s="146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5">
        <v>50000</v>
      </c>
      <c r="M104" s="146">
        <f t="shared" si="8"/>
        <v>119.04761904761905</v>
      </c>
      <c r="N104" s="12">
        <v>150</v>
      </c>
      <c r="O104" s="13">
        <f t="shared" si="9"/>
        <v>63000</v>
      </c>
      <c r="P104" s="12" t="s">
        <v>153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5">
        <v>30000</v>
      </c>
      <c r="M105" s="146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154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5">
        <v>50000</v>
      </c>
      <c r="M106" s="146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156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6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6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6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5">
        <v>70000</v>
      </c>
      <c r="M110" s="146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155</v>
      </c>
      <c r="Q110" s="13">
        <v>15000</v>
      </c>
      <c r="T110" s="14" t="s">
        <v>157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5">
        <v>50000</v>
      </c>
      <c r="M111" s="146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164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5">
        <v>50000</v>
      </c>
      <c r="M112" s="146">
        <f t="shared" si="11"/>
        <v>308.64197530864197</v>
      </c>
      <c r="N112" s="12">
        <v>325</v>
      </c>
      <c r="O112" s="13">
        <f t="shared" si="9"/>
        <v>52650</v>
      </c>
      <c r="P112" s="12" t="s">
        <v>163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5">
        <v>50000</v>
      </c>
      <c r="M113" s="146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160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5">
        <v>50000</v>
      </c>
      <c r="M114" s="146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158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5">
        <v>50000</v>
      </c>
      <c r="M115" s="146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161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5">
        <v>50000</v>
      </c>
      <c r="M116" s="146">
        <f t="shared" si="11"/>
        <v>124.17218543046357</v>
      </c>
      <c r="N116" s="12">
        <v>150</v>
      </c>
      <c r="O116" s="13">
        <f t="shared" si="9"/>
        <v>60400</v>
      </c>
      <c r="P116" s="12" t="s">
        <v>162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5">
        <v>50000</v>
      </c>
      <c r="M117" s="146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159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5">
        <v>50000</v>
      </c>
      <c r="M118" s="146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169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6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6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5">
        <v>50000</v>
      </c>
      <c r="M121" s="146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171</v>
      </c>
      <c r="Q121" s="13">
        <f t="shared" si="12"/>
        <v>126883.33333333334</v>
      </c>
      <c r="T121" s="14" t="s">
        <v>170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5">
        <v>50000</v>
      </c>
      <c r="M122" s="146">
        <f t="shared" si="11"/>
        <v>306.12244897959181</v>
      </c>
      <c r="N122" s="12">
        <v>300</v>
      </c>
      <c r="O122" s="13">
        <f t="shared" si="9"/>
        <v>49000</v>
      </c>
      <c r="P122" s="12" t="s">
        <v>174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5">
        <v>50000</v>
      </c>
      <c r="M123" s="146">
        <f t="shared" si="11"/>
        <v>490.19607843137254</v>
      </c>
      <c r="N123" s="12">
        <v>500</v>
      </c>
      <c r="O123" s="13">
        <f t="shared" si="9"/>
        <v>51000</v>
      </c>
      <c r="P123" s="12" t="s">
        <v>173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6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5">
        <v>70000</v>
      </c>
      <c r="M125" s="146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172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5">
        <v>20000</v>
      </c>
      <c r="M126" s="146">
        <f t="shared" si="11"/>
        <v>350.87719298245617</v>
      </c>
      <c r="N126" s="12">
        <v>300</v>
      </c>
      <c r="O126" s="13">
        <f t="shared" si="9"/>
        <v>17100</v>
      </c>
      <c r="P126" s="12" t="s">
        <v>181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6">
        <f t="shared" si="11"/>
        <v>0</v>
      </c>
      <c r="O127" s="13">
        <f t="shared" si="9"/>
        <v>0</v>
      </c>
      <c r="P127" s="12" t="s">
        <v>180</v>
      </c>
      <c r="Q127" s="13">
        <f t="shared" si="12"/>
        <v>6300</v>
      </c>
      <c r="T127" s="14" t="s">
        <v>178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6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6">
        <f t="shared" si="11"/>
        <v>0</v>
      </c>
      <c r="O129" s="13">
        <f t="shared" si="9"/>
        <v>0</v>
      </c>
      <c r="P129" s="12" t="s">
        <v>179</v>
      </c>
      <c r="Q129" s="13">
        <f t="shared" si="12"/>
        <v>9866.6666666666679</v>
      </c>
      <c r="T129" s="14" t="s">
        <v>178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6">
        <f t="shared" si="11"/>
        <v>0</v>
      </c>
      <c r="N130" s="12">
        <v>250</v>
      </c>
      <c r="O130" s="13">
        <f t="shared" si="9"/>
        <v>88166.666666666672</v>
      </c>
      <c r="P130" s="12" t="s">
        <v>184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6">
        <f t="shared" si="11"/>
        <v>0</v>
      </c>
      <c r="N131" s="12">
        <v>625</v>
      </c>
      <c r="O131" s="13">
        <f t="shared" si="9"/>
        <v>38750</v>
      </c>
      <c r="P131" s="12" t="s">
        <v>185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6">
        <f t="shared" si="11"/>
        <v>0</v>
      </c>
      <c r="N132" s="12">
        <v>275</v>
      </c>
      <c r="O132" s="13">
        <f t="shared" si="9"/>
        <v>77183.333333333343</v>
      </c>
      <c r="P132" s="12" t="s">
        <v>186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6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6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6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5">
        <v>50000</v>
      </c>
      <c r="M136" s="146">
        <f t="shared" si="11"/>
        <v>276.7527675276753</v>
      </c>
      <c r="N136" s="12">
        <v>300</v>
      </c>
      <c r="O136" s="13">
        <f t="shared" si="9"/>
        <v>54200</v>
      </c>
      <c r="P136" s="12" t="s">
        <v>191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6">
        <f t="shared" si="11"/>
        <v>0</v>
      </c>
      <c r="O137" s="13">
        <f t="shared" si="9"/>
        <v>0</v>
      </c>
      <c r="P137" s="12" t="s">
        <v>189</v>
      </c>
      <c r="Q137" s="13">
        <f t="shared" si="12"/>
        <v>1280</v>
      </c>
      <c r="T137" s="14" t="s">
        <v>194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5">
        <v>50000</v>
      </c>
      <c r="M138" s="146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188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6">
        <f t="shared" si="11"/>
        <v>0</v>
      </c>
      <c r="O139" s="13">
        <f t="shared" si="9"/>
        <v>0</v>
      </c>
      <c r="P139" s="12" t="s">
        <v>190</v>
      </c>
      <c r="Q139" s="13">
        <f t="shared" si="12"/>
        <v>2800</v>
      </c>
      <c r="T139" s="14" t="s">
        <v>195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5">
        <v>50000</v>
      </c>
      <c r="M140" s="146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187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193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6">
        <f t="shared" si="11"/>
        <v>0</v>
      </c>
      <c r="N141" s="12">
        <v>250</v>
      </c>
      <c r="O141" s="13">
        <f t="shared" si="9"/>
        <v>53333.333333333336</v>
      </c>
      <c r="P141" s="12" t="s">
        <v>197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193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6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196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193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6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193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6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193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6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6">
        <f t="shared" si="15"/>
        <v>0</v>
      </c>
      <c r="N146" s="12">
        <v>400</v>
      </c>
      <c r="O146" s="13">
        <f t="shared" si="9"/>
        <v>57866.666666666664</v>
      </c>
      <c r="P146" s="12" t="s">
        <v>200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6">
        <f t="shared" si="15"/>
        <v>0</v>
      </c>
      <c r="N147" s="12">
        <v>300</v>
      </c>
      <c r="O147" s="13">
        <f t="shared" si="9"/>
        <v>39000</v>
      </c>
      <c r="P147" s="12" t="s">
        <v>201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6">
        <f t="shared" si="15"/>
        <v>0</v>
      </c>
      <c r="N148" s="12">
        <v>175</v>
      </c>
      <c r="O148" s="13">
        <f t="shared" si="9"/>
        <v>79566.666666666672</v>
      </c>
      <c r="P148" s="12" t="s">
        <v>199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6">
        <f t="shared" si="15"/>
        <v>0</v>
      </c>
      <c r="N149" s="12">
        <v>150</v>
      </c>
      <c r="O149" s="13">
        <f t="shared" si="9"/>
        <v>134800</v>
      </c>
      <c r="P149" s="12" t="s">
        <v>198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6">
        <f t="shared" si="15"/>
        <v>0</v>
      </c>
      <c r="N150" s="12">
        <v>650</v>
      </c>
      <c r="O150" s="13">
        <f t="shared" si="9"/>
        <v>47233.333333333336</v>
      </c>
      <c r="P150" s="12" t="s">
        <v>203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6">
        <f t="shared" si="15"/>
        <v>0</v>
      </c>
      <c r="N151" s="12">
        <v>500</v>
      </c>
      <c r="O151" s="13">
        <f t="shared" si="9"/>
        <v>48666.666666666664</v>
      </c>
      <c r="P151" s="12" t="s">
        <v>204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6">
        <f t="shared" si="15"/>
        <v>0</v>
      </c>
      <c r="N152" s="12">
        <v>300</v>
      </c>
      <c r="O152" s="13">
        <f t="shared" si="9"/>
        <v>48000</v>
      </c>
      <c r="P152" s="12" t="s">
        <v>205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6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202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6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6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6">
        <f t="shared" si="15"/>
        <v>0</v>
      </c>
      <c r="N156" s="12">
        <v>200</v>
      </c>
      <c r="O156" s="13">
        <f t="shared" si="9"/>
        <v>58800</v>
      </c>
      <c r="P156" s="12" t="s">
        <v>207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6">
        <f t="shared" si="15"/>
        <v>0</v>
      </c>
      <c r="N157" s="12">
        <v>300</v>
      </c>
      <c r="O157" s="13">
        <f t="shared" si="9"/>
        <v>45400</v>
      </c>
      <c r="P157" s="12" t="s">
        <v>206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5">
        <v>30000</v>
      </c>
      <c r="M158" s="146">
        <f t="shared" si="15"/>
        <v>505.61797752808985</v>
      </c>
      <c r="N158" s="12">
        <v>525</v>
      </c>
      <c r="O158" s="13">
        <f t="shared" si="9"/>
        <v>31150</v>
      </c>
      <c r="P158" s="12" t="s">
        <v>232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5">
        <v>100000</v>
      </c>
      <c r="M159" s="146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231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6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6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6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6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5">
        <v>50000</v>
      </c>
      <c r="M164" s="146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230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6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5">
        <v>50000</v>
      </c>
      <c r="M166" s="146">
        <f t="shared" si="15"/>
        <v>258.62068965517238</v>
      </c>
      <c r="N166" s="12">
        <v>300</v>
      </c>
      <c r="O166" s="13">
        <f t="shared" si="18"/>
        <v>58000</v>
      </c>
      <c r="P166" s="12" t="s">
        <v>229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5">
        <v>50000</v>
      </c>
      <c r="M167" s="146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246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5">
        <v>50000</v>
      </c>
      <c r="M168" s="146">
        <f t="shared" si="15"/>
        <v>250</v>
      </c>
      <c r="N168" s="12">
        <v>250</v>
      </c>
      <c r="O168" s="13">
        <f t="shared" si="18"/>
        <v>50000</v>
      </c>
      <c r="P168" s="12" t="s">
        <v>245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5">
        <v>50000</v>
      </c>
      <c r="M169" s="146">
        <f t="shared" si="15"/>
        <v>176.05633802816902</v>
      </c>
      <c r="N169" s="12">
        <v>210</v>
      </c>
      <c r="O169" s="13">
        <f t="shared" si="18"/>
        <v>59640</v>
      </c>
      <c r="P169" s="12" t="s">
        <v>247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5">
        <v>50000</v>
      </c>
      <c r="M170" s="146">
        <f t="shared" si="15"/>
        <v>245.09803921568627</v>
      </c>
      <c r="N170" s="12">
        <v>275</v>
      </c>
      <c r="O170" s="13">
        <f t="shared" si="18"/>
        <v>56100</v>
      </c>
      <c r="P170" s="12" t="s">
        <v>248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5">
        <v>50000</v>
      </c>
      <c r="M171" s="146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6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6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6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6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5">
        <v>50000</v>
      </c>
      <c r="M176" s="146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253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6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6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6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6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6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6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6">
        <f t="shared" si="20"/>
        <v>0</v>
      </c>
      <c r="N183" s="12">
        <v>650</v>
      </c>
      <c r="O183" s="13">
        <f t="shared" si="18"/>
        <v>77566.666666666657</v>
      </c>
      <c r="P183" s="12" t="s">
        <v>260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6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5">
        <v>50000</v>
      </c>
      <c r="M185" s="146">
        <f t="shared" si="20"/>
        <v>203.2520325203252</v>
      </c>
      <c r="N185" s="12">
        <v>300</v>
      </c>
      <c r="O185" s="13">
        <f t="shared" si="18"/>
        <v>73800</v>
      </c>
      <c r="P185" s="12" t="s">
        <v>270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6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6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6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6">
        <f t="shared" si="20"/>
        <v>0</v>
      </c>
      <c r="N189" s="12">
        <v>600</v>
      </c>
      <c r="O189" s="13">
        <f t="shared" si="18"/>
        <v>200000</v>
      </c>
      <c r="P189" s="12" t="s">
        <v>272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6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6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6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6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6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6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6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6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6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6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6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6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6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6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6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6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6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6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6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6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6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6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6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6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6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6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6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6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6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6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6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6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6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6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6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6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6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6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6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6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6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6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6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6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6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6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6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6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6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6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6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6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6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6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6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6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6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6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6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6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6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6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6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6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6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6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6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6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6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6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6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6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6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6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6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6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6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6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6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6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6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6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6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6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6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6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6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6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6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6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6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6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6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6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6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6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6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6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6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6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6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6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6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6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6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6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6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6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6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6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6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6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6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0"/>
  <sheetViews>
    <sheetView tabSelected="1" zoomScale="90" zoomScaleNormal="90" zoomScalePageLayoutView="90" workbookViewId="0">
      <pane ySplit="1140" topLeftCell="A535" activePane="bottomLeft"/>
      <selection activeCell="H5" sqref="H5"/>
      <selection pane="bottomLeft" activeCell="G557" sqref="G557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bestFit="1" customWidth="1"/>
    <col min="5" max="5" width="10.83203125" customWidth="1"/>
    <col min="6" max="6" width="10.83203125" style="1" customWidth="1"/>
    <col min="7" max="7" width="13.33203125" customWidth="1"/>
    <col min="8" max="15" width="10.83203125" customWidth="1"/>
    <col min="16" max="17" width="16.33203125" style="17" customWidth="1"/>
    <col min="18" max="18" width="19.83203125" style="105" hidden="1" customWidth="1"/>
    <col min="19" max="19" width="16.33203125" style="104" customWidth="1"/>
    <col min="20" max="20" width="11.6640625" customWidth="1"/>
    <col min="21" max="21" width="22.1640625" customWidth="1"/>
    <col min="22" max="22" width="16.33203125" customWidth="1"/>
    <col min="23" max="23" width="19.33203125" customWidth="1"/>
    <col min="24" max="24" width="12" bestFit="1" customWidth="1"/>
  </cols>
  <sheetData>
    <row r="1" spans="1:22" s="15" customFormat="1" ht="50" customHeight="1" thickBot="1">
      <c r="A1" s="15" t="s">
        <v>80</v>
      </c>
      <c r="B1" s="15" t="s">
        <v>82</v>
      </c>
      <c r="C1" s="15" t="s">
        <v>165</v>
      </c>
      <c r="D1" s="15" t="s">
        <v>1</v>
      </c>
      <c r="E1" s="15" t="s">
        <v>2</v>
      </c>
      <c r="F1" s="15" t="s">
        <v>68</v>
      </c>
      <c r="G1" s="15" t="s">
        <v>209</v>
      </c>
      <c r="H1" s="15" t="s">
        <v>4</v>
      </c>
      <c r="I1" s="15" t="s">
        <v>145</v>
      </c>
      <c r="J1" s="15" t="s">
        <v>146</v>
      </c>
      <c r="K1" s="15" t="s">
        <v>147</v>
      </c>
      <c r="L1" s="15" t="s">
        <v>148</v>
      </c>
      <c r="M1" s="15" t="s">
        <v>149</v>
      </c>
      <c r="N1" s="15" t="s">
        <v>150</v>
      </c>
      <c r="O1" s="15" t="s">
        <v>151</v>
      </c>
      <c r="P1" s="116" t="s">
        <v>167</v>
      </c>
      <c r="Q1" s="116" t="s">
        <v>219</v>
      </c>
      <c r="R1" s="168" t="s">
        <v>220</v>
      </c>
      <c r="S1" s="168" t="s">
        <v>224</v>
      </c>
      <c r="T1" s="15" t="s">
        <v>81</v>
      </c>
      <c r="U1" s="15" t="s">
        <v>210</v>
      </c>
      <c r="V1" s="15" t="s">
        <v>69</v>
      </c>
    </row>
    <row r="2" spans="1:22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9"/>
      <c r="S2" s="178"/>
      <c r="U2" s="21">
        <f>SUM(P2:P4)</f>
        <v>55333.333333333343</v>
      </c>
      <c r="V2" s="21" t="e">
        <f>(200000-U2)/#REF!</f>
        <v>#REF!</v>
      </c>
    </row>
    <row r="3" spans="1:22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70"/>
      <c r="S3" s="179"/>
      <c r="U3" s="25" t="s">
        <v>70</v>
      </c>
      <c r="V3" s="25" t="e">
        <f>(200000-U3)/#REF!</f>
        <v>#VALUE!</v>
      </c>
    </row>
    <row r="4" spans="1:22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70"/>
      <c r="S4" s="179"/>
      <c r="U4" s="25" t="s">
        <v>70</v>
      </c>
      <c r="V4" s="25" t="e">
        <f>(200000-U4)/#REF!</f>
        <v>#VALUE!</v>
      </c>
    </row>
    <row r="5" spans="1:22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70"/>
      <c r="S5" s="179"/>
      <c r="U5" s="25">
        <f>SUM(P5:P7)</f>
        <v>124133.33333333333</v>
      </c>
      <c r="V5" s="25" t="e">
        <f>(200000-U5)/#REF!</f>
        <v>#REF!</v>
      </c>
    </row>
    <row r="6" spans="1:22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70"/>
      <c r="S6" s="179"/>
      <c r="U6" s="25" t="s">
        <v>70</v>
      </c>
      <c r="V6" s="25" t="e">
        <f>(200000-U6)/#REF!</f>
        <v>#VALUE!</v>
      </c>
    </row>
    <row r="7" spans="1:22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70"/>
      <c r="S7" s="179"/>
      <c r="U7" s="25" t="s">
        <v>70</v>
      </c>
      <c r="V7" s="25" t="e">
        <f>(200000-U7)/#REF!</f>
        <v>#VALUE!</v>
      </c>
    </row>
    <row r="8" spans="1:22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70"/>
      <c r="S8" s="179"/>
      <c r="U8" s="25">
        <f>SUM(P8:P10)</f>
        <v>35533.333333333336</v>
      </c>
      <c r="V8" s="25" t="e">
        <f>(200000-U8)/#REF!</f>
        <v>#REF!</v>
      </c>
    </row>
    <row r="9" spans="1:22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70"/>
      <c r="S9" s="179"/>
      <c r="U9" s="25" t="s">
        <v>70</v>
      </c>
      <c r="V9" s="25" t="e">
        <f>(200000-U9)/#REF!</f>
        <v>#VALUE!</v>
      </c>
    </row>
    <row r="10" spans="1:22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70"/>
      <c r="S10" s="179"/>
      <c r="T10" s="23">
        <v>16</v>
      </c>
      <c r="U10" s="25" t="s">
        <v>70</v>
      </c>
      <c r="V10" s="25" t="e">
        <f>(200000-U10)/#REF!</f>
        <v>#VALUE!</v>
      </c>
    </row>
    <row r="11" spans="1:22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70"/>
      <c r="S11" s="179"/>
      <c r="T11" s="23">
        <v>5</v>
      </c>
      <c r="U11" s="25">
        <f>P11</f>
        <v>145600</v>
      </c>
      <c r="V11" s="25" t="e">
        <f>(200000-U11)/#REF!</f>
        <v>#REF!</v>
      </c>
    </row>
    <row r="12" spans="1:22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70"/>
      <c r="S12" s="179"/>
      <c r="T12" s="23">
        <v>7</v>
      </c>
      <c r="U12" s="25">
        <f>P12</f>
        <v>189000</v>
      </c>
      <c r="V12" s="25" t="e">
        <f>(200000-U12)/#REF!</f>
        <v>#REF!</v>
      </c>
    </row>
    <row r="13" spans="1:22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70"/>
      <c r="S13" s="179"/>
      <c r="T13" s="23">
        <v>12</v>
      </c>
      <c r="U13" s="25">
        <f>P13</f>
        <v>49600</v>
      </c>
      <c r="V13" s="25" t="e">
        <f>(200000-U13)/#REF!</f>
        <v>#REF!</v>
      </c>
    </row>
    <row r="14" spans="1:22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70"/>
      <c r="S14" s="179"/>
      <c r="T14" s="23">
        <v>13</v>
      </c>
      <c r="U14" s="25">
        <f>P14+U15</f>
        <v>135800</v>
      </c>
      <c r="V14" s="25" t="e">
        <f>(200000-U14)/#REF!</f>
        <v>#REF!</v>
      </c>
    </row>
    <row r="15" spans="1:22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70"/>
      <c r="S15" s="179"/>
      <c r="T15" s="23">
        <v>13</v>
      </c>
      <c r="U15" s="25"/>
      <c r="V15" s="25"/>
    </row>
    <row r="16" spans="1:22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70"/>
      <c r="S16" s="179"/>
      <c r="T16" s="23">
        <v>11</v>
      </c>
      <c r="U16" s="25">
        <f>P16</f>
        <v>121666.66666666667</v>
      </c>
      <c r="V16" s="25" t="e">
        <f>(200000-U16)/#REF!</f>
        <v>#REF!</v>
      </c>
    </row>
    <row r="17" spans="1:22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70"/>
      <c r="S17" s="179"/>
      <c r="U17" s="25">
        <f>P17</f>
        <v>15400</v>
      </c>
      <c r="V17" s="25" t="e">
        <f>(200000-U17)/#REF!</f>
        <v>#REF!</v>
      </c>
    </row>
    <row r="18" spans="1:22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70"/>
      <c r="S18" s="179"/>
      <c r="U18" s="25">
        <f>P18</f>
        <v>82333.333333333328</v>
      </c>
      <c r="V18" s="25" t="e">
        <f>(200000-U18)/#REF!</f>
        <v>#REF!</v>
      </c>
    </row>
    <row r="19" spans="1:22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 t="shared" si="0"/>
        <v>#DIV/0!</v>
      </c>
      <c r="Q19" s="119"/>
      <c r="R19" s="171"/>
      <c r="S19" s="180"/>
      <c r="U19" s="29"/>
      <c r="V19" s="29"/>
    </row>
    <row r="20" spans="1:22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9"/>
      <c r="S20" s="178"/>
      <c r="T20" s="19">
        <v>11</v>
      </c>
      <c r="U20" s="21">
        <f t="shared" ref="U20:U25" si="1">P20</f>
        <v>118400</v>
      </c>
      <c r="V20" s="21">
        <f>(200000-U20)/4</f>
        <v>20400</v>
      </c>
    </row>
    <row r="21" spans="1:22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70"/>
      <c r="S21" s="179"/>
      <c r="T21" s="23">
        <v>8</v>
      </c>
      <c r="U21" s="25">
        <f t="shared" si="1"/>
        <v>12000</v>
      </c>
      <c r="V21" s="25">
        <f>(200000-U21)/4</f>
        <v>47000</v>
      </c>
    </row>
    <row r="22" spans="1:22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70"/>
      <c r="S22" s="179"/>
      <c r="T22" s="23">
        <v>16</v>
      </c>
      <c r="U22" s="25">
        <f t="shared" si="1"/>
        <v>97600</v>
      </c>
      <c r="V22" s="25">
        <f t="shared" ref="V22:V34" si="2">(200000-U22)/4</f>
        <v>25600</v>
      </c>
    </row>
    <row r="23" spans="1:22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70"/>
      <c r="S23" s="179"/>
      <c r="T23" s="23">
        <v>13</v>
      </c>
      <c r="U23" s="25">
        <f t="shared" si="1"/>
        <v>97600</v>
      </c>
      <c r="V23" s="25">
        <f t="shared" si="2"/>
        <v>25600</v>
      </c>
    </row>
    <row r="24" spans="1:22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70"/>
      <c r="S24" s="179"/>
      <c r="T24" s="23">
        <v>3</v>
      </c>
      <c r="U24" s="25">
        <f t="shared" si="1"/>
        <v>69866.666666666657</v>
      </c>
      <c r="V24" s="25">
        <f t="shared" si="2"/>
        <v>32533.333333333336</v>
      </c>
    </row>
    <row r="25" spans="1:22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70"/>
      <c r="S25" s="179"/>
      <c r="T25" s="23">
        <v>5</v>
      </c>
      <c r="U25" s="25">
        <f t="shared" si="1"/>
        <v>112000</v>
      </c>
      <c r="V25" s="25">
        <f t="shared" si="2"/>
        <v>22000</v>
      </c>
    </row>
    <row r="26" spans="1:22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70"/>
      <c r="S26" s="179"/>
      <c r="T26" s="23">
        <v>12</v>
      </c>
      <c r="U26" s="25">
        <f>P26+P28</f>
        <v>150666.66666666666</v>
      </c>
      <c r="V26" s="25">
        <f t="shared" si="2"/>
        <v>12333.333333333336</v>
      </c>
    </row>
    <row r="27" spans="1:22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70"/>
      <c r="S27" s="179"/>
      <c r="T27" s="23">
        <v>7</v>
      </c>
      <c r="U27" s="25">
        <f>P27</f>
        <v>179400</v>
      </c>
      <c r="V27" s="25">
        <f t="shared" si="2"/>
        <v>5150</v>
      </c>
    </row>
    <row r="28" spans="1:22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70"/>
      <c r="S28" s="179"/>
      <c r="T28" s="23">
        <v>12</v>
      </c>
      <c r="U28" s="25"/>
      <c r="V28" s="25"/>
    </row>
    <row r="29" spans="1:22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70"/>
      <c r="S29" s="179"/>
      <c r="T29" s="23">
        <v>10</v>
      </c>
      <c r="U29" s="25">
        <f t="shared" ref="U29:U34" si="3">P29</f>
        <v>100100</v>
      </c>
      <c r="V29" s="25">
        <f t="shared" si="2"/>
        <v>24975</v>
      </c>
    </row>
    <row r="30" spans="1:22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70"/>
      <c r="S30" s="179"/>
      <c r="T30" s="23">
        <v>17</v>
      </c>
      <c r="U30" s="25">
        <f t="shared" si="3"/>
        <v>20666.666666666668</v>
      </c>
      <c r="V30" s="25">
        <f t="shared" si="2"/>
        <v>44833.333333333336</v>
      </c>
    </row>
    <row r="31" spans="1:22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70"/>
      <c r="S31" s="179"/>
      <c r="T31" s="23">
        <v>18</v>
      </c>
      <c r="U31" s="25">
        <f t="shared" si="3"/>
        <v>80000</v>
      </c>
      <c r="V31" s="25">
        <f t="shared" si="2"/>
        <v>30000</v>
      </c>
    </row>
    <row r="32" spans="1:22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70"/>
      <c r="S32" s="179"/>
      <c r="T32" s="23">
        <v>19</v>
      </c>
      <c r="U32" s="25">
        <f t="shared" si="3"/>
        <v>71466.666666666657</v>
      </c>
      <c r="V32" s="25">
        <f t="shared" si="2"/>
        <v>32133.333333333336</v>
      </c>
    </row>
    <row r="33" spans="1:22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70"/>
      <c r="S33" s="179"/>
      <c r="T33" s="23">
        <v>20</v>
      </c>
      <c r="U33" s="25">
        <f t="shared" si="3"/>
        <v>71400</v>
      </c>
      <c r="V33" s="25">
        <f t="shared" si="2"/>
        <v>32150</v>
      </c>
    </row>
    <row r="34" spans="1:22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71"/>
      <c r="S34" s="180"/>
      <c r="T34" s="27">
        <v>22</v>
      </c>
      <c r="U34" s="29">
        <f t="shared" si="3"/>
        <v>86933.333333333343</v>
      </c>
      <c r="V34" s="29">
        <f t="shared" si="2"/>
        <v>28266.666666666664</v>
      </c>
    </row>
    <row r="35" spans="1:22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>
        <f>(AVERAGE(I35,K35,M35)/((AVERAGE(I35,K35,M35)+AVERAGE(J35,L35,N35))))</f>
        <v>0.54621848739495793</v>
      </c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81"/>
      <c r="T35" s="62">
        <v>3</v>
      </c>
      <c r="U35" s="65"/>
      <c r="V35" s="65"/>
    </row>
    <row r="36" spans="1:22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>
        <f t="shared" ref="O36:O37" si="4">(AVERAGE(I36,K36,M36)/((AVERAGE(I36,K36,M36)+AVERAGE(J36,L36,N36))))</f>
        <v>0.27586206896551724</v>
      </c>
      <c r="P36" s="120">
        <f t="shared" ref="P36:P49" si="5">(AVERAGE(I36,K36,M36)/G36)*H36</f>
        <v>32666.666666666668</v>
      </c>
      <c r="Q36" s="120">
        <f t="shared" ref="Q36:Q99" si="6">(AVERAGE(J36,L36,N36)/G36)*H36</f>
        <v>85750</v>
      </c>
      <c r="R36" s="106">
        <f t="shared" ref="R36:R99" si="7">P36/(P36+Q36)</f>
        <v>0.27586206896551724</v>
      </c>
      <c r="S36" s="181"/>
      <c r="T36" s="62">
        <v>5</v>
      </c>
      <c r="U36" s="65"/>
      <c r="V36" s="65"/>
    </row>
    <row r="37" spans="1:22" s="62" customFormat="1">
      <c r="A37" s="88">
        <v>42885</v>
      </c>
      <c r="B37" s="60">
        <v>7</v>
      </c>
      <c r="C37" s="60"/>
      <c r="D37" s="62" t="s">
        <v>139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>
        <f t="shared" si="4"/>
        <v>0.23509933774834438</v>
      </c>
      <c r="P37" s="120">
        <f t="shared" si="5"/>
        <v>37866.666666666672</v>
      </c>
      <c r="Q37" s="120">
        <f t="shared" si="6"/>
        <v>123200</v>
      </c>
      <c r="R37" s="106">
        <f t="shared" si="7"/>
        <v>0.23509933774834438</v>
      </c>
      <c r="S37" s="181"/>
      <c r="T37" s="62">
        <v>7</v>
      </c>
      <c r="U37" s="65"/>
      <c r="V37" s="65"/>
    </row>
    <row r="38" spans="1:22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>
        <f>(AVERAGE(I38,K38,M38)/((AVERAGE(I38,K38,M38)+AVERAGE(J38,L38,N38))))</f>
        <v>0.58474576271186451</v>
      </c>
      <c r="P38" s="120">
        <f t="shared" si="5"/>
        <v>36800</v>
      </c>
      <c r="Q38" s="120">
        <f t="shared" si="6"/>
        <v>26133.333333333332</v>
      </c>
      <c r="R38" s="106">
        <f t="shared" si="7"/>
        <v>0.5847457627118644</v>
      </c>
      <c r="S38" s="181"/>
      <c r="T38" s="62">
        <v>8</v>
      </c>
      <c r="U38" s="65"/>
      <c r="V38" s="65"/>
    </row>
    <row r="39" spans="1:22" s="62" customFormat="1">
      <c r="A39" s="88">
        <v>42885</v>
      </c>
      <c r="B39" s="60">
        <v>9</v>
      </c>
      <c r="C39" s="60"/>
      <c r="D39" s="62" t="s">
        <v>139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>
        <f t="shared" ref="O39:O50" si="8">(AVERAGE(I39,K39,M39)/((AVERAGE(I39,K39,M39)+AVERAGE(J39,L39,N39))))</f>
        <v>0.94771241830065367</v>
      </c>
      <c r="P39" s="120">
        <f t="shared" si="5"/>
        <v>77333.333333333343</v>
      </c>
      <c r="Q39" s="120">
        <f t="shared" si="6"/>
        <v>4266.6666666666661</v>
      </c>
      <c r="R39" s="106">
        <f t="shared" si="7"/>
        <v>0.94771241830065356</v>
      </c>
      <c r="S39" s="181"/>
      <c r="T39" s="62">
        <v>7</v>
      </c>
      <c r="U39" s="65"/>
      <c r="V39" s="65"/>
    </row>
    <row r="40" spans="1:22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>
        <f t="shared" si="8"/>
        <v>0.31578947368421056</v>
      </c>
      <c r="P40" s="120">
        <f t="shared" si="5"/>
        <v>35200</v>
      </c>
      <c r="Q40" s="120">
        <f t="shared" si="6"/>
        <v>76266.666666666657</v>
      </c>
      <c r="R40" s="106">
        <f t="shared" si="7"/>
        <v>0.31578947368421056</v>
      </c>
      <c r="S40" s="181"/>
      <c r="T40" s="62">
        <v>10</v>
      </c>
      <c r="U40" s="65"/>
      <c r="V40" s="65"/>
    </row>
    <row r="41" spans="1:22" s="62" customFormat="1">
      <c r="A41" s="88">
        <v>42885</v>
      </c>
      <c r="B41" s="60">
        <v>11</v>
      </c>
      <c r="C41" s="60"/>
      <c r="D41" s="62" t="s">
        <v>140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>
        <f t="shared" si="8"/>
        <v>0.20168067226890754</v>
      </c>
      <c r="P41" s="120">
        <f t="shared" si="5"/>
        <v>25600</v>
      </c>
      <c r="Q41" s="120">
        <f t="shared" si="6"/>
        <v>101333.33333333334</v>
      </c>
      <c r="R41" s="106">
        <f t="shared" si="7"/>
        <v>0.20168067226890754</v>
      </c>
      <c r="S41" s="181"/>
      <c r="T41" s="62">
        <v>5</v>
      </c>
      <c r="U41" s="65"/>
      <c r="V41" s="65"/>
    </row>
    <row r="42" spans="1:22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>
        <f t="shared" si="8"/>
        <v>0.45777777777777778</v>
      </c>
      <c r="P42" s="120">
        <f t="shared" si="5"/>
        <v>54933.333333333336</v>
      </c>
      <c r="Q42" s="120">
        <f t="shared" si="6"/>
        <v>65066.666666666664</v>
      </c>
      <c r="R42" s="106">
        <f t="shared" si="7"/>
        <v>0.45777777777777778</v>
      </c>
      <c r="S42" s="181"/>
      <c r="T42" s="62">
        <v>12</v>
      </c>
      <c r="U42" s="65"/>
      <c r="V42" s="65"/>
    </row>
    <row r="43" spans="1:22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>
        <f t="shared" si="8"/>
        <v>0.41950113378684806</v>
      </c>
      <c r="P43" s="120">
        <f t="shared" si="5"/>
        <v>98666.666666666657</v>
      </c>
      <c r="Q43" s="120">
        <f t="shared" si="6"/>
        <v>136533.33333333331</v>
      </c>
      <c r="R43" s="106">
        <f t="shared" si="7"/>
        <v>0.41950113378684806</v>
      </c>
      <c r="S43" s="181"/>
      <c r="T43" s="62">
        <v>13</v>
      </c>
      <c r="U43" s="65"/>
      <c r="V43" s="65"/>
    </row>
    <row r="44" spans="1:22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>
        <f t="shared" si="8"/>
        <v>0.28030303030303033</v>
      </c>
      <c r="P44" s="120">
        <f t="shared" si="5"/>
        <v>19733.333333333336</v>
      </c>
      <c r="Q44" s="120">
        <f t="shared" si="6"/>
        <v>50666.666666666672</v>
      </c>
      <c r="R44" s="106">
        <f t="shared" si="7"/>
        <v>0.28030303030303033</v>
      </c>
      <c r="S44" s="181"/>
      <c r="T44" s="62">
        <v>16</v>
      </c>
      <c r="U44" s="65">
        <f>P44</f>
        <v>19733.333333333336</v>
      </c>
      <c r="V44" s="65"/>
    </row>
    <row r="45" spans="1:22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>
        <f t="shared" si="8"/>
        <v>0.43421052631578944</v>
      </c>
      <c r="P45" s="120">
        <f t="shared" si="5"/>
        <v>17600</v>
      </c>
      <c r="Q45" s="120">
        <f t="shared" si="6"/>
        <v>22933.333333333336</v>
      </c>
      <c r="R45" s="106">
        <f t="shared" si="7"/>
        <v>0.43421052631578944</v>
      </c>
      <c r="S45" s="181"/>
      <c r="T45" s="62">
        <v>17</v>
      </c>
      <c r="U45" s="65"/>
      <c r="V45" s="65"/>
    </row>
    <row r="46" spans="1:22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>
        <f t="shared" si="8"/>
        <v>0.54356846473029041</v>
      </c>
      <c r="P46" s="120">
        <f t="shared" si="5"/>
        <v>69866.666666666657</v>
      </c>
      <c r="Q46" s="120">
        <f t="shared" si="6"/>
        <v>58666.666666666664</v>
      </c>
      <c r="R46" s="106">
        <f t="shared" si="7"/>
        <v>0.54356846473029041</v>
      </c>
      <c r="S46" s="181"/>
      <c r="T46" s="62">
        <v>18</v>
      </c>
    </row>
    <row r="47" spans="1:22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>
        <f t="shared" si="8"/>
        <v>0.90400000000000003</v>
      </c>
      <c r="P47" s="120">
        <f t="shared" si="5"/>
        <v>60266.666666666664</v>
      </c>
      <c r="Q47" s="120">
        <f t="shared" si="6"/>
        <v>6400</v>
      </c>
      <c r="R47" s="106">
        <f t="shared" si="7"/>
        <v>0.90400000000000014</v>
      </c>
      <c r="S47" s="181"/>
      <c r="T47" s="62">
        <v>19</v>
      </c>
    </row>
    <row r="48" spans="1:22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>
        <f t="shared" si="8"/>
        <v>0.88636363636363635</v>
      </c>
      <c r="P48" s="120">
        <f t="shared" si="5"/>
        <v>83200</v>
      </c>
      <c r="Q48" s="120">
        <f t="shared" si="6"/>
        <v>10666.666666666668</v>
      </c>
      <c r="R48" s="106">
        <f t="shared" si="7"/>
        <v>0.88636363636363635</v>
      </c>
      <c r="S48" s="181"/>
      <c r="T48" s="62">
        <v>20</v>
      </c>
    </row>
    <row r="49" spans="1:20" s="62" customFormat="1">
      <c r="A49" s="59">
        <v>42885</v>
      </c>
      <c r="B49" s="60">
        <v>21</v>
      </c>
      <c r="C49" s="60"/>
      <c r="D49" s="62" t="s">
        <v>138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>
        <f t="shared" si="8"/>
        <v>0.62199312714776633</v>
      </c>
      <c r="P49" s="120">
        <f t="shared" si="5"/>
        <v>96533.333333333343</v>
      </c>
      <c r="Q49" s="120">
        <f t="shared" si="6"/>
        <v>58666.666666666664</v>
      </c>
      <c r="R49" s="106">
        <f t="shared" si="7"/>
        <v>0.62199312714776633</v>
      </c>
      <c r="S49" s="181"/>
      <c r="T49" s="62">
        <v>21</v>
      </c>
    </row>
    <row r="50" spans="1:20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>
        <f t="shared" si="8"/>
        <v>0.68472906403940881</v>
      </c>
      <c r="P50" s="120">
        <f>(AVERAGE(I50,K50,M50)/G50)*H50</f>
        <v>74133.333333333343</v>
      </c>
      <c r="Q50" s="120">
        <f t="shared" si="6"/>
        <v>34133.333333333328</v>
      </c>
      <c r="R50" s="106">
        <f t="shared" si="7"/>
        <v>0.68472906403940892</v>
      </c>
      <c r="S50" s="181"/>
      <c r="T50" s="65">
        <v>22</v>
      </c>
    </row>
    <row r="51" spans="1:20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>
        <f>(AVERAGE(I51,K51,M51)/((AVERAGE(I51,K51,M51)+AVERAGE(J51,L51,N51))))</f>
        <v>6.8493150684931503E-2</v>
      </c>
      <c r="P51" s="121">
        <f>(AVERAGE(I51,K51,M51)/G51)*H51</f>
        <v>4000</v>
      </c>
      <c r="Q51" s="121">
        <f t="shared" si="6"/>
        <v>54400</v>
      </c>
      <c r="R51" s="112">
        <f t="shared" si="7"/>
        <v>6.8493150684931503E-2</v>
      </c>
      <c r="S51" s="115">
        <f>I51/(I51+I52)</f>
        <v>0.25</v>
      </c>
      <c r="T51" s="113"/>
    </row>
    <row r="52" spans="1:20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>
        <f t="shared" ref="O52:O83" si="9">(AVERAGE(I52,K52,M52)/((AVERAGE(I52,K52,M52)+AVERAGE(J52,L52,N52))))</f>
        <v>1</v>
      </c>
      <c r="P52" s="121">
        <f t="shared" ref="P52:P53" si="10">(AVERAGE(I52,K52,M52)/G52)*H52</f>
        <v>12000</v>
      </c>
      <c r="Q52" s="121">
        <f t="shared" si="6"/>
        <v>0</v>
      </c>
      <c r="R52" s="112">
        <f t="shared" si="7"/>
        <v>1</v>
      </c>
      <c r="S52" s="115">
        <f>I52/(I51+I52)</f>
        <v>0.75</v>
      </c>
      <c r="T52" s="113">
        <v>3</v>
      </c>
    </row>
    <row r="53" spans="1:20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>
        <f t="shared" si="9"/>
        <v>0</v>
      </c>
      <c r="P53" s="121">
        <f t="shared" si="10"/>
        <v>0</v>
      </c>
      <c r="Q53" s="121">
        <f t="shared" si="6"/>
        <v>99200</v>
      </c>
      <c r="R53" s="112">
        <f t="shared" si="7"/>
        <v>0</v>
      </c>
      <c r="S53" s="115">
        <f>I53/(I53+I54)</f>
        <v>0</v>
      </c>
      <c r="T53" s="113"/>
    </row>
    <row r="54" spans="1:20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>
        <f t="shared" si="9"/>
        <v>0.22222222222222221</v>
      </c>
      <c r="P54" s="121">
        <f>I54/G54*H54</f>
        <v>1600</v>
      </c>
      <c r="Q54" s="121">
        <f t="shared" si="6"/>
        <v>5600</v>
      </c>
      <c r="R54" s="112">
        <f t="shared" si="7"/>
        <v>0.22222222222222221</v>
      </c>
      <c r="S54" s="115">
        <f>I54/(I53+I54)</f>
        <v>1</v>
      </c>
      <c r="T54" s="113">
        <v>5</v>
      </c>
    </row>
    <row r="55" spans="1:20" s="110" customFormat="1">
      <c r="A55" s="108">
        <v>42886</v>
      </c>
      <c r="B55" s="109">
        <v>7</v>
      </c>
      <c r="C55" s="109">
        <v>5</v>
      </c>
      <c r="D55" s="110" t="s">
        <v>139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>
        <f t="shared" si="9"/>
        <v>1.11731843575419E-2</v>
      </c>
      <c r="P55" s="121">
        <f t="shared" ref="P55:P82" si="11">I55/G55*H55</f>
        <v>1600</v>
      </c>
      <c r="Q55" s="121">
        <f t="shared" si="6"/>
        <v>141600</v>
      </c>
      <c r="R55" s="112">
        <f t="shared" si="7"/>
        <v>1.11731843575419E-2</v>
      </c>
      <c r="S55" s="115">
        <f>I55/(I55+I56)</f>
        <v>0.15384615384615385</v>
      </c>
    </row>
    <row r="56" spans="1:20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>
        <f t="shared" si="9"/>
        <v>0.91666666666666663</v>
      </c>
      <c r="P56" s="121">
        <f t="shared" si="11"/>
        <v>8800</v>
      </c>
      <c r="Q56" s="121">
        <f t="shared" si="6"/>
        <v>800</v>
      </c>
      <c r="R56" s="112">
        <f t="shared" si="7"/>
        <v>0.91666666666666663</v>
      </c>
      <c r="S56" s="115">
        <f>I56/(I55+I56)</f>
        <v>0.84615384615384615</v>
      </c>
      <c r="T56" s="113">
        <v>7</v>
      </c>
    </row>
    <row r="57" spans="1:20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>
        <f t="shared" si="9"/>
        <v>5.4794520547945202E-2</v>
      </c>
      <c r="P57" s="121">
        <f t="shared" si="11"/>
        <v>3200</v>
      </c>
      <c r="Q57" s="121">
        <f t="shared" si="6"/>
        <v>55200</v>
      </c>
      <c r="R57" s="112">
        <f t="shared" si="7"/>
        <v>5.4794520547945202E-2</v>
      </c>
      <c r="S57" s="115">
        <f>I57/(I57+I58)</f>
        <v>4.7619047619047616E-2</v>
      </c>
    </row>
    <row r="58" spans="1:20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>
        <f t="shared" si="9"/>
        <v>0.93023255813953487</v>
      </c>
      <c r="P58" s="121">
        <f t="shared" si="11"/>
        <v>64000</v>
      </c>
      <c r="Q58" s="121">
        <f t="shared" si="6"/>
        <v>4800</v>
      </c>
      <c r="R58" s="112">
        <f t="shared" si="7"/>
        <v>0.93023255813953487</v>
      </c>
      <c r="S58" s="115">
        <f>I58/(I57+I58)</f>
        <v>0.95238095238095233</v>
      </c>
      <c r="T58" s="113">
        <v>8</v>
      </c>
    </row>
    <row r="59" spans="1:20" s="110" customFormat="1">
      <c r="A59" s="108">
        <v>42886</v>
      </c>
      <c r="B59" s="109">
        <v>9</v>
      </c>
      <c r="C59" s="109">
        <v>5</v>
      </c>
      <c r="D59" s="110" t="s">
        <v>139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>
        <f t="shared" si="9"/>
        <v>0.5714285714285714</v>
      </c>
      <c r="P59" s="121">
        <f t="shared" si="11"/>
        <v>16000</v>
      </c>
      <c r="Q59" s="121">
        <f t="shared" si="6"/>
        <v>12000</v>
      </c>
      <c r="R59" s="112">
        <f t="shared" si="7"/>
        <v>0.5714285714285714</v>
      </c>
      <c r="S59" s="115">
        <f>I59/(I59+I60)</f>
        <v>0.32786885245901637</v>
      </c>
      <c r="T59" s="110" t="s">
        <v>168</v>
      </c>
    </row>
    <row r="60" spans="1:20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>
        <f t="shared" si="9"/>
        <v>1</v>
      </c>
      <c r="P60" s="121">
        <f t="shared" si="11"/>
        <v>32800</v>
      </c>
      <c r="Q60" s="121">
        <f t="shared" si="6"/>
        <v>0</v>
      </c>
      <c r="R60" s="112">
        <f t="shared" si="7"/>
        <v>1</v>
      </c>
      <c r="S60" s="115">
        <f>I60/(I59+I60)</f>
        <v>0.67213114754098358</v>
      </c>
      <c r="T60" s="113">
        <v>7</v>
      </c>
    </row>
    <row r="61" spans="1:20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>
        <f t="shared" si="9"/>
        <v>3.2608695652173912E-2</v>
      </c>
      <c r="P61" s="121">
        <f t="shared" si="11"/>
        <v>2400</v>
      </c>
      <c r="Q61" s="121">
        <f t="shared" si="6"/>
        <v>71200</v>
      </c>
      <c r="R61" s="112">
        <f t="shared" si="7"/>
        <v>3.2608695652173912E-2</v>
      </c>
      <c r="S61" s="115">
        <f>I61/(I61+I62)</f>
        <v>0.14285714285714285</v>
      </c>
    </row>
    <row r="62" spans="1:20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>
        <f t="shared" si="9"/>
        <v>0.69230769230769229</v>
      </c>
      <c r="P62" s="121">
        <f t="shared" si="11"/>
        <v>14400</v>
      </c>
      <c r="Q62" s="121">
        <f t="shared" si="6"/>
        <v>6400</v>
      </c>
      <c r="R62" s="112">
        <f t="shared" si="7"/>
        <v>0.69230769230769229</v>
      </c>
      <c r="S62" s="115">
        <f>I62/(I61+I62)</f>
        <v>0.8571428571428571</v>
      </c>
      <c r="T62" s="113">
        <v>10</v>
      </c>
    </row>
    <row r="63" spans="1:20" s="110" customFormat="1">
      <c r="A63" s="108">
        <v>42886</v>
      </c>
      <c r="B63" s="109">
        <v>11</v>
      </c>
      <c r="C63" s="109">
        <v>5</v>
      </c>
      <c r="D63" s="110" t="s">
        <v>140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>
        <f t="shared" si="9"/>
        <v>8.6956521739130436E-3</v>
      </c>
      <c r="P63" s="121">
        <f t="shared" si="11"/>
        <v>800</v>
      </c>
      <c r="Q63" s="121">
        <f t="shared" si="6"/>
        <v>91200</v>
      </c>
      <c r="R63" s="112">
        <f t="shared" si="7"/>
        <v>8.6956521739130436E-3</v>
      </c>
      <c r="S63" s="115">
        <f>I63/(I63+I64)</f>
        <v>0.25</v>
      </c>
    </row>
    <row r="64" spans="1:20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>
        <f t="shared" si="9"/>
        <v>1</v>
      </c>
      <c r="P64" s="121">
        <f t="shared" si="11"/>
        <v>2400</v>
      </c>
      <c r="Q64" s="121">
        <f t="shared" si="6"/>
        <v>0</v>
      </c>
      <c r="R64" s="112">
        <f t="shared" si="7"/>
        <v>1</v>
      </c>
      <c r="S64" s="115">
        <f>I64/(I63+I64)</f>
        <v>0.75</v>
      </c>
      <c r="T64" s="113">
        <v>5</v>
      </c>
    </row>
    <row r="65" spans="1:20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>
        <f t="shared" si="9"/>
        <v>7.7519379844961239E-2</v>
      </c>
      <c r="P65" s="121">
        <f t="shared" si="11"/>
        <v>8000</v>
      </c>
      <c r="Q65" s="121">
        <f t="shared" si="6"/>
        <v>95200</v>
      </c>
      <c r="R65" s="112">
        <f t="shared" si="7"/>
        <v>7.7519379844961239E-2</v>
      </c>
      <c r="S65" s="115">
        <f>I65/(I65+I66)</f>
        <v>0.58823529411764708</v>
      </c>
    </row>
    <row r="66" spans="1:20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>
        <f t="shared" si="9"/>
        <v>0.5</v>
      </c>
      <c r="P66" s="121">
        <f t="shared" si="11"/>
        <v>5600</v>
      </c>
      <c r="Q66" s="121">
        <f t="shared" si="6"/>
        <v>5600</v>
      </c>
      <c r="R66" s="112">
        <f t="shared" si="7"/>
        <v>0.5</v>
      </c>
      <c r="S66" s="115">
        <f>I66/(I65+I66)</f>
        <v>0.41176470588235292</v>
      </c>
      <c r="T66" s="113">
        <v>12</v>
      </c>
    </row>
    <row r="67" spans="1:20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>
        <f t="shared" si="9"/>
        <v>9.285714285714286E-2</v>
      </c>
      <c r="P67" s="121">
        <f t="shared" si="11"/>
        <v>10400</v>
      </c>
      <c r="Q67" s="121">
        <f t="shared" si="6"/>
        <v>101600</v>
      </c>
      <c r="R67" s="112">
        <f t="shared" si="7"/>
        <v>9.285714285714286E-2</v>
      </c>
      <c r="S67" s="115" t="e">
        <f>I67/(I67+I68)</f>
        <v>#VALUE!</v>
      </c>
    </row>
    <row r="68" spans="1:20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166</v>
      </c>
      <c r="J68" s="110" t="s">
        <v>166</v>
      </c>
      <c r="O68" s="112" t="e">
        <f t="shared" si="9"/>
        <v>#DIV/0!</v>
      </c>
      <c r="P68" s="121" t="e">
        <f t="shared" si="11"/>
        <v>#VALUE!</v>
      </c>
      <c r="Q68" s="121" t="e">
        <f t="shared" si="6"/>
        <v>#DIV/0!</v>
      </c>
      <c r="R68" s="112" t="e">
        <f t="shared" si="7"/>
        <v>#VALUE!</v>
      </c>
      <c r="S68" s="115" t="e">
        <f>I68/(I67+I68)</f>
        <v>#VALUE!</v>
      </c>
      <c r="T68" s="113">
        <v>13</v>
      </c>
    </row>
    <row r="69" spans="1:20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>
        <f t="shared" si="9"/>
        <v>0</v>
      </c>
      <c r="P69" s="121">
        <f t="shared" si="11"/>
        <v>0</v>
      </c>
      <c r="Q69" s="121">
        <f t="shared" si="6"/>
        <v>65600</v>
      </c>
      <c r="R69" s="112">
        <f t="shared" si="7"/>
        <v>0</v>
      </c>
      <c r="S69" s="115">
        <f>I69/(I69+I70)</f>
        <v>0</v>
      </c>
    </row>
    <row r="70" spans="1:20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>
        <f t="shared" si="9"/>
        <v>0.14285714285714285</v>
      </c>
      <c r="P70" s="121">
        <f t="shared" si="11"/>
        <v>400</v>
      </c>
      <c r="Q70" s="121">
        <f t="shared" si="6"/>
        <v>2400</v>
      </c>
      <c r="R70" s="112">
        <f t="shared" si="7"/>
        <v>0.14285714285714285</v>
      </c>
      <c r="S70" s="115">
        <f>I70/(I69+I70)</f>
        <v>1</v>
      </c>
      <c r="T70" s="113">
        <v>16</v>
      </c>
    </row>
    <row r="71" spans="1:20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>
        <f t="shared" si="9"/>
        <v>9.0909090909090912E-2</v>
      </c>
      <c r="P71" s="121">
        <f t="shared" si="11"/>
        <v>3200</v>
      </c>
      <c r="Q71" s="121">
        <f t="shared" si="6"/>
        <v>32000</v>
      </c>
      <c r="R71" s="112">
        <f t="shared" si="7"/>
        <v>9.0909090909090912E-2</v>
      </c>
      <c r="S71" s="115">
        <f>I71/(I71+I72)</f>
        <v>0.19047619047619047</v>
      </c>
    </row>
    <row r="72" spans="1:20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>
        <f t="shared" si="9"/>
        <v>0.77272727272727271</v>
      </c>
      <c r="P72" s="121">
        <f t="shared" si="11"/>
        <v>13600</v>
      </c>
      <c r="Q72" s="121">
        <f t="shared" si="6"/>
        <v>4000</v>
      </c>
      <c r="R72" s="112">
        <f t="shared" si="7"/>
        <v>0.77272727272727271</v>
      </c>
      <c r="S72" s="115">
        <f>I72/(I71+I72)</f>
        <v>0.80952380952380953</v>
      </c>
      <c r="T72" s="113">
        <v>17</v>
      </c>
    </row>
    <row r="73" spans="1:20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>
        <f t="shared" si="9"/>
        <v>0.14634146341463414</v>
      </c>
      <c r="P73" s="121">
        <f t="shared" si="11"/>
        <v>4800</v>
      </c>
      <c r="Q73" s="121">
        <f t="shared" si="6"/>
        <v>28000</v>
      </c>
      <c r="R73" s="112">
        <f t="shared" si="7"/>
        <v>0.14634146341463414</v>
      </c>
      <c r="S73" s="115">
        <f>I73/(I73+I74)</f>
        <v>8.9552238805970144E-2</v>
      </c>
    </row>
    <row r="74" spans="1:20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>
        <f t="shared" si="9"/>
        <v>0.953125</v>
      </c>
      <c r="P74" s="121">
        <f t="shared" si="11"/>
        <v>48800</v>
      </c>
      <c r="Q74" s="121">
        <f t="shared" si="6"/>
        <v>2400</v>
      </c>
      <c r="R74" s="112">
        <f t="shared" si="7"/>
        <v>0.953125</v>
      </c>
      <c r="S74" s="115">
        <f>I74/(I73+I74)</f>
        <v>0.91044776119402981</v>
      </c>
      <c r="T74" s="113">
        <v>18</v>
      </c>
    </row>
    <row r="75" spans="1:20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>
        <f t="shared" si="9"/>
        <v>0</v>
      </c>
      <c r="P75" s="121">
        <f t="shared" si="11"/>
        <v>0</v>
      </c>
      <c r="Q75" s="121">
        <f t="shared" si="6"/>
        <v>3200</v>
      </c>
      <c r="R75" s="112">
        <f t="shared" si="7"/>
        <v>0</v>
      </c>
      <c r="S75" s="115" t="e">
        <f>I75/(I75+I76)</f>
        <v>#VALUE!</v>
      </c>
    </row>
    <row r="76" spans="1:20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166</v>
      </c>
      <c r="J76" s="110" t="s">
        <v>166</v>
      </c>
      <c r="O76" s="112" t="e">
        <f t="shared" si="9"/>
        <v>#DIV/0!</v>
      </c>
      <c r="P76" s="121" t="e">
        <f t="shared" si="11"/>
        <v>#VALUE!</v>
      </c>
      <c r="Q76" s="121" t="e">
        <f t="shared" si="6"/>
        <v>#DIV/0!</v>
      </c>
      <c r="R76" s="112" t="e">
        <f t="shared" si="7"/>
        <v>#VALUE!</v>
      </c>
      <c r="S76" s="115" t="e">
        <f>I76/(I75+I76)</f>
        <v>#VALUE!</v>
      </c>
      <c r="T76" s="113">
        <v>19</v>
      </c>
    </row>
    <row r="77" spans="1:20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>
        <f t="shared" si="9"/>
        <v>0.46666666666666667</v>
      </c>
      <c r="P77" s="121">
        <f>I77/G77*H77</f>
        <v>16800</v>
      </c>
      <c r="Q77" s="121">
        <f t="shared" si="6"/>
        <v>19200</v>
      </c>
      <c r="R77" s="112">
        <f t="shared" si="7"/>
        <v>0.46666666666666667</v>
      </c>
      <c r="S77" s="115">
        <f>I77/(I77+I78)</f>
        <v>0.80769230769230771</v>
      </c>
      <c r="T77" s="110" t="s">
        <v>168</v>
      </c>
    </row>
    <row r="78" spans="1:20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>
        <f t="shared" si="9"/>
        <v>0.83333333333333337</v>
      </c>
      <c r="P78" s="121">
        <f t="shared" si="11"/>
        <v>4000</v>
      </c>
      <c r="Q78" s="121">
        <f t="shared" si="6"/>
        <v>800</v>
      </c>
      <c r="R78" s="112">
        <f t="shared" si="7"/>
        <v>0.83333333333333337</v>
      </c>
      <c r="S78" s="115">
        <f>I78/(I77+I78)</f>
        <v>0.19230769230769232</v>
      </c>
      <c r="T78" s="113">
        <v>20</v>
      </c>
    </row>
    <row r="79" spans="1:20" s="110" customFormat="1">
      <c r="A79" s="108">
        <v>42886</v>
      </c>
      <c r="B79" s="109">
        <v>21</v>
      </c>
      <c r="C79" s="109">
        <v>5</v>
      </c>
      <c r="D79" s="110" t="s">
        <v>138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>
        <f t="shared" si="9"/>
        <v>5.6179775280898875E-3</v>
      </c>
      <c r="P79" s="121">
        <f t="shared" si="11"/>
        <v>800</v>
      </c>
      <c r="Q79" s="121">
        <f t="shared" si="6"/>
        <v>141600</v>
      </c>
      <c r="R79" s="112">
        <f t="shared" si="7"/>
        <v>5.6179775280898875E-3</v>
      </c>
      <c r="S79" s="115">
        <f>I79/(I79+I80)</f>
        <v>1.5873015873015872E-2</v>
      </c>
    </row>
    <row r="80" spans="1:20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>
        <f t="shared" si="9"/>
        <v>1</v>
      </c>
      <c r="P80" s="121">
        <f t="shared" si="11"/>
        <v>49600</v>
      </c>
      <c r="Q80" s="121">
        <f t="shared" si="6"/>
        <v>0</v>
      </c>
      <c r="R80" s="112">
        <f t="shared" si="7"/>
        <v>1</v>
      </c>
      <c r="S80" s="115">
        <f>I80/(I79+I80)</f>
        <v>0.98412698412698407</v>
      </c>
      <c r="T80" s="113">
        <v>21</v>
      </c>
    </row>
    <row r="81" spans="1:23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>
        <f t="shared" si="9"/>
        <v>7.9365079365079361E-2</v>
      </c>
      <c r="P81" s="121">
        <f t="shared" si="11"/>
        <v>4000</v>
      </c>
      <c r="Q81" s="121">
        <f t="shared" si="6"/>
        <v>46400</v>
      </c>
      <c r="R81" s="112">
        <f t="shared" si="7"/>
        <v>7.9365079365079361E-2</v>
      </c>
      <c r="S81" s="115">
        <f>I81/(I81+I82)</f>
        <v>5.5555555555555552E-2</v>
      </c>
      <c r="T81" s="113"/>
    </row>
    <row r="82" spans="1:23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>
        <f t="shared" si="9"/>
        <v>0.97701149425287359</v>
      </c>
      <c r="P82" s="131">
        <f t="shared" si="11"/>
        <v>68000</v>
      </c>
      <c r="Q82" s="131">
        <f t="shared" si="6"/>
        <v>1600</v>
      </c>
      <c r="R82" s="130">
        <f t="shared" si="7"/>
        <v>0.97701149425287359</v>
      </c>
      <c r="S82" s="132">
        <f>I82/(I81+I82)</f>
        <v>0.94444444444444442</v>
      </c>
      <c r="T82" s="133">
        <v>22</v>
      </c>
    </row>
    <row r="83" spans="1:23" s="75" customFormat="1">
      <c r="A83" s="72">
        <v>42891</v>
      </c>
      <c r="B83" s="73">
        <v>7</v>
      </c>
      <c r="C83" s="73"/>
      <c r="D83" s="74" t="s">
        <v>139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O83" s="75">
        <f t="shared" si="9"/>
        <v>1</v>
      </c>
      <c r="P83" s="122">
        <f>(AVERAGE(I83,K83,M83)/G83)*H83</f>
        <v>115.83333333333333</v>
      </c>
      <c r="Q83" s="122">
        <f t="shared" si="6"/>
        <v>0</v>
      </c>
      <c r="R83" s="162">
        <f t="shared" si="7"/>
        <v>1</v>
      </c>
      <c r="S83" s="175" t="str">
        <f>D83</f>
        <v xml:space="preserve">SN-10 Low </v>
      </c>
      <c r="T83" s="76"/>
      <c r="U83" s="76"/>
      <c r="V83" s="76"/>
      <c r="W83" s="75" t="s">
        <v>216</v>
      </c>
    </row>
    <row r="84" spans="1:23" s="80" customFormat="1">
      <c r="A84" s="77">
        <v>42891</v>
      </c>
      <c r="B84" s="78">
        <v>7</v>
      </c>
      <c r="C84" s="78"/>
      <c r="D84" s="79" t="s">
        <v>139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6"/>
        <v>0</v>
      </c>
      <c r="R84" s="163">
        <f t="shared" si="7"/>
        <v>1</v>
      </c>
      <c r="S84" s="176">
        <f>(P83+P84+P85)/(P83+P84+P85+Q83+Q84+Q85)</f>
        <v>0.87502557140466053</v>
      </c>
      <c r="T84" s="81"/>
      <c r="U84" s="81"/>
      <c r="V84" s="81"/>
    </row>
    <row r="85" spans="1:23" s="80" customFormat="1">
      <c r="A85" s="77">
        <v>42891</v>
      </c>
      <c r="B85" s="78">
        <v>7</v>
      </c>
      <c r="C85" s="78"/>
      <c r="D85" s="79" t="s">
        <v>139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6"/>
        <v>5600</v>
      </c>
      <c r="R85" s="163">
        <f t="shared" si="7"/>
        <v>0.86956521739130432</v>
      </c>
      <c r="S85" s="176"/>
      <c r="T85" s="81"/>
      <c r="U85" s="81"/>
      <c r="V85" s="81"/>
    </row>
    <row r="86" spans="1:23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6"/>
        <v>0</v>
      </c>
      <c r="R86" s="163">
        <f t="shared" si="7"/>
        <v>1</v>
      </c>
      <c r="S86" s="176" t="str">
        <f>D86</f>
        <v>NF-6 Low</v>
      </c>
      <c r="T86" s="81"/>
      <c r="U86" s="81"/>
      <c r="V86" s="81"/>
    </row>
    <row r="87" spans="1:23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6"/>
        <v>0</v>
      </c>
      <c r="R87" s="163">
        <f t="shared" si="7"/>
        <v>1</v>
      </c>
      <c r="S87" s="176">
        <f>(P86+P87+P88)/(P86+P87+P88+Q86+Q87+Q88)</f>
        <v>0.44459712679575258</v>
      </c>
      <c r="T87" s="81"/>
      <c r="U87" s="81"/>
      <c r="V87" s="81"/>
    </row>
    <row r="88" spans="1:23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6"/>
        <v>9880</v>
      </c>
      <c r="R88" s="163">
        <f t="shared" si="7"/>
        <v>0.44117647058823528</v>
      </c>
      <c r="S88" s="176"/>
      <c r="T88" s="81"/>
      <c r="U88" s="81"/>
      <c r="V88" s="81"/>
    </row>
    <row r="89" spans="1:23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6"/>
        <v>0</v>
      </c>
      <c r="R89" s="163" t="e">
        <f t="shared" si="7"/>
        <v>#DIV/0!</v>
      </c>
      <c r="S89" s="176" t="str">
        <f>D89</f>
        <v>SN-10 Ambient</v>
      </c>
      <c r="T89" s="81"/>
      <c r="U89" s="81"/>
      <c r="V89" s="81"/>
    </row>
    <row r="90" spans="1:23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6"/>
        <v>393.33333333333331</v>
      </c>
      <c r="R90" s="163">
        <f t="shared" si="7"/>
        <v>0.66666666666666663</v>
      </c>
      <c r="S90" s="176">
        <f>(P89+P90+P91)/(P89+P90+P91+Q89+Q90+Q91)</f>
        <v>0.81344419721278838</v>
      </c>
      <c r="T90" s="81"/>
      <c r="U90" s="81"/>
      <c r="V90" s="81"/>
    </row>
    <row r="91" spans="1:23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6"/>
        <v>31466.666666666668</v>
      </c>
      <c r="R91" s="163">
        <f t="shared" si="7"/>
        <v>0.81446540880503149</v>
      </c>
      <c r="S91" s="176"/>
      <c r="T91" s="81"/>
      <c r="U91" s="81"/>
      <c r="V91" s="81"/>
    </row>
    <row r="92" spans="1:23" s="80" customFormat="1">
      <c r="A92" s="77">
        <v>42891</v>
      </c>
      <c r="B92" s="78">
        <v>12</v>
      </c>
      <c r="C92" s="78"/>
      <c r="D92" s="80" t="s">
        <v>76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6"/>
        <v>0</v>
      </c>
      <c r="R92" s="163">
        <f t="shared" si="7"/>
        <v>1</v>
      </c>
      <c r="S92" s="176" t="str">
        <f>D92</f>
        <v xml:space="preserve">NF-10 Low </v>
      </c>
      <c r="T92" s="81"/>
      <c r="U92" s="81"/>
      <c r="V92" s="81"/>
    </row>
    <row r="93" spans="1:23" s="80" customFormat="1">
      <c r="A93" s="77">
        <v>42891</v>
      </c>
      <c r="B93" s="78">
        <v>12</v>
      </c>
      <c r="C93" s="78"/>
      <c r="D93" s="80" t="s">
        <v>76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6"/>
        <v>480</v>
      </c>
      <c r="R93" s="163">
        <f t="shared" si="7"/>
        <v>0.63636363636363635</v>
      </c>
      <c r="S93" s="176">
        <f>(P92+P93+P94)/(P92+P93+P94+Q92+Q93+Q94)</f>
        <v>0.81850310665222603</v>
      </c>
      <c r="T93" s="81"/>
      <c r="U93" s="81"/>
      <c r="V93" s="81"/>
    </row>
    <row r="94" spans="1:23" s="80" customFormat="1">
      <c r="A94" s="77">
        <v>42891</v>
      </c>
      <c r="B94" s="78">
        <v>12</v>
      </c>
      <c r="C94" s="78"/>
      <c r="D94" s="80" t="s">
        <v>76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6"/>
        <v>10133.333333333332</v>
      </c>
      <c r="R94" s="163">
        <f t="shared" si="7"/>
        <v>0.82242990654205617</v>
      </c>
      <c r="S94" s="176"/>
      <c r="T94" s="81"/>
      <c r="U94" s="81"/>
      <c r="V94" s="81"/>
    </row>
    <row r="95" spans="1:23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6"/>
        <v>54.444444444444443</v>
      </c>
      <c r="R95" s="163">
        <f t="shared" si="7"/>
        <v>0.33333333333333337</v>
      </c>
      <c r="S95" s="176" t="str">
        <f>D95</f>
        <v>SN-6 Low</v>
      </c>
      <c r="T95" s="81"/>
      <c r="U95" s="81"/>
      <c r="V95" s="81"/>
    </row>
    <row r="96" spans="1:23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6"/>
        <v>140</v>
      </c>
      <c r="R96" s="163">
        <f t="shared" si="7"/>
        <v>0.9285714285714286</v>
      </c>
      <c r="S96" s="176">
        <f>(P95+P96+P97)/(P95+P96+P97+Q95+Q96+Q97)</f>
        <v>0.83877037362852191</v>
      </c>
      <c r="T96" s="81"/>
      <c r="U96" s="81"/>
      <c r="V96" s="81"/>
    </row>
    <row r="97" spans="1:23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6"/>
        <v>18133.333333333332</v>
      </c>
      <c r="R97" s="163">
        <f t="shared" si="7"/>
        <v>0.83756345177664981</v>
      </c>
      <c r="S97" s="176"/>
      <c r="T97" s="81"/>
      <c r="U97" s="81"/>
      <c r="V97" s="81"/>
    </row>
    <row r="98" spans="1:23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6"/>
        <v>45</v>
      </c>
      <c r="R98" s="163">
        <f t="shared" si="7"/>
        <v>0.66666666666666663</v>
      </c>
      <c r="S98" s="176" t="str">
        <f>D98</f>
        <v>NF-6 Ambient</v>
      </c>
      <c r="T98" s="81"/>
      <c r="U98" s="81"/>
      <c r="V98" s="81"/>
    </row>
    <row r="99" spans="1:23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6"/>
        <v>0</v>
      </c>
      <c r="R99" s="163">
        <f t="shared" si="7"/>
        <v>1</v>
      </c>
      <c r="S99" s="176">
        <f>(P98+P99+P100)/(P98+P99+P100+Q98+Q99+Q100)</f>
        <v>0.86138640525692123</v>
      </c>
      <c r="T99" s="81"/>
    </row>
    <row r="100" spans="1:23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3">
        <f t="shared" ref="R100:R163" si="14">P100/(P100+Q100)</f>
        <v>0.8584070796460177</v>
      </c>
      <c r="S100" s="176"/>
      <c r="T100" s="81"/>
    </row>
    <row r="101" spans="1:23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3">
        <f t="shared" si="14"/>
        <v>0.75</v>
      </c>
      <c r="S101" s="176" t="str">
        <f>D101</f>
        <v>SN-6 Ambient</v>
      </c>
      <c r="T101" s="81"/>
    </row>
    <row r="102" spans="1:23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3" t="e">
        <f t="shared" si="14"/>
        <v>#DIV/0!</v>
      </c>
      <c r="S102" s="176">
        <f>(P101+P102+P103)/(P101+P102+P103+Q101+Q102+Q103)</f>
        <v>0.75958466453674123</v>
      </c>
      <c r="T102" s="81"/>
    </row>
    <row r="103" spans="1:23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3">
        <f t="shared" si="14"/>
        <v>0.75961538461538458</v>
      </c>
      <c r="S103" s="176"/>
      <c r="T103" s="81"/>
    </row>
    <row r="104" spans="1:23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3" t="e">
        <f t="shared" si="14"/>
        <v>#DIV/0!</v>
      </c>
      <c r="S104" s="176" t="str">
        <f>D104</f>
        <v>NF-10 Ambient</v>
      </c>
    </row>
    <row r="105" spans="1:23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3">
        <f t="shared" si="14"/>
        <v>0.93333333333333335</v>
      </c>
      <c r="S105" s="176">
        <f>(P104+P105+P106)/(P104+P105+P106+Q104+Q105+Q106)</f>
        <v>0.8665880734846253</v>
      </c>
    </row>
    <row r="106" spans="1:23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3">
        <f t="shared" si="14"/>
        <v>0.86507936507936511</v>
      </c>
      <c r="S106" s="176"/>
    </row>
    <row r="107" spans="1:23" s="80" customFormat="1">
      <c r="A107" s="77">
        <v>42891</v>
      </c>
      <c r="B107" s="78">
        <v>9</v>
      </c>
      <c r="C107" s="78"/>
      <c r="D107" s="79" t="s">
        <v>139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124">
        <f t="shared" si="12"/>
        <v>155.55555555555557</v>
      </c>
      <c r="Q107" s="124">
        <f t="shared" si="13"/>
        <v>22.222222222222221</v>
      </c>
      <c r="R107" s="163">
        <f t="shared" si="14"/>
        <v>0.875</v>
      </c>
      <c r="S107" s="176" t="str">
        <f>D107</f>
        <v xml:space="preserve">SN-10 Low </v>
      </c>
      <c r="T107" s="81"/>
      <c r="U107" s="81"/>
      <c r="V107" s="81"/>
      <c r="W107" s="80" t="s">
        <v>175</v>
      </c>
    </row>
    <row r="108" spans="1:23" s="80" customFormat="1">
      <c r="A108" s="77">
        <v>42891</v>
      </c>
      <c r="B108" s="78">
        <v>9</v>
      </c>
      <c r="C108" s="78"/>
      <c r="D108" s="79" t="s">
        <v>139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3">
        <f t="shared" si="14"/>
        <v>0.88888888888888884</v>
      </c>
      <c r="S108" s="176">
        <f>(P107+P108+P109)/(P107+P108+P109+Q107+Q108+Q109)</f>
        <v>0.32666632564325543</v>
      </c>
      <c r="T108" s="81"/>
      <c r="U108" s="81"/>
      <c r="V108" s="81"/>
    </row>
    <row r="109" spans="1:23" s="80" customFormat="1">
      <c r="A109" s="77">
        <v>42891</v>
      </c>
      <c r="B109" s="78">
        <v>9</v>
      </c>
      <c r="C109" s="78"/>
      <c r="D109" s="79" t="s">
        <v>139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3">
        <f t="shared" si="14"/>
        <v>0.2931034482758621</v>
      </c>
      <c r="S109" s="176"/>
      <c r="T109" s="81"/>
      <c r="U109" s="81"/>
      <c r="V109" s="81"/>
    </row>
    <row r="110" spans="1:23" s="80" customFormat="1">
      <c r="A110" s="77">
        <v>42891</v>
      </c>
      <c r="B110" s="78" t="s">
        <v>176</v>
      </c>
      <c r="C110" s="156" t="s">
        <v>217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3" t="e">
        <f t="shared" si="14"/>
        <v>#DIV/0!</v>
      </c>
      <c r="S110" s="176">
        <f>D110</f>
        <v>0</v>
      </c>
      <c r="T110" s="81"/>
      <c r="U110" s="81"/>
      <c r="V110" s="81"/>
    </row>
    <row r="111" spans="1:23" s="80" customFormat="1">
      <c r="A111" s="77">
        <v>42891</v>
      </c>
      <c r="B111" s="78" t="s">
        <v>176</v>
      </c>
      <c r="C111" s="156" t="s">
        <v>217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3">
        <f t="shared" si="14"/>
        <v>1</v>
      </c>
      <c r="S111" s="176"/>
      <c r="T111" s="81"/>
      <c r="U111" s="81"/>
      <c r="V111" s="81"/>
    </row>
    <row r="112" spans="1:23" s="80" customFormat="1">
      <c r="A112" s="77">
        <v>42891</v>
      </c>
      <c r="B112" s="78" t="s">
        <v>176</v>
      </c>
      <c r="C112" s="156" t="s">
        <v>217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3">
        <f t="shared" si="14"/>
        <v>0.79824561403508765</v>
      </c>
      <c r="S112" s="176"/>
      <c r="T112" s="81"/>
      <c r="U112" s="81"/>
      <c r="V112" s="81"/>
    </row>
    <row r="113" spans="1:23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3" t="e">
        <f t="shared" si="14"/>
        <v>#DIV/0!</v>
      </c>
      <c r="S113" s="176" t="str">
        <f>D113</f>
        <v xml:space="preserve">K-10 Low </v>
      </c>
      <c r="T113" s="81"/>
      <c r="U113" s="81"/>
      <c r="V113" s="81"/>
      <c r="W113" s="80" t="s">
        <v>177</v>
      </c>
    </row>
    <row r="114" spans="1:23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3">
        <f t="shared" si="14"/>
        <v>0.75000000000000011</v>
      </c>
      <c r="S114" s="176">
        <f>(P113+P114+P115)/(P113+P114+P115+Q113+Q114+Q115)</f>
        <v>9.2578305817003562E-3</v>
      </c>
      <c r="T114" s="81"/>
      <c r="U114" s="81"/>
      <c r="V114" s="81"/>
    </row>
    <row r="115" spans="1:23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3">
        <f t="shared" si="14"/>
        <v>0</v>
      </c>
      <c r="S115" s="176"/>
      <c r="T115" s="81"/>
      <c r="U115" s="81"/>
      <c r="V115" s="81"/>
    </row>
    <row r="116" spans="1:23" s="80" customFormat="1">
      <c r="A116" s="77">
        <v>42891</v>
      </c>
      <c r="B116" s="78">
        <v>21</v>
      </c>
      <c r="C116" s="78"/>
      <c r="D116" s="80" t="s">
        <v>138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3" t="e">
        <f t="shared" si="14"/>
        <v>#DIV/0!</v>
      </c>
      <c r="S116" s="176" t="str">
        <f>D116</f>
        <v xml:space="preserve">HL-10 Low </v>
      </c>
      <c r="T116" s="81"/>
      <c r="U116" s="81"/>
      <c r="V116" s="81"/>
    </row>
    <row r="117" spans="1:23" s="80" customFormat="1">
      <c r="A117" s="77">
        <v>42891</v>
      </c>
      <c r="B117" s="78">
        <v>21</v>
      </c>
      <c r="C117" s="78"/>
      <c r="D117" s="80" t="s">
        <v>138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3">
        <f t="shared" si="14"/>
        <v>1</v>
      </c>
      <c r="S117" s="176">
        <f>(P116+P117+P118)/(P116+P117+P118+Q116+Q117+Q118)</f>
        <v>0.90077017999234077</v>
      </c>
      <c r="T117" s="81"/>
      <c r="U117" s="81"/>
      <c r="V117" s="81"/>
    </row>
    <row r="118" spans="1:23" s="80" customFormat="1">
      <c r="A118" s="77">
        <v>42891</v>
      </c>
      <c r="B118" s="78">
        <v>21</v>
      </c>
      <c r="C118" s="78"/>
      <c r="D118" s="80" t="s">
        <v>138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3">
        <f t="shared" si="14"/>
        <v>0.90045248868778283</v>
      </c>
      <c r="S118" s="176"/>
      <c r="T118" s="81"/>
      <c r="U118" s="81"/>
      <c r="V118" s="81"/>
    </row>
    <row r="119" spans="1:23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3">
        <f t="shared" si="14"/>
        <v>0.81818181818181812</v>
      </c>
      <c r="S119" s="176" t="str">
        <f>D119</f>
        <v xml:space="preserve">K-10 Low </v>
      </c>
      <c r="T119" s="81"/>
      <c r="U119" s="81"/>
      <c r="V119" s="81"/>
    </row>
    <row r="120" spans="1:23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3">
        <f t="shared" si="14"/>
        <v>0.97222222222222232</v>
      </c>
      <c r="S120" s="176">
        <f>(P119+P120+P121)/(P119+P120+P121+Q119+Q120+Q121)</f>
        <v>0.89954659323823527</v>
      </c>
      <c r="T120" s="81"/>
      <c r="U120" s="81"/>
      <c r="V120" s="81"/>
    </row>
    <row r="121" spans="1:23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3">
        <f t="shared" si="14"/>
        <v>0.88157894736842102</v>
      </c>
      <c r="S121" s="176"/>
      <c r="T121" s="81"/>
      <c r="U121" s="81"/>
      <c r="V121" s="81"/>
    </row>
    <row r="122" spans="1:23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3" t="e">
        <f t="shared" si="14"/>
        <v>#DIV/0!</v>
      </c>
      <c r="S122" s="176" t="str">
        <f>D122</f>
        <v>HL-10 Ambient</v>
      </c>
      <c r="T122" s="81"/>
      <c r="U122" s="81"/>
      <c r="V122" s="81"/>
    </row>
    <row r="123" spans="1:23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3">
        <f t="shared" si="14"/>
        <v>1</v>
      </c>
      <c r="S123" s="176">
        <f>(P122+P123+P124)/(P122+P123+P124+Q122+Q123+Q124)</f>
        <v>0.95704367949088809</v>
      </c>
      <c r="T123" s="81"/>
    </row>
    <row r="124" spans="1:23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3">
        <f t="shared" si="14"/>
        <v>0.95546558704453444</v>
      </c>
      <c r="S124" s="176"/>
      <c r="T124" s="81"/>
    </row>
    <row r="125" spans="1:23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3">
        <f t="shared" si="14"/>
        <v>1</v>
      </c>
      <c r="S125" s="176" t="str">
        <f>D125</f>
        <v>K-6 Ambient</v>
      </c>
      <c r="T125" s="81"/>
    </row>
    <row r="126" spans="1:23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3">
        <f t="shared" si="14"/>
        <v>1</v>
      </c>
      <c r="S126" s="176">
        <f>(P125+P126+P127)/(P125+P126+P127+Q125+Q126+Q127)</f>
        <v>0.88352628524299726</v>
      </c>
      <c r="T126" s="81"/>
    </row>
    <row r="127" spans="1:23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3">
        <f t="shared" si="14"/>
        <v>0.87698412698412709</v>
      </c>
      <c r="S127" s="176"/>
      <c r="T127" s="81"/>
    </row>
    <row r="128" spans="1:23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3" t="e">
        <f t="shared" si="14"/>
        <v>#DIV/0!</v>
      </c>
      <c r="S128" s="176" t="str">
        <f>D128</f>
        <v>K-6 Low</v>
      </c>
    </row>
    <row r="129" spans="1:22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3">
        <f t="shared" si="14"/>
        <v>1</v>
      </c>
      <c r="S129" s="176">
        <f>(P128+P129+P130)/(P128+P129+P130+Q128+Q129+Q130)</f>
        <v>0.91578947368421049</v>
      </c>
    </row>
    <row r="130" spans="1:22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3">
        <f t="shared" si="14"/>
        <v>0.9</v>
      </c>
      <c r="S130" s="176"/>
    </row>
    <row r="131" spans="1:22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3">
        <f t="shared" si="14"/>
        <v>1</v>
      </c>
      <c r="S131" s="176" t="str">
        <f>D131</f>
        <v>K-10 Ambient</v>
      </c>
    </row>
    <row r="132" spans="1:22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3">
        <f t="shared" si="14"/>
        <v>0.82945736434108519</v>
      </c>
      <c r="S132" s="176">
        <f>(P131+P132+P133)/(P131+P132+P133+Q131+Q132+Q133)</f>
        <v>0.762990335417851</v>
      </c>
    </row>
    <row r="133" spans="1:22" s="159" customFormat="1">
      <c r="A133" s="157">
        <v>42891</v>
      </c>
      <c r="B133" s="158">
        <v>22</v>
      </c>
      <c r="C133" s="158"/>
      <c r="D133" s="159" t="s">
        <v>17</v>
      </c>
      <c r="E133" s="159">
        <v>7</v>
      </c>
      <c r="F133" s="160">
        <v>100</v>
      </c>
      <c r="G133" s="159">
        <v>0.5</v>
      </c>
      <c r="H133" s="159">
        <v>470</v>
      </c>
      <c r="I133" s="159">
        <v>74</v>
      </c>
      <c r="J133" s="159">
        <v>20</v>
      </c>
      <c r="K133" s="159">
        <v>70</v>
      </c>
      <c r="L133" s="159">
        <v>34</v>
      </c>
      <c r="M133" s="159">
        <v>84</v>
      </c>
      <c r="N133" s="159">
        <v>23</v>
      </c>
      <c r="P133" s="124">
        <f>(AVERAGE(I133,K133,M133)/G133)*H133</f>
        <v>71440</v>
      </c>
      <c r="Q133" s="161">
        <f t="shared" si="13"/>
        <v>24126.666666666668</v>
      </c>
      <c r="R133" s="164">
        <f t="shared" si="14"/>
        <v>0.7475409836065573</v>
      </c>
      <c r="S133" s="176"/>
    </row>
    <row r="134" spans="1:22" s="85" customFormat="1" ht="16" thickBot="1">
      <c r="A134" s="82">
        <v>42891</v>
      </c>
      <c r="B134" s="83">
        <v>2</v>
      </c>
      <c r="C134" s="83" t="s">
        <v>218</v>
      </c>
      <c r="D134" s="85" t="s">
        <v>86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6">
        <f t="shared" si="14"/>
        <v>1</v>
      </c>
      <c r="S134" s="177"/>
    </row>
    <row r="135" spans="1:22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5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5">
        <f t="shared" si="14"/>
        <v>1</v>
      </c>
      <c r="S135" s="182" t="str">
        <f>D135</f>
        <v>SN-6 Low</v>
      </c>
    </row>
    <row r="136" spans="1:22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5">
        <f t="shared" si="14"/>
        <v>0.97727272727272729</v>
      </c>
      <c r="S136" s="183">
        <f>(SUM(P135:P138)/(SUM(P135:Q138)))</f>
        <v>0.43924592973436166</v>
      </c>
      <c r="U136" s="65"/>
      <c r="V136" s="65"/>
    </row>
    <row r="137" spans="1:22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5">
        <f t="shared" si="14"/>
        <v>1</v>
      </c>
      <c r="S137" s="181"/>
      <c r="U137" s="65"/>
      <c r="V137" s="65"/>
    </row>
    <row r="138" spans="1:22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208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5">
        <f t="shared" si="14"/>
        <v>0</v>
      </c>
      <c r="S138" s="184"/>
      <c r="U138" s="65"/>
      <c r="V138" s="65"/>
    </row>
    <row r="139" spans="1:22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5" t="e">
        <f t="shared" si="14"/>
        <v>#DIV/0!</v>
      </c>
      <c r="S139" s="185" t="str">
        <f>D139</f>
        <v>NF-6 Low</v>
      </c>
      <c r="U139" s="65"/>
      <c r="V139" s="65"/>
    </row>
    <row r="140" spans="1:22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5">
        <f t="shared" si="14"/>
        <v>0.7142857142857143</v>
      </c>
      <c r="S140" s="183">
        <f>(SUM(P139:P142)/(SUM(P139:Q142)))</f>
        <v>0.37013089418072853</v>
      </c>
      <c r="U140" s="65"/>
      <c r="V140" s="65"/>
    </row>
    <row r="141" spans="1:22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5">
        <f t="shared" si="14"/>
        <v>0.63247863247863245</v>
      </c>
      <c r="S141" s="184"/>
      <c r="U141" s="65"/>
      <c r="V141" s="65"/>
    </row>
    <row r="142" spans="1:22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208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5">
        <f t="shared" si="14"/>
        <v>8.1967213114754085E-3</v>
      </c>
      <c r="S142" s="184"/>
      <c r="U142" s="65"/>
      <c r="V142" s="65"/>
    </row>
    <row r="143" spans="1:22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5">
        <f t="shared" si="14"/>
        <v>1</v>
      </c>
      <c r="S143" s="185" t="str">
        <f>D143</f>
        <v>SN-10 Ambient</v>
      </c>
      <c r="U143" s="65"/>
      <c r="V143" s="65"/>
    </row>
    <row r="144" spans="1:22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5">
        <f t="shared" si="14"/>
        <v>0.9831460674157303</v>
      </c>
      <c r="S144" s="183">
        <f>(SUM(P143:P146)/(SUM(P143:Q146)))</f>
        <v>0.62550352645192298</v>
      </c>
      <c r="U144" s="65"/>
      <c r="V144" s="65"/>
    </row>
    <row r="145" spans="1:22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5">
        <f t="shared" si="14"/>
        <v>0.87323943661971837</v>
      </c>
      <c r="S145" s="184"/>
      <c r="U145" s="65"/>
      <c r="V145" s="65"/>
    </row>
    <row r="146" spans="1:22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208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5">
        <f t="shared" si="14"/>
        <v>1.4925373134328358E-2</v>
      </c>
      <c r="S146" s="184"/>
      <c r="U146" s="65"/>
      <c r="V146" s="65"/>
    </row>
    <row r="147" spans="1:22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5">
        <f t="shared" si="14"/>
        <v>1</v>
      </c>
      <c r="S147" s="185" t="str">
        <f>D147</f>
        <v>NF-6 Ambient</v>
      </c>
      <c r="U147" s="65"/>
      <c r="V147" s="65"/>
    </row>
    <row r="148" spans="1:22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5">
        <f t="shared" si="14"/>
        <v>0.9821428571428571</v>
      </c>
      <c r="S148" s="183">
        <f>(SUM(P147:P150)/(SUM(P147:Q150)))</f>
        <v>0.71986596457635232</v>
      </c>
      <c r="U148" s="65"/>
      <c r="V148" s="65"/>
    </row>
    <row r="149" spans="1:22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5">
        <f t="shared" si="14"/>
        <v>0.91489361702127658</v>
      </c>
      <c r="S149" s="184"/>
      <c r="U149" s="65"/>
      <c r="V149" s="65"/>
    </row>
    <row r="150" spans="1:22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208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5">
        <f t="shared" si="14"/>
        <v>0</v>
      </c>
      <c r="S150" s="184"/>
      <c r="U150" s="65"/>
      <c r="V150" s="65"/>
    </row>
    <row r="151" spans="1:22" s="62" customFormat="1">
      <c r="A151" s="134">
        <v>42895</v>
      </c>
      <c r="B151" s="60"/>
      <c r="C151" s="60"/>
      <c r="D151" s="62" t="s">
        <v>139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139">
        <f t="shared" si="16"/>
        <v>326.66666666666663</v>
      </c>
      <c r="Q151" s="139">
        <f t="shared" si="13"/>
        <v>0</v>
      </c>
      <c r="R151" s="165">
        <f t="shared" si="14"/>
        <v>1</v>
      </c>
      <c r="S151" s="185" t="str">
        <f>D151</f>
        <v xml:space="preserve">SN-10 Low </v>
      </c>
      <c r="U151" s="65"/>
      <c r="V151" s="65"/>
    </row>
    <row r="152" spans="1:22" s="62" customFormat="1">
      <c r="A152" s="134">
        <v>42895</v>
      </c>
      <c r="B152" s="60"/>
      <c r="C152" s="60"/>
      <c r="D152" s="62" t="s">
        <v>139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5">
        <f t="shared" si="14"/>
        <v>1</v>
      </c>
      <c r="S152" s="183">
        <f>(SUM(P151:P154)/(SUM(P151:Q154)))</f>
        <v>0.6721273756384889</v>
      </c>
    </row>
    <row r="153" spans="1:22" s="62" customFormat="1">
      <c r="A153" s="134">
        <v>42895</v>
      </c>
      <c r="B153" s="60"/>
      <c r="C153" s="60"/>
      <c r="D153" s="62" t="s">
        <v>139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5">
        <f t="shared" si="14"/>
        <v>0.97560975609756095</v>
      </c>
      <c r="S153" s="184"/>
    </row>
    <row r="154" spans="1:22" s="62" customFormat="1">
      <c r="A154" s="134">
        <v>42895</v>
      </c>
      <c r="B154" s="60"/>
      <c r="C154" s="60"/>
      <c r="D154" s="62" t="s">
        <v>139</v>
      </c>
      <c r="E154" s="62">
        <v>3</v>
      </c>
      <c r="F154" s="89" t="s">
        <v>208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5">
        <f t="shared" si="14"/>
        <v>1.5151515151515152E-2</v>
      </c>
      <c r="S154" s="184"/>
    </row>
    <row r="155" spans="1:22" s="62" customFormat="1">
      <c r="A155" s="134">
        <v>42895</v>
      </c>
      <c r="B155" s="60"/>
      <c r="C155" s="60"/>
      <c r="D155" s="62" t="s">
        <v>76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5">
        <f t="shared" si="14"/>
        <v>1</v>
      </c>
      <c r="S155" s="185" t="str">
        <f>D155</f>
        <v xml:space="preserve">NF-10 Low </v>
      </c>
    </row>
    <row r="156" spans="1:22" s="62" customFormat="1">
      <c r="A156" s="134">
        <v>42895</v>
      </c>
      <c r="B156" s="60"/>
      <c r="C156" s="60"/>
      <c r="D156" s="62" t="s">
        <v>76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5">
        <f t="shared" si="14"/>
        <v>1</v>
      </c>
      <c r="S156" s="183">
        <f>(SUM(P155:P158)/(SUM(P155:Q158)))</f>
        <v>0.84220869481857819</v>
      </c>
    </row>
    <row r="157" spans="1:22" s="62" customFormat="1">
      <c r="A157" s="134">
        <v>42895</v>
      </c>
      <c r="B157" s="60"/>
      <c r="C157" s="60"/>
      <c r="D157" s="62" t="s">
        <v>76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5">
        <f t="shared" si="14"/>
        <v>0.98000000000000009</v>
      </c>
      <c r="S157" s="184"/>
    </row>
    <row r="158" spans="1:22" s="62" customFormat="1">
      <c r="A158" s="59">
        <v>42895</v>
      </c>
      <c r="B158" s="60"/>
      <c r="C158" s="60"/>
      <c r="D158" s="62" t="s">
        <v>76</v>
      </c>
      <c r="E158" s="62">
        <v>3</v>
      </c>
      <c r="F158" s="63" t="s">
        <v>208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5">
        <f t="shared" si="14"/>
        <v>0</v>
      </c>
      <c r="S158" s="184"/>
    </row>
    <row r="159" spans="1:22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5" t="e">
        <f t="shared" si="14"/>
        <v>#DIV/0!</v>
      </c>
      <c r="S159" s="186" t="str">
        <f>D159</f>
        <v>HL-6 Low</v>
      </c>
      <c r="U159" s="65"/>
      <c r="V159" s="65"/>
    </row>
    <row r="160" spans="1:22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5">
        <f t="shared" si="14"/>
        <v>1</v>
      </c>
      <c r="S160" s="184">
        <f>SUM(P159:P160)/(SUM(P159:Q160))</f>
        <v>1</v>
      </c>
      <c r="U160" s="65"/>
      <c r="V160" s="65"/>
    </row>
    <row r="161" spans="1:22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5">
        <f t="shared" si="14"/>
        <v>1</v>
      </c>
      <c r="S161" s="185" t="str">
        <f>D161</f>
        <v>NF-10 Ambient</v>
      </c>
      <c r="U161" s="65"/>
      <c r="V161" s="65"/>
    </row>
    <row r="162" spans="1:22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5">
        <f t="shared" si="14"/>
        <v>0.93333333333333335</v>
      </c>
      <c r="S162" s="183">
        <f>(SUM(P161:P164)/(SUM(P161:Q164)))</f>
        <v>0.78777032514211809</v>
      </c>
      <c r="U162" s="65"/>
      <c r="V162" s="65"/>
    </row>
    <row r="163" spans="1:22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5">
        <f t="shared" si="14"/>
        <v>0.95483870967741946</v>
      </c>
      <c r="S163" s="184"/>
      <c r="U163" s="65"/>
      <c r="V163" s="65"/>
    </row>
    <row r="164" spans="1:22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208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5">
        <f t="shared" ref="R164:R227" si="18">P164/(P164+Q164)</f>
        <v>0</v>
      </c>
      <c r="S164" s="184"/>
      <c r="U164" s="65"/>
      <c r="V164" s="65"/>
    </row>
    <row r="165" spans="1:22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5" t="e">
        <f t="shared" si="18"/>
        <v>#DIV/0!</v>
      </c>
      <c r="S165" s="185" t="str">
        <f>D165</f>
        <v>SN-6 Ambient</v>
      </c>
      <c r="U165" s="65"/>
      <c r="V165" s="65"/>
    </row>
    <row r="166" spans="1:22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5">
        <f t="shared" si="18"/>
        <v>1</v>
      </c>
      <c r="S166" s="183">
        <f>(SUM(P165:P168)/(SUM(P165:Q168)))</f>
        <v>0.21549354618818303</v>
      </c>
      <c r="U166" s="65"/>
      <c r="V166" s="65"/>
    </row>
    <row r="167" spans="1:22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5">
        <f t="shared" si="18"/>
        <v>0.949367088607595</v>
      </c>
      <c r="S167" s="184"/>
      <c r="U167" s="65"/>
      <c r="V167" s="65"/>
    </row>
    <row r="168" spans="1:22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208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5">
        <f t="shared" si="18"/>
        <v>0</v>
      </c>
      <c r="S168" s="184"/>
      <c r="U168" s="65"/>
      <c r="V168" s="65"/>
    </row>
    <row r="169" spans="1:22" s="62" customFormat="1">
      <c r="A169" s="134">
        <v>42895</v>
      </c>
      <c r="B169" s="60"/>
      <c r="C169" s="60"/>
      <c r="D169" s="61" t="s">
        <v>37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5">
        <f t="shared" si="18"/>
        <v>0.85714285714285721</v>
      </c>
      <c r="S169" s="185" t="str">
        <f>D169</f>
        <v xml:space="preserve">K-10 Low </v>
      </c>
      <c r="U169" s="65"/>
      <c r="V169" s="65"/>
    </row>
    <row r="170" spans="1:22" s="62" customFormat="1">
      <c r="A170" s="134">
        <v>42895</v>
      </c>
      <c r="B170" s="60"/>
      <c r="C170" s="60"/>
      <c r="D170" s="61" t="s">
        <v>37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5">
        <f t="shared" si="18"/>
        <v>0.7674418604651162</v>
      </c>
      <c r="S170" s="183">
        <f>(SUM(P169:P172)/(SUM(P169:Q172)))</f>
        <v>0.29072532699167652</v>
      </c>
      <c r="U170" s="65"/>
      <c r="V170" s="65"/>
    </row>
    <row r="171" spans="1:22" s="62" customFormat="1">
      <c r="A171" s="134">
        <v>42895</v>
      </c>
      <c r="B171" s="60"/>
      <c r="C171" s="60"/>
      <c r="D171" s="61" t="s">
        <v>37</v>
      </c>
      <c r="E171" s="62">
        <v>5</v>
      </c>
      <c r="F171" s="89">
        <v>100</v>
      </c>
      <c r="G171" s="64">
        <v>0.5</v>
      </c>
      <c r="H171" s="64">
        <v>70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4386.6666666666661</v>
      </c>
      <c r="Q171" s="139">
        <f t="shared" si="17"/>
        <v>420</v>
      </c>
      <c r="R171" s="165">
        <f t="shared" si="18"/>
        <v>0.91262135922330101</v>
      </c>
      <c r="S171" s="184"/>
      <c r="U171" s="65"/>
      <c r="V171" s="65"/>
    </row>
    <row r="172" spans="1:22" s="62" customFormat="1">
      <c r="A172" s="134">
        <v>42895</v>
      </c>
      <c r="B172" s="60"/>
      <c r="C172" s="60"/>
      <c r="D172" s="61" t="s">
        <v>37</v>
      </c>
      <c r="E172" s="62">
        <v>5</v>
      </c>
      <c r="F172" s="89" t="s">
        <v>208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5">
        <f t="shared" si="18"/>
        <v>5.9633027522935776E-2</v>
      </c>
      <c r="S172" s="184"/>
      <c r="U172" s="65"/>
      <c r="V172" s="65"/>
    </row>
    <row r="173" spans="1:22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5">
        <f t="shared" si="18"/>
        <v>1</v>
      </c>
      <c r="S173" s="185" t="str">
        <f>D173</f>
        <v>HL-10 Ambient</v>
      </c>
      <c r="U173" s="65"/>
      <c r="V173" s="65"/>
    </row>
    <row r="174" spans="1:22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5">
        <f t="shared" si="18"/>
        <v>1</v>
      </c>
      <c r="S174" s="183">
        <f>(SUM(P173:P176)/(SUM(P173:Q176)))</f>
        <v>0.89880529579209911</v>
      </c>
      <c r="U174" s="65"/>
      <c r="V174" s="65"/>
    </row>
    <row r="175" spans="1:22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5">
        <f t="shared" si="18"/>
        <v>0.98901098901098894</v>
      </c>
      <c r="S175" s="184"/>
      <c r="U175" s="65"/>
      <c r="V175" s="65"/>
    </row>
    <row r="176" spans="1:22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208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5">
        <f t="shared" si="18"/>
        <v>0</v>
      </c>
      <c r="S176" s="184"/>
      <c r="U176" s="65"/>
      <c r="V176" s="65"/>
    </row>
    <row r="177" spans="1:22" s="62" customFormat="1">
      <c r="A177" s="134">
        <v>42895</v>
      </c>
      <c r="B177" s="60"/>
      <c r="C177" s="60"/>
      <c r="D177" s="62" t="s">
        <v>138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5">
        <f t="shared" si="18"/>
        <v>1</v>
      </c>
      <c r="S177" s="185" t="str">
        <f>D177</f>
        <v xml:space="preserve">HL-10 Low </v>
      </c>
      <c r="U177" s="65"/>
      <c r="V177" s="65"/>
    </row>
    <row r="178" spans="1:22" s="62" customFormat="1">
      <c r="A178" s="134">
        <v>42895</v>
      </c>
      <c r="B178" s="60"/>
      <c r="C178" s="60"/>
      <c r="D178" s="62" t="s">
        <v>138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5">
        <f t="shared" si="18"/>
        <v>1</v>
      </c>
      <c r="S178" s="183">
        <f>(SUM(P177:P180)/(SUM(P177:Q180)))</f>
        <v>0.85446251937349593</v>
      </c>
      <c r="U178" s="65"/>
      <c r="V178" s="65"/>
    </row>
    <row r="179" spans="1:22" s="62" customFormat="1">
      <c r="A179" s="134">
        <v>42895</v>
      </c>
      <c r="B179" s="60"/>
      <c r="C179" s="60"/>
      <c r="D179" s="62" t="s">
        <v>138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5">
        <f t="shared" si="18"/>
        <v>1</v>
      </c>
      <c r="S179" s="184"/>
      <c r="U179" s="65"/>
      <c r="V179" s="65"/>
    </row>
    <row r="180" spans="1:22" s="62" customFormat="1">
      <c r="A180" s="134">
        <v>42895</v>
      </c>
      <c r="B180" s="60"/>
      <c r="C180" s="60"/>
      <c r="D180" s="62" t="s">
        <v>138</v>
      </c>
      <c r="E180" s="62">
        <v>6</v>
      </c>
      <c r="F180" s="63" t="s">
        <v>208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5">
        <f t="shared" si="18"/>
        <v>1.7857142857142856E-2</v>
      </c>
      <c r="S180" s="184"/>
      <c r="U180" s="65"/>
      <c r="V180" s="65"/>
    </row>
    <row r="181" spans="1:22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5">
        <f t="shared" si="18"/>
        <v>1</v>
      </c>
      <c r="S181" s="185" t="str">
        <f>D181</f>
        <v>K-10 Ambient</v>
      </c>
      <c r="U181" s="65"/>
      <c r="V181" s="65"/>
    </row>
    <row r="182" spans="1:22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5">
        <f t="shared" si="18"/>
        <v>1</v>
      </c>
      <c r="S182" s="183">
        <f>(SUM(P181:P184)/(SUM(P181:Q184)))</f>
        <v>0.53214003164556967</v>
      </c>
      <c r="U182" s="65"/>
      <c r="V182" s="65"/>
    </row>
    <row r="183" spans="1:22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5">
        <f t="shared" si="18"/>
        <v>0.95419847328244278</v>
      </c>
      <c r="S183" s="184"/>
      <c r="U183" s="65"/>
      <c r="V183" s="65"/>
    </row>
    <row r="184" spans="1:22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208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5">
        <f t="shared" si="18"/>
        <v>4.6875E-2</v>
      </c>
      <c r="S184" s="184"/>
      <c r="U184" s="65"/>
      <c r="V184" s="65"/>
    </row>
    <row r="185" spans="1:22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5">
        <f t="shared" si="18"/>
        <v>1</v>
      </c>
      <c r="S185" s="185" t="str">
        <f>D185</f>
        <v>K-6 Ambient</v>
      </c>
      <c r="U185" s="65"/>
      <c r="V185" s="65"/>
    </row>
    <row r="186" spans="1:22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5">
        <f t="shared" si="18"/>
        <v>1</v>
      </c>
      <c r="S186" s="183">
        <f>(SUM(P185:P188)/(SUM(P185:Q188)))</f>
        <v>0.64942345380793953</v>
      </c>
    </row>
    <row r="187" spans="1:22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5">
        <f t="shared" si="18"/>
        <v>0.96850393700787396</v>
      </c>
      <c r="S187" s="184"/>
    </row>
    <row r="188" spans="1:22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208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5">
        <f t="shared" si="18"/>
        <v>0</v>
      </c>
      <c r="S188" s="184"/>
    </row>
    <row r="189" spans="1:22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5">
        <f t="shared" si="18"/>
        <v>1</v>
      </c>
      <c r="S189" s="185" t="str">
        <f>D189</f>
        <v>K-6 Low</v>
      </c>
    </row>
    <row r="190" spans="1:22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5">
        <f t="shared" si="18"/>
        <v>1</v>
      </c>
      <c r="S190" s="183">
        <f>(SUM(P189:P192)/(SUM(P189:Q192)))</f>
        <v>0.9923641703377386</v>
      </c>
    </row>
    <row r="191" spans="1:22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5">
        <f t="shared" si="18"/>
        <v>1</v>
      </c>
      <c r="S191" s="184"/>
    </row>
    <row r="192" spans="1:22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208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4">
        <f t="shared" si="18"/>
        <v>0.7142857142857143</v>
      </c>
      <c r="S192" s="198"/>
    </row>
    <row r="193" spans="1:22" s="147" customFormat="1">
      <c r="A193" s="192">
        <v>42898</v>
      </c>
      <c r="B193" s="193"/>
      <c r="C193" s="193"/>
      <c r="D193" s="148" t="s">
        <v>77</v>
      </c>
      <c r="E193" s="147">
        <v>1</v>
      </c>
      <c r="F193" s="194">
        <v>224</v>
      </c>
      <c r="G193" s="194">
        <v>1</v>
      </c>
      <c r="H193" s="147">
        <v>260</v>
      </c>
      <c r="I193" s="147">
        <v>2</v>
      </c>
      <c r="J193" s="147">
        <v>0</v>
      </c>
      <c r="K193" s="147">
        <v>0</v>
      </c>
      <c r="L193" s="147">
        <v>0</v>
      </c>
      <c r="M193" s="147">
        <v>1</v>
      </c>
      <c r="N193" s="147">
        <v>0</v>
      </c>
      <c r="O193" s="147">
        <f t="shared" ref="O193" si="19">(AVERAGE(I193,K193,M193)/((AVERAGE(I193,K193,M193)+AVERAGE(J193,L193,N193))))</f>
        <v>1</v>
      </c>
      <c r="P193" s="195">
        <f>(AVERAGE(I193,K193,M193)/G193)*H193</f>
        <v>260</v>
      </c>
      <c r="Q193" s="195">
        <f t="shared" si="17"/>
        <v>0</v>
      </c>
      <c r="R193" s="196">
        <f t="shared" si="18"/>
        <v>1</v>
      </c>
      <c r="S193" s="188" t="str">
        <f>D193</f>
        <v>SN-6 Low</v>
      </c>
      <c r="T193" s="197"/>
      <c r="U193" s="197"/>
      <c r="V193" s="197"/>
    </row>
    <row r="194" spans="1:22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20">(AVERAGE(I194,K194,M194)/G194)*H194</f>
        <v>22646.666666666668</v>
      </c>
      <c r="Q194" s="124">
        <f t="shared" si="17"/>
        <v>0</v>
      </c>
      <c r="R194" s="163">
        <f t="shared" si="18"/>
        <v>1</v>
      </c>
      <c r="S194" s="189">
        <f>(SUM(P193:P196)/(SUM(P193:Q196)))</f>
        <v>0.9168858789947949</v>
      </c>
      <c r="T194" s="81"/>
      <c r="U194" s="81"/>
      <c r="V194" s="81"/>
    </row>
    <row r="195" spans="1:22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20"/>
        <v>30799.999999999996</v>
      </c>
      <c r="Q195" s="124">
        <f t="shared" si="17"/>
        <v>0</v>
      </c>
      <c r="R195" s="163">
        <f t="shared" si="18"/>
        <v>1</v>
      </c>
      <c r="S195" s="187"/>
      <c r="T195" s="81"/>
      <c r="U195" s="81"/>
      <c r="V195" s="81"/>
    </row>
    <row r="196" spans="1:22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208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20"/>
        <v>900</v>
      </c>
      <c r="Q196" s="124">
        <f t="shared" si="17"/>
        <v>4950</v>
      </c>
      <c r="R196" s="163">
        <f t="shared" si="18"/>
        <v>0.15384615384615385</v>
      </c>
      <c r="S196" s="190"/>
      <c r="T196" s="81"/>
      <c r="U196" s="81"/>
      <c r="V196" s="81"/>
    </row>
    <row r="197" spans="1:22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20"/>
        <v>150</v>
      </c>
      <c r="Q197" s="124">
        <f t="shared" si="17"/>
        <v>0</v>
      </c>
      <c r="R197" s="163">
        <f t="shared" si="18"/>
        <v>1</v>
      </c>
      <c r="S197" s="191" t="str">
        <f>D197</f>
        <v>NF-6 Low</v>
      </c>
      <c r="T197" s="81"/>
      <c r="U197" s="81"/>
      <c r="V197" s="81"/>
    </row>
    <row r="198" spans="1:22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20"/>
        <v>1944.4444444444446</v>
      </c>
      <c r="Q198" s="124">
        <f t="shared" si="17"/>
        <v>416.66666666666663</v>
      </c>
      <c r="R198" s="163">
        <f t="shared" si="18"/>
        <v>0.82352941176470584</v>
      </c>
      <c r="S198" s="189">
        <f>(SUM(P197:P200)/(SUM(P197:Q200)))</f>
        <v>0.67031914893617017</v>
      </c>
      <c r="T198" s="81"/>
      <c r="U198" s="81"/>
      <c r="V198" s="81"/>
    </row>
    <row r="199" spans="1:22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20"/>
        <v>67733.333333333343</v>
      </c>
      <c r="Q199" s="124">
        <f t="shared" si="17"/>
        <v>2666.666666666667</v>
      </c>
      <c r="R199" s="163">
        <f t="shared" si="18"/>
        <v>0.96212121212121204</v>
      </c>
      <c r="S199" s="190"/>
      <c r="T199" s="81"/>
      <c r="U199" s="81"/>
      <c r="V199" s="81"/>
    </row>
    <row r="200" spans="1:22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208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20"/>
        <v>183.33333333333331</v>
      </c>
      <c r="Q200" s="124">
        <f t="shared" si="17"/>
        <v>31350</v>
      </c>
      <c r="R200" s="163">
        <f t="shared" si="18"/>
        <v>5.8139534883720929E-3</v>
      </c>
      <c r="S200" s="190"/>
      <c r="T200" s="81"/>
      <c r="U200" s="81"/>
      <c r="V200" s="81"/>
    </row>
    <row r="201" spans="1:22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20"/>
        <v>991.66666666666674</v>
      </c>
      <c r="Q201" s="124">
        <f t="shared" si="17"/>
        <v>0</v>
      </c>
      <c r="R201" s="163">
        <f t="shared" si="18"/>
        <v>1</v>
      </c>
      <c r="S201" s="191" t="str">
        <f>D201</f>
        <v>SN-10 Ambient</v>
      </c>
      <c r="T201" s="81"/>
      <c r="U201" s="81"/>
      <c r="V201" s="81"/>
    </row>
    <row r="202" spans="1:22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20"/>
        <v>100200</v>
      </c>
      <c r="Q202" s="124">
        <f t="shared" si="17"/>
        <v>1200</v>
      </c>
      <c r="R202" s="163">
        <f t="shared" si="18"/>
        <v>0.98816568047337283</v>
      </c>
      <c r="S202" s="189">
        <f>(SUM(P201:P204)/(SUM(P201:Q204)))</f>
        <v>0.8342754208335923</v>
      </c>
      <c r="T202" s="81"/>
      <c r="U202" s="81"/>
      <c r="V202" s="81"/>
    </row>
    <row r="203" spans="1:22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20"/>
        <v>7733.333333333333</v>
      </c>
      <c r="Q203" s="124">
        <f t="shared" si="17"/>
        <v>6283.333333333333</v>
      </c>
      <c r="R203" s="163">
        <f t="shared" si="18"/>
        <v>0.55172413793103448</v>
      </c>
      <c r="S203" s="190"/>
      <c r="T203" s="81"/>
      <c r="U203" s="81"/>
      <c r="V203" s="81"/>
    </row>
    <row r="204" spans="1:22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208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20"/>
        <v>3000</v>
      </c>
      <c r="Q204" s="124">
        <f t="shared" si="17"/>
        <v>14750</v>
      </c>
      <c r="R204" s="163">
        <f t="shared" si="18"/>
        <v>0.16901408450704225</v>
      </c>
      <c r="S204" s="190"/>
      <c r="T204" s="81"/>
      <c r="U204" s="81"/>
      <c r="V204" s="81"/>
    </row>
    <row r="205" spans="1:22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20"/>
        <v>2010</v>
      </c>
      <c r="Q205" s="124">
        <f t="shared" si="17"/>
        <v>0</v>
      </c>
      <c r="R205" s="163">
        <f t="shared" si="18"/>
        <v>1</v>
      </c>
      <c r="S205" s="191" t="str">
        <f>D205</f>
        <v>NF-6 Ambient</v>
      </c>
      <c r="T205" s="81"/>
      <c r="U205" s="81"/>
      <c r="V205" s="81"/>
    </row>
    <row r="206" spans="1:22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20"/>
        <v>35400</v>
      </c>
      <c r="Q206" s="124">
        <f t="shared" si="17"/>
        <v>1200</v>
      </c>
      <c r="R206" s="163">
        <f t="shared" si="18"/>
        <v>0.96721311475409832</v>
      </c>
      <c r="S206" s="189">
        <f>(SUM(P205:P208)/(SUM(P205:Q208)))</f>
        <v>0.88979670612454964</v>
      </c>
      <c r="T206" s="81"/>
      <c r="U206" s="81"/>
      <c r="V206" s="81"/>
    </row>
    <row r="207" spans="1:22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20"/>
        <v>8313.3333333333339</v>
      </c>
      <c r="Q207" s="124">
        <f t="shared" si="17"/>
        <v>773.33333333333326</v>
      </c>
      <c r="R207" s="163">
        <f t="shared" si="18"/>
        <v>0.91489361702127658</v>
      </c>
      <c r="S207" s="190"/>
      <c r="T207" s="81"/>
      <c r="U207" s="81"/>
      <c r="V207" s="81"/>
    </row>
    <row r="208" spans="1:22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208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20"/>
        <v>380</v>
      </c>
      <c r="Q208" s="124">
        <f t="shared" si="17"/>
        <v>3736.666666666667</v>
      </c>
      <c r="R208" s="163">
        <f t="shared" si="18"/>
        <v>9.2307692307692299E-2</v>
      </c>
      <c r="S208" s="190"/>
      <c r="T208" s="81"/>
      <c r="U208" s="81"/>
      <c r="V208" s="81"/>
    </row>
    <row r="209" spans="1:23" s="80" customFormat="1">
      <c r="A209" s="77">
        <v>42898</v>
      </c>
      <c r="B209" s="78"/>
      <c r="C209" s="78"/>
      <c r="D209" s="79" t="s">
        <v>139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124">
        <f t="shared" si="20"/>
        <v>3750.0000000000005</v>
      </c>
      <c r="Q209" s="124">
        <f t="shared" si="17"/>
        <v>0</v>
      </c>
      <c r="R209" s="163">
        <f t="shared" si="18"/>
        <v>1</v>
      </c>
      <c r="S209" s="191" t="str">
        <f>D209</f>
        <v xml:space="preserve">SN-10 Low </v>
      </c>
      <c r="T209" s="81"/>
      <c r="U209" s="81"/>
      <c r="V209" s="81"/>
    </row>
    <row r="210" spans="1:23" s="80" customFormat="1">
      <c r="A210" s="77">
        <v>42898</v>
      </c>
      <c r="B210" s="78"/>
      <c r="C210" s="78"/>
      <c r="D210" s="79" t="s">
        <v>139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20"/>
        <v>33120</v>
      </c>
      <c r="Q210" s="124">
        <f t="shared" si="17"/>
        <v>960</v>
      </c>
      <c r="R210" s="163">
        <f t="shared" si="18"/>
        <v>0.971830985915493</v>
      </c>
      <c r="S210" s="189">
        <f>(SUM(P209:P212)/(SUM(P209:Q212)))</f>
        <v>0.90220416760701116</v>
      </c>
      <c r="T210" s="81"/>
      <c r="U210" s="81"/>
      <c r="V210" s="81"/>
    </row>
    <row r="211" spans="1:23" s="80" customFormat="1">
      <c r="A211" s="77">
        <v>42898</v>
      </c>
      <c r="B211" s="78"/>
      <c r="C211" s="78"/>
      <c r="D211" s="79" t="s">
        <v>139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20"/>
        <v>2773.333333333333</v>
      </c>
      <c r="Q211" s="124">
        <f t="shared" si="17"/>
        <v>1040</v>
      </c>
      <c r="R211" s="163">
        <f t="shared" si="18"/>
        <v>0.72727272727272729</v>
      </c>
      <c r="S211" s="190"/>
      <c r="T211" s="81"/>
      <c r="U211" s="81"/>
      <c r="V211" s="81"/>
    </row>
    <row r="212" spans="1:23" s="80" customFormat="1">
      <c r="A212" s="77">
        <v>42898</v>
      </c>
      <c r="B212" s="78"/>
      <c r="C212" s="78"/>
      <c r="D212" s="79" t="s">
        <v>139</v>
      </c>
      <c r="E212" s="80">
        <v>3</v>
      </c>
      <c r="F212" s="87" t="s">
        <v>208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20"/>
        <v>333.33333333333331</v>
      </c>
      <c r="Q212" s="124">
        <f t="shared" si="17"/>
        <v>2333.3333333333335</v>
      </c>
      <c r="R212" s="163">
        <f t="shared" si="18"/>
        <v>0.12499999999999997</v>
      </c>
      <c r="S212" s="190"/>
      <c r="T212" s="81"/>
      <c r="U212" s="81"/>
      <c r="V212" s="81"/>
    </row>
    <row r="213" spans="1:23" s="80" customFormat="1">
      <c r="A213" s="77">
        <v>42898</v>
      </c>
      <c r="B213" s="78"/>
      <c r="C213" s="78"/>
      <c r="D213" s="80" t="s">
        <v>76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20"/>
        <v>300</v>
      </c>
      <c r="Q213" s="124">
        <f t="shared" si="17"/>
        <v>0</v>
      </c>
      <c r="R213" s="163">
        <f t="shared" si="18"/>
        <v>1</v>
      </c>
      <c r="S213" s="191" t="str">
        <f>D213</f>
        <v xml:space="preserve">NF-10 Low </v>
      </c>
      <c r="T213" s="81"/>
      <c r="U213" s="81"/>
      <c r="V213" s="81"/>
    </row>
    <row r="214" spans="1:23" s="80" customFormat="1">
      <c r="A214" s="77">
        <v>42898</v>
      </c>
      <c r="B214" s="78"/>
      <c r="C214" s="78"/>
      <c r="D214" s="80" t="s">
        <v>76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20"/>
        <v>44280</v>
      </c>
      <c r="Q214" s="124">
        <f t="shared" si="17"/>
        <v>0</v>
      </c>
      <c r="R214" s="163">
        <f t="shared" si="18"/>
        <v>1</v>
      </c>
      <c r="S214" s="189">
        <f>(SUM(P213:P216)/(SUM(P213:Q216)))</f>
        <v>0.96783803913602817</v>
      </c>
      <c r="T214" s="81"/>
    </row>
    <row r="215" spans="1:23" s="80" customFormat="1">
      <c r="A215" s="77">
        <v>42898</v>
      </c>
      <c r="B215" s="78"/>
      <c r="C215" s="78"/>
      <c r="D215" s="80" t="s">
        <v>76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20"/>
        <v>2833.3333333333335</v>
      </c>
      <c r="Q215" s="124">
        <f t="shared" si="17"/>
        <v>1000</v>
      </c>
      <c r="R215" s="163">
        <f t="shared" si="18"/>
        <v>0.73913043478260876</v>
      </c>
      <c r="S215" s="190"/>
      <c r="T215" s="81"/>
    </row>
    <row r="216" spans="1:23" s="80" customFormat="1">
      <c r="A216" s="77">
        <v>42898</v>
      </c>
      <c r="B216" s="78"/>
      <c r="C216" s="78"/>
      <c r="D216" s="80" t="s">
        <v>76</v>
      </c>
      <c r="E216" s="80">
        <v>3</v>
      </c>
      <c r="F216" s="87" t="s">
        <v>208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20"/>
        <v>233.33333333333331</v>
      </c>
      <c r="Q216" s="124">
        <f t="shared" si="17"/>
        <v>583.33333333333337</v>
      </c>
      <c r="R216" s="163">
        <f t="shared" si="18"/>
        <v>0.28571428571428564</v>
      </c>
      <c r="S216" s="190"/>
      <c r="T216" s="81"/>
    </row>
    <row r="217" spans="1:23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20"/>
        <v>0</v>
      </c>
      <c r="Q217" s="124">
        <f t="shared" si="17"/>
        <v>0</v>
      </c>
      <c r="R217" s="163" t="e">
        <f t="shared" si="18"/>
        <v>#DIV/0!</v>
      </c>
      <c r="S217" s="188" t="str">
        <f>D217</f>
        <v>HL-6 Low</v>
      </c>
      <c r="T217" s="81"/>
      <c r="W217" s="80" t="s">
        <v>192</v>
      </c>
    </row>
    <row r="218" spans="1:23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20"/>
        <v>0</v>
      </c>
      <c r="Q218" s="124">
        <f t="shared" si="17"/>
        <v>0</v>
      </c>
      <c r="R218" s="163" t="e">
        <f t="shared" si="18"/>
        <v>#DIV/0!</v>
      </c>
      <c r="S218" s="189">
        <f>(SUM(P217:P220)/(SUM(P217:Q220)))</f>
        <v>0.97478646142602654</v>
      </c>
      <c r="T218" s="81"/>
    </row>
    <row r="219" spans="1:23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20"/>
        <v>70766.666666666657</v>
      </c>
      <c r="Q219" s="124">
        <f t="shared" si="17"/>
        <v>1100</v>
      </c>
      <c r="R219" s="163">
        <f t="shared" si="18"/>
        <v>0.98469387755102045</v>
      </c>
      <c r="S219" s="187"/>
      <c r="T219" s="81"/>
    </row>
    <row r="220" spans="1:23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208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20"/>
        <v>370</v>
      </c>
      <c r="Q220" s="124">
        <f t="shared" si="17"/>
        <v>740</v>
      </c>
      <c r="R220" s="163">
        <f t="shared" si="18"/>
        <v>0.33333333333333331</v>
      </c>
      <c r="S220" s="190"/>
      <c r="T220" s="81"/>
    </row>
    <row r="221" spans="1:23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20"/>
        <v>600</v>
      </c>
      <c r="Q221" s="124">
        <f t="shared" si="17"/>
        <v>0</v>
      </c>
      <c r="R221" s="163">
        <f t="shared" si="18"/>
        <v>1</v>
      </c>
      <c r="S221" s="191" t="str">
        <f>D221</f>
        <v>NF-10 Ambient</v>
      </c>
    </row>
    <row r="222" spans="1:23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20"/>
        <v>10166.666666666666</v>
      </c>
      <c r="Q222" s="124">
        <f t="shared" si="17"/>
        <v>0</v>
      </c>
      <c r="R222" s="163">
        <f t="shared" si="18"/>
        <v>1</v>
      </c>
      <c r="S222" s="189">
        <f>(SUM(P221:P224)/(SUM(P221:Q224)))</f>
        <v>0.8967977878868969</v>
      </c>
    </row>
    <row r="223" spans="1:23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20"/>
        <v>72366.666666666657</v>
      </c>
      <c r="Q223" s="124">
        <f t="shared" si="17"/>
        <v>433.33333333333331</v>
      </c>
      <c r="R223" s="163">
        <f t="shared" si="18"/>
        <v>0.99404761904761907</v>
      </c>
      <c r="S223" s="190"/>
    </row>
    <row r="224" spans="1:23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208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20"/>
        <v>650</v>
      </c>
      <c r="Q224" s="124">
        <f t="shared" si="17"/>
        <v>9208.3333333333321</v>
      </c>
      <c r="R224" s="163">
        <f t="shared" si="18"/>
        <v>6.5934065934065936E-2</v>
      </c>
      <c r="S224" s="190"/>
    </row>
    <row r="225" spans="1:23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20"/>
        <v>0</v>
      </c>
      <c r="Q225" s="124">
        <f t="shared" si="17"/>
        <v>0</v>
      </c>
      <c r="R225" s="163" t="e">
        <f t="shared" si="18"/>
        <v>#DIV/0!</v>
      </c>
      <c r="S225" s="191" t="str">
        <f>D225</f>
        <v>SN-6 Ambient</v>
      </c>
      <c r="T225" s="81"/>
      <c r="U225" s="81"/>
      <c r="V225" s="81"/>
      <c r="W225" s="80" t="s">
        <v>175</v>
      </c>
    </row>
    <row r="226" spans="1:23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20"/>
        <v>17000</v>
      </c>
      <c r="Q226" s="124">
        <f t="shared" si="17"/>
        <v>0</v>
      </c>
      <c r="R226" s="163">
        <f t="shared" si="18"/>
        <v>1</v>
      </c>
      <c r="S226" s="189">
        <f>(SUM(P225:P228)/(SUM(P225:Q228)))</f>
        <v>0.93749999999999989</v>
      </c>
      <c r="T226" s="81"/>
      <c r="U226" s="81"/>
      <c r="V226" s="81"/>
    </row>
    <row r="227" spans="1:23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20"/>
        <v>20500</v>
      </c>
      <c r="Q227" s="124">
        <f t="shared" si="17"/>
        <v>333.33333333333331</v>
      </c>
      <c r="R227" s="163">
        <f t="shared" si="18"/>
        <v>0.9840000000000001</v>
      </c>
      <c r="S227" s="190"/>
      <c r="T227" s="81"/>
      <c r="U227" s="81"/>
      <c r="V227" s="81"/>
    </row>
    <row r="228" spans="1:23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208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20"/>
        <v>650</v>
      </c>
      <c r="Q228" s="124">
        <f t="shared" ref="Q228:Q291" si="21">(AVERAGE(J228,L228,N228)/G228)*H228</f>
        <v>2210</v>
      </c>
      <c r="R228" s="163">
        <f t="shared" ref="R228:R291" si="22">P228/(P228+Q228)</f>
        <v>0.22727272727272727</v>
      </c>
      <c r="S228" s="190"/>
      <c r="T228" s="81"/>
      <c r="U228" s="81"/>
      <c r="V228" s="81"/>
    </row>
    <row r="229" spans="1:23" s="80" customFormat="1">
      <c r="A229" s="77">
        <v>42898</v>
      </c>
      <c r="B229" s="78"/>
      <c r="C229" s="78"/>
      <c r="D229" s="80" t="s">
        <v>37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20"/>
        <v>0</v>
      </c>
      <c r="Q229" s="124">
        <f t="shared" si="21"/>
        <v>0</v>
      </c>
      <c r="R229" s="163" t="e">
        <f t="shared" si="22"/>
        <v>#DIV/0!</v>
      </c>
      <c r="S229" s="191" t="str">
        <f>D229</f>
        <v xml:space="preserve">K-10 Low </v>
      </c>
      <c r="T229" s="81"/>
      <c r="U229" s="81"/>
      <c r="V229" s="81"/>
    </row>
    <row r="230" spans="1:23" s="80" customFormat="1">
      <c r="A230" s="77">
        <v>42898</v>
      </c>
      <c r="B230" s="78"/>
      <c r="C230" s="78"/>
      <c r="D230" s="80" t="s">
        <v>37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20"/>
        <v>3120</v>
      </c>
      <c r="Q230" s="124">
        <f t="shared" si="21"/>
        <v>0</v>
      </c>
      <c r="R230" s="163">
        <f t="shared" si="22"/>
        <v>1</v>
      </c>
      <c r="S230" s="189">
        <f>(SUM(P229:P232)/(SUM(P229:Q232)))</f>
        <v>0.42235952436465379</v>
      </c>
      <c r="T230" s="81"/>
      <c r="U230" s="81"/>
      <c r="V230" s="81"/>
    </row>
    <row r="231" spans="1:23" s="80" customFormat="1">
      <c r="A231" s="77">
        <v>42898</v>
      </c>
      <c r="B231" s="78"/>
      <c r="C231" s="78"/>
      <c r="D231" s="142" t="s">
        <v>37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20"/>
        <v>20766.666666666668</v>
      </c>
      <c r="Q231" s="124">
        <f t="shared" si="21"/>
        <v>233.33333333333331</v>
      </c>
      <c r="R231" s="163">
        <f t="shared" si="22"/>
        <v>0.98888888888888893</v>
      </c>
      <c r="S231" s="190"/>
      <c r="T231" s="81"/>
      <c r="U231" s="81"/>
      <c r="V231" s="81"/>
    </row>
    <row r="232" spans="1:23" s="80" customFormat="1">
      <c r="A232" s="77">
        <v>42898</v>
      </c>
      <c r="B232" s="78"/>
      <c r="C232" s="78"/>
      <c r="D232" s="142" t="s">
        <v>37</v>
      </c>
      <c r="E232" s="80">
        <v>5</v>
      </c>
      <c r="F232" s="87" t="s">
        <v>208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20"/>
        <v>266.66666666666663</v>
      </c>
      <c r="Q232" s="124">
        <f t="shared" si="21"/>
        <v>32800</v>
      </c>
      <c r="R232" s="163">
        <f t="shared" si="22"/>
        <v>8.0645161290322578E-3</v>
      </c>
      <c r="S232" s="190"/>
      <c r="T232" s="81"/>
      <c r="U232" s="81"/>
      <c r="V232" s="81"/>
    </row>
    <row r="233" spans="1:23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20"/>
        <v>1650</v>
      </c>
      <c r="Q233" s="124">
        <f t="shared" si="21"/>
        <v>0</v>
      </c>
      <c r="R233" s="163">
        <f t="shared" si="22"/>
        <v>1</v>
      </c>
      <c r="S233" s="191" t="str">
        <f>D233</f>
        <v>HL-10 Ambient</v>
      </c>
      <c r="T233" s="81"/>
      <c r="U233" s="81"/>
      <c r="V233" s="81"/>
      <c r="W233" s="80" t="s">
        <v>177</v>
      </c>
    </row>
    <row r="234" spans="1:23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20"/>
        <v>48816.666666666664</v>
      </c>
      <c r="Q234" s="124">
        <f t="shared" si="21"/>
        <v>0</v>
      </c>
      <c r="R234" s="163">
        <f t="shared" si="22"/>
        <v>1</v>
      </c>
      <c r="S234" s="189">
        <f>(SUM(P233:P236)/(SUM(P233:Q236)))</f>
        <v>0.93576241778638591</v>
      </c>
      <c r="T234" s="81"/>
      <c r="U234" s="81"/>
      <c r="V234" s="81"/>
    </row>
    <row r="235" spans="1:23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20"/>
        <v>23920</v>
      </c>
      <c r="Q235" s="124">
        <f t="shared" si="21"/>
        <v>173.33333333333331</v>
      </c>
      <c r="R235" s="163">
        <f t="shared" si="22"/>
        <v>0.9928057553956835</v>
      </c>
      <c r="S235" s="190"/>
      <c r="T235" s="81"/>
      <c r="U235" s="81"/>
      <c r="V235" s="81"/>
    </row>
    <row r="236" spans="1:23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208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20"/>
        <v>2916.666666666667</v>
      </c>
      <c r="Q236" s="124">
        <f t="shared" si="21"/>
        <v>5133.333333333333</v>
      </c>
      <c r="R236" s="163">
        <f t="shared" si="22"/>
        <v>0.3623188405797102</v>
      </c>
      <c r="S236" s="190"/>
      <c r="T236" s="81"/>
      <c r="U236" s="81"/>
      <c r="V236" s="81"/>
    </row>
    <row r="237" spans="1:23" s="80" customFormat="1">
      <c r="A237" s="77">
        <v>42898</v>
      </c>
      <c r="B237" s="78"/>
      <c r="C237" s="78"/>
      <c r="D237" s="80" t="s">
        <v>138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20"/>
        <v>3410</v>
      </c>
      <c r="Q237" s="124">
        <f t="shared" si="21"/>
        <v>0</v>
      </c>
      <c r="R237" s="163">
        <f t="shared" si="22"/>
        <v>1</v>
      </c>
      <c r="S237" s="191" t="str">
        <f>D237</f>
        <v xml:space="preserve">HL-10 Low </v>
      </c>
      <c r="T237" s="81"/>
      <c r="U237" s="81"/>
      <c r="V237" s="81"/>
    </row>
    <row r="238" spans="1:23" s="80" customFormat="1">
      <c r="A238" s="77">
        <v>42898</v>
      </c>
      <c r="B238" s="78"/>
      <c r="C238" s="78"/>
      <c r="D238" s="80" t="s">
        <v>138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20"/>
        <v>46666.666666666672</v>
      </c>
      <c r="Q238" s="124">
        <f t="shared" si="21"/>
        <v>0</v>
      </c>
      <c r="R238" s="163">
        <f t="shared" si="22"/>
        <v>1</v>
      </c>
      <c r="S238" s="189">
        <f>(SUM(P237:P240)/(SUM(P237:Q240)))</f>
        <v>0.80832463262221255</v>
      </c>
      <c r="T238" s="81"/>
      <c r="U238" s="81"/>
      <c r="V238" s="81"/>
    </row>
    <row r="239" spans="1:23" s="80" customFormat="1">
      <c r="A239" s="77">
        <v>42898</v>
      </c>
      <c r="B239" s="78"/>
      <c r="C239" s="78"/>
      <c r="D239" s="80" t="s">
        <v>138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20"/>
        <v>36000</v>
      </c>
      <c r="Q239" s="124">
        <f t="shared" si="21"/>
        <v>0</v>
      </c>
      <c r="R239" s="163">
        <f t="shared" si="22"/>
        <v>1</v>
      </c>
      <c r="S239" s="190"/>
      <c r="T239" s="81"/>
      <c r="U239" s="81"/>
      <c r="V239" s="81"/>
    </row>
    <row r="240" spans="1:23" s="80" customFormat="1">
      <c r="A240" s="77">
        <v>42898</v>
      </c>
      <c r="B240" s="78"/>
      <c r="C240" s="78"/>
      <c r="D240" s="80" t="s">
        <v>138</v>
      </c>
      <c r="E240" s="80">
        <v>6</v>
      </c>
      <c r="F240" s="87" t="s">
        <v>208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20"/>
        <v>375</v>
      </c>
      <c r="Q240" s="124">
        <f t="shared" si="21"/>
        <v>20500</v>
      </c>
      <c r="R240" s="163">
        <f t="shared" si="22"/>
        <v>1.7964071856287425E-2</v>
      </c>
      <c r="S240" s="190"/>
      <c r="T240" s="81"/>
      <c r="U240" s="81"/>
      <c r="V240" s="81"/>
    </row>
    <row r="241" spans="1:23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20"/>
        <v>3616.666666666667</v>
      </c>
      <c r="Q241" s="124">
        <f t="shared" si="21"/>
        <v>116.66666666666666</v>
      </c>
      <c r="R241" s="163">
        <f t="shared" si="22"/>
        <v>0.96875</v>
      </c>
      <c r="S241" s="191" t="str">
        <f>D241</f>
        <v>K-10 Ambient</v>
      </c>
      <c r="T241" s="81"/>
      <c r="U241" s="81"/>
      <c r="V241" s="81"/>
    </row>
    <row r="242" spans="1:23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20"/>
        <v>29666.666666666668</v>
      </c>
      <c r="Q242" s="124">
        <f t="shared" si="21"/>
        <v>0</v>
      </c>
      <c r="R242" s="163">
        <f t="shared" si="22"/>
        <v>1</v>
      </c>
      <c r="S242" s="189">
        <f>(SUM(P241:P244)/(SUM(P241:Q244)))</f>
        <v>0.84646710609177567</v>
      </c>
      <c r="T242" s="81"/>
      <c r="U242" s="81"/>
      <c r="V242" s="81"/>
    </row>
    <row r="243" spans="1:23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20"/>
        <v>33106.666666666664</v>
      </c>
      <c r="Q243" s="124">
        <f t="shared" si="21"/>
        <v>173.33333333333331</v>
      </c>
      <c r="R243" s="163">
        <f t="shared" si="22"/>
        <v>0.99479166666666663</v>
      </c>
      <c r="S243" s="190"/>
      <c r="T243" s="81"/>
      <c r="U243" s="81"/>
      <c r="V243" s="81"/>
    </row>
    <row r="244" spans="1:23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208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20"/>
        <v>816.66666666666674</v>
      </c>
      <c r="Q244" s="124">
        <f t="shared" si="21"/>
        <v>11900</v>
      </c>
      <c r="R244" s="163">
        <f t="shared" si="22"/>
        <v>6.4220183486238536E-2</v>
      </c>
      <c r="S244" s="190"/>
      <c r="T244" s="81"/>
      <c r="U244" s="81"/>
      <c r="V244" s="81"/>
    </row>
    <row r="245" spans="1:23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20"/>
        <v>2133.333333333333</v>
      </c>
      <c r="Q245" s="124">
        <f t="shared" si="21"/>
        <v>0</v>
      </c>
      <c r="R245" s="163">
        <f t="shared" si="22"/>
        <v>1</v>
      </c>
      <c r="S245" s="191" t="str">
        <f>D245</f>
        <v>K-6 Ambient</v>
      </c>
      <c r="T245" s="81"/>
      <c r="U245" s="81"/>
      <c r="V245" s="81"/>
    </row>
    <row r="246" spans="1:23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20"/>
        <v>40600</v>
      </c>
      <c r="Q246" s="124">
        <f t="shared" si="21"/>
        <v>200</v>
      </c>
      <c r="R246" s="163">
        <f t="shared" si="22"/>
        <v>0.99509803921568629</v>
      </c>
      <c r="S246" s="189">
        <f>(SUM(P245:P248)/(SUM(P245:Q248)))</f>
        <v>0.99785207990262759</v>
      </c>
      <c r="T246" s="81"/>
    </row>
    <row r="247" spans="1:23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20"/>
        <v>49680</v>
      </c>
      <c r="Q247" s="124">
        <f t="shared" si="21"/>
        <v>0</v>
      </c>
      <c r="R247" s="163">
        <f t="shared" si="22"/>
        <v>1</v>
      </c>
      <c r="S247" s="190"/>
      <c r="T247" s="81"/>
    </row>
    <row r="248" spans="1:23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208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20"/>
        <v>500</v>
      </c>
      <c r="Q248" s="124">
        <f t="shared" si="21"/>
        <v>0</v>
      </c>
      <c r="R248" s="163">
        <f t="shared" si="22"/>
        <v>1</v>
      </c>
      <c r="S248" s="190"/>
      <c r="T248" s="81"/>
    </row>
    <row r="249" spans="1:23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20"/>
        <v>812.5</v>
      </c>
      <c r="Q249" s="124">
        <f t="shared" si="21"/>
        <v>0</v>
      </c>
      <c r="R249" s="163">
        <f t="shared" si="22"/>
        <v>1</v>
      </c>
      <c r="S249" s="191" t="str">
        <f>D249</f>
        <v>K-6 Low</v>
      </c>
      <c r="T249" s="81"/>
    </row>
    <row r="250" spans="1:23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20"/>
        <v>866.66666666666663</v>
      </c>
      <c r="Q250" s="124">
        <f t="shared" si="21"/>
        <v>0</v>
      </c>
      <c r="R250" s="163">
        <f t="shared" si="22"/>
        <v>1</v>
      </c>
      <c r="S250" s="189">
        <f>(SUM(P249:P252)/(SUM(P249:Q252)))</f>
        <v>0.96843152282029121</v>
      </c>
      <c r="T250" s="81"/>
    </row>
    <row r="251" spans="1:23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20"/>
        <v>46200</v>
      </c>
      <c r="Q251" s="124">
        <f t="shared" si="21"/>
        <v>0</v>
      </c>
      <c r="R251" s="163">
        <f t="shared" si="22"/>
        <v>1</v>
      </c>
      <c r="S251" s="190"/>
      <c r="T251" s="81"/>
    </row>
    <row r="252" spans="1:23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208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20"/>
        <v>1613.3333333333333</v>
      </c>
      <c r="Q252" s="141">
        <f t="shared" si="21"/>
        <v>1613.3333333333333</v>
      </c>
      <c r="R252" s="166">
        <f t="shared" si="22"/>
        <v>0.5</v>
      </c>
      <c r="S252" s="201"/>
    </row>
    <row r="253" spans="1:23" s="137" customFormat="1">
      <c r="A253" s="134">
        <v>42901</v>
      </c>
      <c r="B253" s="135"/>
      <c r="C253" s="135"/>
      <c r="D253" s="199" t="s">
        <v>77</v>
      </c>
      <c r="E253" s="137">
        <v>1</v>
      </c>
      <c r="F253" s="155">
        <v>224</v>
      </c>
      <c r="G253" s="155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O253" s="137">
        <f t="shared" ref="O253" si="23">(AVERAGE(I253,K253,M253)/((AVERAGE(I253,K253,M253)+AVERAGE(J253,L253,N253))))</f>
        <v>0.9375</v>
      </c>
      <c r="P253" s="200">
        <f>(AVERAGE(I253,K253,M253)/G253)*H253</f>
        <v>2000</v>
      </c>
      <c r="Q253" s="200">
        <f t="shared" si="21"/>
        <v>133.33333333333331</v>
      </c>
      <c r="R253" s="173">
        <f t="shared" si="22"/>
        <v>0.93749999999999989</v>
      </c>
      <c r="S253" s="182" t="str">
        <f>D253</f>
        <v>SN-6 Low</v>
      </c>
      <c r="T253" s="172"/>
      <c r="U253" s="172"/>
      <c r="V253" s="172"/>
    </row>
    <row r="254" spans="1:23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212</v>
      </c>
      <c r="N254" s="62">
        <v>5</v>
      </c>
      <c r="P254" s="120">
        <f t="shared" ref="P254:P316" si="24">(AVERAGE(I254,K254,M254)/G254)*H254</f>
        <v>33300</v>
      </c>
      <c r="Q254" s="120">
        <f t="shared" si="21"/>
        <v>2200</v>
      </c>
      <c r="R254" s="106">
        <f t="shared" si="22"/>
        <v>0.93802816901408448</v>
      </c>
      <c r="S254" s="183">
        <f>(SUM(P253:P256)/(SUM(P253:Q256)))</f>
        <v>0.6144172001950795</v>
      </c>
      <c r="T254" s="65"/>
      <c r="U254" s="65"/>
      <c r="V254" s="65"/>
      <c r="W254" s="62" t="s">
        <v>213</v>
      </c>
    </row>
    <row r="255" spans="1:23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4"/>
        <v>49166.666666666672</v>
      </c>
      <c r="Q255" s="120">
        <f t="shared" si="21"/>
        <v>1458.3333333333335</v>
      </c>
      <c r="R255" s="106">
        <f t="shared" si="22"/>
        <v>0.97119341563785999</v>
      </c>
      <c r="S255" s="181"/>
      <c r="T255" s="65"/>
      <c r="U255" s="65"/>
      <c r="V255" s="65"/>
    </row>
    <row r="256" spans="1:23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208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4"/>
        <v>14220</v>
      </c>
      <c r="Q256" s="120">
        <f t="shared" si="21"/>
        <v>58140</v>
      </c>
      <c r="R256" s="106">
        <f t="shared" si="22"/>
        <v>0.19651741293532338</v>
      </c>
      <c r="S256" s="184"/>
      <c r="T256" s="65"/>
      <c r="U256" s="65"/>
      <c r="V256" s="65"/>
    </row>
    <row r="257" spans="1:23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4"/>
        <v>333.33333333333331</v>
      </c>
      <c r="Q257" s="120">
        <f t="shared" si="21"/>
        <v>0</v>
      </c>
      <c r="R257" s="106">
        <f t="shared" si="22"/>
        <v>1</v>
      </c>
      <c r="S257" s="185" t="str">
        <f>D257</f>
        <v>NF-6 Low</v>
      </c>
      <c r="T257" s="65"/>
      <c r="U257" s="65"/>
      <c r="V257" s="65"/>
    </row>
    <row r="258" spans="1:23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4"/>
        <v>4400</v>
      </c>
      <c r="Q258" s="120">
        <f t="shared" si="21"/>
        <v>600</v>
      </c>
      <c r="R258" s="106">
        <f t="shared" si="22"/>
        <v>0.88</v>
      </c>
      <c r="S258" s="183">
        <f>(SUM(P257:P260)/(SUM(P257:Q260)))</f>
        <v>0.8087020307312176</v>
      </c>
      <c r="T258" s="65"/>
      <c r="U258" s="65"/>
      <c r="V258" s="65"/>
    </row>
    <row r="259" spans="1:23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4"/>
        <v>65090</v>
      </c>
      <c r="Q259" s="120">
        <f t="shared" si="21"/>
        <v>1380</v>
      </c>
      <c r="R259" s="106">
        <f t="shared" si="22"/>
        <v>0.97923875432525953</v>
      </c>
      <c r="S259" s="184"/>
      <c r="T259" s="65"/>
      <c r="U259" s="65"/>
      <c r="V259" s="65"/>
    </row>
    <row r="260" spans="1:23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208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4"/>
        <v>0</v>
      </c>
      <c r="Q260" s="120">
        <f t="shared" si="21"/>
        <v>14536.666666666668</v>
      </c>
      <c r="R260" s="106">
        <f t="shared" si="22"/>
        <v>0</v>
      </c>
      <c r="S260" s="184"/>
      <c r="T260" s="65"/>
      <c r="U260" s="65"/>
      <c r="V260" s="65"/>
    </row>
    <row r="261" spans="1:23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120">
        <f t="shared" si="24"/>
        <v>30333.333333333332</v>
      </c>
      <c r="Q261" s="120">
        <f t="shared" si="21"/>
        <v>0</v>
      </c>
      <c r="R261" s="106">
        <f t="shared" si="22"/>
        <v>1</v>
      </c>
      <c r="S261" s="185" t="str">
        <f>D261</f>
        <v>SN-10 Ambient</v>
      </c>
      <c r="T261" s="65"/>
      <c r="U261" s="65"/>
      <c r="V261" s="65"/>
      <c r="W261" s="62" t="s">
        <v>214</v>
      </c>
    </row>
    <row r="262" spans="1:23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4"/>
        <v>61366.666666666672</v>
      </c>
      <c r="Q262" s="120">
        <f t="shared" si="21"/>
        <v>6533.3333333333339</v>
      </c>
      <c r="R262" s="106">
        <f t="shared" si="22"/>
        <v>0.90378006872852246</v>
      </c>
      <c r="S262" s="183">
        <f>(SUM(P261:P264)/(SUM(P261:Q264)))</f>
        <v>0.89498461397143259</v>
      </c>
      <c r="T262" s="65"/>
      <c r="U262" s="65"/>
      <c r="V262" s="65"/>
    </row>
    <row r="263" spans="1:23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4"/>
        <v>32700.000000000004</v>
      </c>
      <c r="Q263" s="120">
        <f t="shared" si="21"/>
        <v>300</v>
      </c>
      <c r="R263" s="106">
        <f t="shared" si="22"/>
        <v>0.99090909090909107</v>
      </c>
      <c r="S263" s="184"/>
      <c r="T263" s="65"/>
      <c r="U263" s="65"/>
      <c r="V263" s="65"/>
    </row>
    <row r="264" spans="1:23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208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1"/>
        <v>8410</v>
      </c>
      <c r="R264" s="106">
        <f t="shared" si="22"/>
        <v>0.39583333333333331</v>
      </c>
      <c r="S264" s="184"/>
      <c r="T264" s="65"/>
      <c r="U264" s="65"/>
      <c r="V264" s="65"/>
    </row>
    <row r="265" spans="1:23" s="62" customFormat="1">
      <c r="A265" s="59">
        <v>42901</v>
      </c>
      <c r="B265" s="60"/>
      <c r="C265" s="60"/>
      <c r="D265" s="61" t="s">
        <v>139</v>
      </c>
      <c r="E265" s="62">
        <v>2</v>
      </c>
      <c r="F265" s="89">
        <v>224</v>
      </c>
      <c r="G265" s="89">
        <v>1</v>
      </c>
      <c r="H265" s="153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1"/>
        <v>1200</v>
      </c>
      <c r="R265" s="106">
        <f t="shared" si="22"/>
        <v>0.5714285714285714</v>
      </c>
      <c r="S265" s="185" t="str">
        <f>D265</f>
        <v xml:space="preserve">SN-10 Low </v>
      </c>
      <c r="T265" s="65"/>
      <c r="U265" s="65"/>
      <c r="V265" s="65"/>
      <c r="W265" s="62" t="s">
        <v>211</v>
      </c>
    </row>
    <row r="266" spans="1:23" s="62" customFormat="1">
      <c r="A266" s="59">
        <v>42901</v>
      </c>
      <c r="B266" s="60"/>
      <c r="C266" s="60"/>
      <c r="D266" s="61" t="s">
        <v>139</v>
      </c>
      <c r="E266" s="62">
        <v>2</v>
      </c>
      <c r="F266" s="89">
        <v>180</v>
      </c>
      <c r="G266" s="89">
        <v>1</v>
      </c>
      <c r="H266" s="153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4"/>
        <v>16800</v>
      </c>
      <c r="Q266" s="120">
        <f t="shared" si="21"/>
        <v>7600</v>
      </c>
      <c r="R266" s="106">
        <f t="shared" si="22"/>
        <v>0.68852459016393441</v>
      </c>
      <c r="S266" s="183">
        <f>(SUM(P265:P268)/(SUM(P265:Q268)))</f>
        <v>0.8653601425299059</v>
      </c>
      <c r="T266" s="65"/>
      <c r="U266" s="65"/>
      <c r="V266" s="65"/>
      <c r="W266" s="62" t="s">
        <v>211</v>
      </c>
    </row>
    <row r="267" spans="1:23" s="62" customFormat="1">
      <c r="A267" s="59">
        <v>42901</v>
      </c>
      <c r="B267" s="60"/>
      <c r="C267" s="60"/>
      <c r="D267" s="61" t="s">
        <v>139</v>
      </c>
      <c r="E267" s="62">
        <v>2</v>
      </c>
      <c r="F267" s="89">
        <v>100</v>
      </c>
      <c r="G267" s="89">
        <v>1</v>
      </c>
      <c r="H267" s="153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4"/>
        <v>89833.333333333343</v>
      </c>
      <c r="Q267" s="120">
        <f t="shared" si="21"/>
        <v>233.33333333333331</v>
      </c>
      <c r="R267" s="106">
        <f t="shared" si="22"/>
        <v>0.99740932642487057</v>
      </c>
      <c r="S267" s="184"/>
      <c r="T267" s="65"/>
      <c r="U267" s="65"/>
      <c r="V267" s="65"/>
      <c r="W267" s="62" t="s">
        <v>211</v>
      </c>
    </row>
    <row r="268" spans="1:23" s="62" customFormat="1">
      <c r="A268" s="59">
        <v>42901</v>
      </c>
      <c r="B268" s="60"/>
      <c r="C268" s="60"/>
      <c r="D268" s="61" t="s">
        <v>139</v>
      </c>
      <c r="E268" s="62">
        <v>2</v>
      </c>
      <c r="F268" s="89" t="s">
        <v>208</v>
      </c>
      <c r="G268" s="89">
        <v>1</v>
      </c>
      <c r="H268" s="153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4"/>
        <v>5100</v>
      </c>
      <c r="Q268" s="120">
        <f t="shared" si="21"/>
        <v>8600</v>
      </c>
      <c r="R268" s="106">
        <f t="shared" si="22"/>
        <v>0.37226277372262773</v>
      </c>
      <c r="S268" s="184"/>
      <c r="T268" s="65"/>
      <c r="U268" s="65"/>
      <c r="V268" s="65"/>
      <c r="W268" s="62" t="s">
        <v>211</v>
      </c>
    </row>
    <row r="269" spans="1:23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4"/>
        <v>1200</v>
      </c>
      <c r="Q269" s="120">
        <f t="shared" si="21"/>
        <v>200</v>
      </c>
      <c r="R269" s="106">
        <f t="shared" si="22"/>
        <v>0.8571428571428571</v>
      </c>
      <c r="S269" s="185" t="str">
        <f>D269</f>
        <v>NF-6 Ambient</v>
      </c>
      <c r="T269" s="65"/>
      <c r="U269" s="65"/>
      <c r="V269" s="65"/>
    </row>
    <row r="270" spans="1:23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4"/>
        <v>21233.333333333332</v>
      </c>
      <c r="Q270" s="120">
        <f t="shared" si="21"/>
        <v>3033.333333333333</v>
      </c>
      <c r="R270" s="106">
        <f t="shared" si="22"/>
        <v>0.875</v>
      </c>
      <c r="S270" s="183">
        <f>(SUM(P269:P272)/(SUM(P269:Q272)))</f>
        <v>0.83241272646928866</v>
      </c>
      <c r="T270" s="65"/>
      <c r="U270" s="65"/>
      <c r="V270" s="65"/>
    </row>
    <row r="271" spans="1:23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4"/>
        <v>2683.3333333333335</v>
      </c>
      <c r="Q271" s="120">
        <f t="shared" si="21"/>
        <v>350</v>
      </c>
      <c r="R271" s="106">
        <f t="shared" si="22"/>
        <v>0.88461538461538458</v>
      </c>
      <c r="S271" s="184"/>
      <c r="T271" s="65"/>
      <c r="U271" s="65"/>
      <c r="V271" s="65"/>
    </row>
    <row r="272" spans="1:23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208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4"/>
        <v>0</v>
      </c>
      <c r="Q272" s="120">
        <f t="shared" si="21"/>
        <v>1473.3333333333333</v>
      </c>
      <c r="R272" s="106">
        <f t="shared" si="22"/>
        <v>0</v>
      </c>
      <c r="S272" s="184"/>
      <c r="T272" s="65"/>
      <c r="U272" s="65"/>
      <c r="V272" s="65"/>
    </row>
    <row r="273" spans="1:22" s="62" customFormat="1">
      <c r="A273" s="59">
        <v>42901</v>
      </c>
      <c r="B273" s="60"/>
      <c r="C273" s="60"/>
      <c r="D273" s="62" t="s">
        <v>76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4"/>
        <v>1866.6666666666667</v>
      </c>
      <c r="Q273" s="120">
        <f t="shared" si="21"/>
        <v>1066.6666666666665</v>
      </c>
      <c r="R273" s="106">
        <f t="shared" si="22"/>
        <v>0.63636363636363646</v>
      </c>
      <c r="S273" s="185" t="str">
        <f>D273</f>
        <v xml:space="preserve">NF-10 Low </v>
      </c>
      <c r="T273" s="65"/>
      <c r="U273" s="65"/>
      <c r="V273" s="65"/>
    </row>
    <row r="274" spans="1:22" s="62" customFormat="1">
      <c r="A274" s="59">
        <v>42901</v>
      </c>
      <c r="B274" s="60"/>
      <c r="C274" s="60"/>
      <c r="D274" s="62" t="s">
        <v>76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4"/>
        <v>19550</v>
      </c>
      <c r="Q274" s="120">
        <f t="shared" si="21"/>
        <v>6133.333333333333</v>
      </c>
      <c r="R274" s="106">
        <f t="shared" si="22"/>
        <v>0.76119402985074636</v>
      </c>
      <c r="S274" s="183">
        <f>(SUM(P273:P276)/(SUM(P273:Q276)))</f>
        <v>0.73128702207862151</v>
      </c>
      <c r="T274" s="65"/>
    </row>
    <row r="275" spans="1:22" s="62" customFormat="1">
      <c r="A275" s="59">
        <v>42901</v>
      </c>
      <c r="B275" s="60"/>
      <c r="C275" s="60"/>
      <c r="D275" s="62" t="s">
        <v>76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4"/>
        <v>1100</v>
      </c>
      <c r="Q275" s="120">
        <f t="shared" si="21"/>
        <v>300</v>
      </c>
      <c r="R275" s="106">
        <f t="shared" si="22"/>
        <v>0.7857142857142857</v>
      </c>
      <c r="S275" s="184"/>
      <c r="T275" s="65"/>
    </row>
    <row r="276" spans="1:22" s="62" customFormat="1">
      <c r="A276" s="59">
        <v>42901</v>
      </c>
      <c r="B276" s="60"/>
      <c r="C276" s="60"/>
      <c r="D276" s="62" t="s">
        <v>76</v>
      </c>
      <c r="E276" s="62">
        <v>3</v>
      </c>
      <c r="F276" s="89" t="s">
        <v>208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4"/>
        <v>116.66666666666666</v>
      </c>
      <c r="Q276" s="120">
        <f t="shared" si="21"/>
        <v>816.66666666666674</v>
      </c>
      <c r="R276" s="106">
        <f t="shared" si="22"/>
        <v>0.12499999999999999</v>
      </c>
      <c r="S276" s="184"/>
      <c r="T276" s="65"/>
    </row>
    <row r="277" spans="1:22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4"/>
        <v>0</v>
      </c>
      <c r="Q277" s="120">
        <f t="shared" si="21"/>
        <v>0</v>
      </c>
      <c r="R277" s="106" t="e">
        <f t="shared" si="22"/>
        <v>#DIV/0!</v>
      </c>
      <c r="S277" s="182" t="str">
        <f>D277</f>
        <v>HL-6 Low</v>
      </c>
      <c r="T277" s="65"/>
    </row>
    <row r="278" spans="1:22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4"/>
        <v>0</v>
      </c>
      <c r="Q278" s="120">
        <f t="shared" si="21"/>
        <v>0</v>
      </c>
      <c r="R278" s="106" t="e">
        <f t="shared" si="22"/>
        <v>#DIV/0!</v>
      </c>
      <c r="S278" s="183">
        <f>(SUM(P277:P280)/(SUM(P277:Q280)))</f>
        <v>0.97701149425287348</v>
      </c>
      <c r="T278" s="65"/>
    </row>
    <row r="279" spans="1:22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2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4"/>
        <v>28333.333333333332</v>
      </c>
      <c r="Q279" s="120">
        <f t="shared" si="21"/>
        <v>0</v>
      </c>
      <c r="R279" s="106">
        <f t="shared" si="22"/>
        <v>1</v>
      </c>
      <c r="S279" s="181"/>
      <c r="T279" s="65"/>
    </row>
    <row r="280" spans="1:22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208</v>
      </c>
      <c r="G280" s="89">
        <v>1</v>
      </c>
      <c r="H280" s="152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1"/>
        <v>666.66666666666674</v>
      </c>
      <c r="R280" s="106">
        <f t="shared" si="22"/>
        <v>0</v>
      </c>
      <c r="S280" s="184"/>
      <c r="T280" s="65"/>
    </row>
    <row r="281" spans="1:22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4"/>
        <v>0</v>
      </c>
      <c r="Q281" s="120">
        <f t="shared" si="21"/>
        <v>0</v>
      </c>
      <c r="R281" s="106" t="e">
        <f t="shared" si="22"/>
        <v>#DIV/0!</v>
      </c>
      <c r="S281" s="185" t="str">
        <f>D281</f>
        <v>HL-6 Ambient</v>
      </c>
      <c r="T281" s="65"/>
    </row>
    <row r="282" spans="1:22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4"/>
        <v>0</v>
      </c>
      <c r="Q282" s="120">
        <f t="shared" si="21"/>
        <v>0</v>
      </c>
      <c r="R282" s="106" t="e">
        <f t="shared" si="22"/>
        <v>#DIV/0!</v>
      </c>
      <c r="S282" s="183">
        <f>(SUM(P281:P284)/(SUM(P281:Q284)))</f>
        <v>0.97079556898288022</v>
      </c>
      <c r="T282" s="65"/>
    </row>
    <row r="283" spans="1:22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2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4"/>
        <v>55333.333333333336</v>
      </c>
      <c r="Q283" s="120">
        <f t="shared" si="21"/>
        <v>333.33333333333331</v>
      </c>
      <c r="R283" s="106">
        <f t="shared" si="22"/>
        <v>0.99401197604790414</v>
      </c>
      <c r="S283" s="184"/>
      <c r="T283" s="65"/>
    </row>
    <row r="284" spans="1:22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208</v>
      </c>
      <c r="G284" s="89">
        <v>1</v>
      </c>
      <c r="H284" s="152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4"/>
        <v>8933.3333333333321</v>
      </c>
      <c r="Q284" s="120">
        <f t="shared" si="21"/>
        <v>1600</v>
      </c>
      <c r="R284" s="106">
        <f t="shared" si="22"/>
        <v>0.84810126582278478</v>
      </c>
      <c r="S284" s="184"/>
      <c r="T284" s="65"/>
    </row>
    <row r="285" spans="1:22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4"/>
        <v>466.66666666666663</v>
      </c>
      <c r="Q285" s="120">
        <f t="shared" si="21"/>
        <v>116.66666666666666</v>
      </c>
      <c r="R285" s="106">
        <f t="shared" si="22"/>
        <v>0.8</v>
      </c>
      <c r="S285" s="185" t="str">
        <f>D285</f>
        <v>NF-10 Ambient</v>
      </c>
    </row>
    <row r="286" spans="1:22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4"/>
        <v>15400</v>
      </c>
      <c r="Q286" s="120">
        <f t="shared" si="21"/>
        <v>1466.6666666666665</v>
      </c>
      <c r="R286" s="106">
        <f t="shared" si="22"/>
        <v>0.91304347826086951</v>
      </c>
      <c r="S286" s="183">
        <f>(SUM(P285:P288)/(SUM(P285:Q288)))</f>
        <v>0.77275211806504518</v>
      </c>
    </row>
    <row r="287" spans="1:22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4"/>
        <v>75716.666666666657</v>
      </c>
      <c r="Q287" s="120">
        <f t="shared" si="21"/>
        <v>1466.6666666666665</v>
      </c>
      <c r="R287" s="106">
        <f t="shared" si="22"/>
        <v>0.98099762470308782</v>
      </c>
      <c r="S287" s="184"/>
    </row>
    <row r="288" spans="1:22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208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4"/>
        <v>2666.666666666667</v>
      </c>
      <c r="Q288" s="120">
        <f t="shared" si="21"/>
        <v>24666.666666666664</v>
      </c>
      <c r="R288" s="106">
        <f t="shared" si="22"/>
        <v>9.7560975609756115E-2</v>
      </c>
      <c r="S288" s="184"/>
    </row>
    <row r="289" spans="1:22" s="62" customFormat="1">
      <c r="A289" s="59">
        <v>42901</v>
      </c>
      <c r="B289" s="60"/>
      <c r="C289" s="60"/>
      <c r="D289" s="62" t="s">
        <v>37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4"/>
        <v>0</v>
      </c>
      <c r="Q289" s="120">
        <f t="shared" si="21"/>
        <v>0</v>
      </c>
      <c r="R289" s="106" t="e">
        <f t="shared" si="22"/>
        <v>#DIV/0!</v>
      </c>
      <c r="S289" s="185" t="str">
        <f>D289</f>
        <v xml:space="preserve">K-10 Low </v>
      </c>
      <c r="T289" s="65"/>
      <c r="U289" s="65"/>
      <c r="V289" s="65"/>
    </row>
    <row r="290" spans="1:22" s="62" customFormat="1">
      <c r="A290" s="59">
        <v>42901</v>
      </c>
      <c r="B290" s="60"/>
      <c r="C290" s="60"/>
      <c r="D290" s="62" t="s">
        <v>37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4"/>
        <v>758.33333333333326</v>
      </c>
      <c r="Q290" s="120">
        <f t="shared" si="21"/>
        <v>58.333333333333329</v>
      </c>
      <c r="R290" s="106">
        <f t="shared" si="22"/>
        <v>0.92857142857142849</v>
      </c>
      <c r="S290" s="183">
        <f>(SUM(P289:P292)/(SUM(P289:Q292)))</f>
        <v>0.16666666666666666</v>
      </c>
      <c r="T290" s="65"/>
      <c r="U290" s="65"/>
      <c r="V290" s="65"/>
    </row>
    <row r="291" spans="1:22" s="62" customFormat="1">
      <c r="A291" s="59">
        <v>42901</v>
      </c>
      <c r="B291" s="60"/>
      <c r="C291" s="60"/>
      <c r="D291" s="149" t="s">
        <v>37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4"/>
        <v>2566.6666666666665</v>
      </c>
      <c r="Q291" s="120">
        <f t="shared" si="21"/>
        <v>700</v>
      </c>
      <c r="R291" s="106">
        <f t="shared" si="22"/>
        <v>0.7857142857142857</v>
      </c>
      <c r="S291" s="184"/>
      <c r="T291" s="65"/>
      <c r="U291" s="65"/>
      <c r="V291" s="65"/>
    </row>
    <row r="292" spans="1:22" s="62" customFormat="1">
      <c r="A292" s="59">
        <v>42901</v>
      </c>
      <c r="B292" s="60"/>
      <c r="C292" s="60"/>
      <c r="D292" s="149" t="s">
        <v>37</v>
      </c>
      <c r="E292" s="62">
        <v>5</v>
      </c>
      <c r="F292" s="89" t="s">
        <v>208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4"/>
        <v>533.33333333333326</v>
      </c>
      <c r="Q292" s="120">
        <f t="shared" ref="Q292:Q355" si="25">(AVERAGE(J292,L292,N292)/G292)*H292</f>
        <v>18533.333333333336</v>
      </c>
      <c r="R292" s="106">
        <f t="shared" ref="R292:R355" si="26">P292/(P292+Q292)</f>
        <v>2.7972027972027965E-2</v>
      </c>
      <c r="S292" s="184"/>
      <c r="T292" s="65"/>
      <c r="U292" s="65"/>
      <c r="V292" s="65"/>
    </row>
    <row r="293" spans="1:22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4"/>
        <v>350</v>
      </c>
      <c r="Q293" s="120">
        <f t="shared" si="25"/>
        <v>0</v>
      </c>
      <c r="R293" s="106">
        <f t="shared" si="26"/>
        <v>1</v>
      </c>
      <c r="S293" s="185" t="str">
        <f>D293</f>
        <v>SN-6 Ambient</v>
      </c>
      <c r="T293" s="65"/>
      <c r="U293" s="65"/>
      <c r="V293" s="65"/>
    </row>
    <row r="294" spans="1:22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5"/>
        <v>17510</v>
      </c>
      <c r="R294" s="106">
        <f t="shared" si="26"/>
        <v>0.42134831460674155</v>
      </c>
      <c r="S294" s="183">
        <f>(SUM(P293:P296)/(SUM(P293:Q296)))</f>
        <v>0.53665833367484927</v>
      </c>
      <c r="T294" s="65"/>
      <c r="U294" s="65"/>
      <c r="V294" s="65"/>
    </row>
    <row r="295" spans="1:22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4"/>
        <v>7791.6666666666661</v>
      </c>
      <c r="Q295" s="120">
        <f t="shared" si="25"/>
        <v>283.33333333333331</v>
      </c>
      <c r="R295" s="106">
        <f t="shared" si="26"/>
        <v>0.96491228070175439</v>
      </c>
      <c r="S295" s="184"/>
      <c r="T295" s="65"/>
      <c r="U295" s="65"/>
      <c r="V295" s="65"/>
    </row>
    <row r="296" spans="1:22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208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4"/>
        <v>933.33333333333326</v>
      </c>
      <c r="Q296" s="120">
        <f t="shared" si="25"/>
        <v>1050</v>
      </c>
      <c r="R296" s="106">
        <f t="shared" si="26"/>
        <v>0.47058823529411764</v>
      </c>
      <c r="S296" s="184"/>
      <c r="T296" s="65"/>
      <c r="U296" s="65"/>
      <c r="V296" s="65"/>
    </row>
    <row r="297" spans="1:22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4"/>
        <v>1516.6666666666667</v>
      </c>
      <c r="Q297" s="120">
        <f t="shared" si="25"/>
        <v>0</v>
      </c>
      <c r="R297" s="106">
        <f t="shared" si="26"/>
        <v>1</v>
      </c>
      <c r="S297" s="185" t="str">
        <f>D297</f>
        <v>HL-10 Ambient</v>
      </c>
      <c r="T297" s="65"/>
      <c r="U297" s="65"/>
      <c r="V297" s="65"/>
    </row>
    <row r="298" spans="1:22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4"/>
        <v>38800</v>
      </c>
      <c r="Q298" s="120">
        <f t="shared" si="25"/>
        <v>600</v>
      </c>
      <c r="R298" s="106">
        <f t="shared" si="26"/>
        <v>0.98477157360406087</v>
      </c>
      <c r="S298" s="183">
        <f>(SUM(P297:P300)/(SUM(P297:Q300)))</f>
        <v>0.65169710616295551</v>
      </c>
      <c r="T298" s="65"/>
      <c r="U298" s="65"/>
      <c r="V298" s="65"/>
    </row>
    <row r="299" spans="1:22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4"/>
        <v>8960</v>
      </c>
      <c r="Q299" s="120">
        <f t="shared" si="25"/>
        <v>140</v>
      </c>
      <c r="R299" s="106">
        <f t="shared" si="26"/>
        <v>0.98461538461538467</v>
      </c>
      <c r="S299" s="184"/>
      <c r="T299" s="65"/>
      <c r="U299" s="65"/>
      <c r="V299" s="65"/>
    </row>
    <row r="300" spans="1:22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208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4"/>
        <v>2820</v>
      </c>
      <c r="Q300" s="120">
        <f t="shared" si="25"/>
        <v>27103.333333333332</v>
      </c>
      <c r="R300" s="106">
        <f t="shared" si="26"/>
        <v>9.4240837696335081E-2</v>
      </c>
      <c r="S300" s="184"/>
      <c r="T300" s="65"/>
      <c r="U300" s="65"/>
      <c r="V300" s="65"/>
    </row>
    <row r="301" spans="1:22" s="62" customFormat="1">
      <c r="A301" s="59">
        <v>42901</v>
      </c>
      <c r="B301" s="60"/>
      <c r="C301" s="60"/>
      <c r="D301" s="62" t="s">
        <v>138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4"/>
        <v>5600</v>
      </c>
      <c r="Q301" s="120">
        <f t="shared" si="25"/>
        <v>0</v>
      </c>
      <c r="R301" s="106">
        <f t="shared" si="26"/>
        <v>1</v>
      </c>
      <c r="S301" s="185" t="str">
        <f>D301</f>
        <v xml:space="preserve">HL-10 Low </v>
      </c>
      <c r="T301" s="65"/>
      <c r="U301" s="65"/>
      <c r="V301" s="65"/>
    </row>
    <row r="302" spans="1:22" s="62" customFormat="1">
      <c r="A302" s="59">
        <v>42901</v>
      </c>
      <c r="B302" s="60"/>
      <c r="C302" s="60"/>
      <c r="D302" s="62" t="s">
        <v>138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4"/>
        <v>47291.666666666672</v>
      </c>
      <c r="Q302" s="120">
        <f t="shared" si="25"/>
        <v>0</v>
      </c>
      <c r="R302" s="106">
        <f t="shared" si="26"/>
        <v>1</v>
      </c>
      <c r="S302" s="183">
        <f>(SUM(P301:P304)/(SUM(P301:Q304)))</f>
        <v>0.85204273366618355</v>
      </c>
      <c r="T302" s="65"/>
      <c r="U302" s="65"/>
      <c r="V302" s="65"/>
    </row>
    <row r="303" spans="1:22" s="62" customFormat="1">
      <c r="A303" s="59">
        <v>42901</v>
      </c>
      <c r="B303" s="60"/>
      <c r="C303" s="60"/>
      <c r="D303" s="62" t="s">
        <v>138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4"/>
        <v>78166.666666666672</v>
      </c>
      <c r="Q303" s="120">
        <f t="shared" si="25"/>
        <v>1666.6666666666667</v>
      </c>
      <c r="R303" s="106">
        <f t="shared" si="26"/>
        <v>0.97912317327766174</v>
      </c>
      <c r="S303" s="184"/>
      <c r="T303" s="65"/>
      <c r="U303" s="65"/>
      <c r="V303" s="65"/>
    </row>
    <row r="304" spans="1:22" s="62" customFormat="1">
      <c r="A304" s="59">
        <v>42901</v>
      </c>
      <c r="B304" s="60"/>
      <c r="C304" s="60"/>
      <c r="D304" s="62" t="s">
        <v>138</v>
      </c>
      <c r="E304" s="62">
        <v>7</v>
      </c>
      <c r="F304" s="89" t="s">
        <v>208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4"/>
        <v>1200</v>
      </c>
      <c r="Q304" s="120">
        <f t="shared" si="25"/>
        <v>21300</v>
      </c>
      <c r="R304" s="106">
        <f t="shared" si="26"/>
        <v>5.3333333333333337E-2</v>
      </c>
      <c r="S304" s="184"/>
      <c r="T304" s="65"/>
      <c r="U304" s="65"/>
      <c r="V304" s="65"/>
    </row>
    <row r="305" spans="1:22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4"/>
        <v>2250</v>
      </c>
      <c r="Q305" s="120">
        <f t="shared" si="25"/>
        <v>0</v>
      </c>
      <c r="R305" s="106">
        <f t="shared" si="26"/>
        <v>1</v>
      </c>
      <c r="S305" s="185" t="str">
        <f>D305</f>
        <v>K-10 Ambient</v>
      </c>
      <c r="T305" s="65"/>
      <c r="U305" s="65"/>
      <c r="V305" s="65"/>
    </row>
    <row r="306" spans="1:22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4"/>
        <v>25333.333333333332</v>
      </c>
      <c r="Q306" s="120">
        <f t="shared" si="25"/>
        <v>1333.3333333333333</v>
      </c>
      <c r="R306" s="106">
        <f t="shared" si="26"/>
        <v>0.95000000000000007</v>
      </c>
      <c r="S306" s="183">
        <f>(SUM(P305:P308)/(SUM(P305:Q308)))</f>
        <v>0.76490570458006313</v>
      </c>
      <c r="T306" s="65"/>
      <c r="U306" s="65"/>
      <c r="V306" s="65"/>
    </row>
    <row r="307" spans="1:22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4"/>
        <v>26833.333333333332</v>
      </c>
      <c r="Q307" s="120">
        <f t="shared" si="25"/>
        <v>2500</v>
      </c>
      <c r="R307" s="106">
        <f t="shared" si="26"/>
        <v>0.91477272727272729</v>
      </c>
      <c r="S307" s="184"/>
      <c r="T307" s="65"/>
      <c r="U307" s="65"/>
      <c r="V307" s="65"/>
    </row>
    <row r="308" spans="1:22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208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4"/>
        <v>0</v>
      </c>
      <c r="Q308" s="120">
        <f t="shared" si="25"/>
        <v>12891.666666666666</v>
      </c>
      <c r="R308" s="106">
        <f t="shared" si="26"/>
        <v>0</v>
      </c>
      <c r="S308" s="184"/>
      <c r="T308" s="65"/>
      <c r="U308" s="65"/>
      <c r="V308" s="65"/>
    </row>
    <row r="309" spans="1:22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4"/>
        <v>4025</v>
      </c>
      <c r="Q309" s="120">
        <f t="shared" si="25"/>
        <v>0</v>
      </c>
      <c r="R309" s="106">
        <f t="shared" si="26"/>
        <v>1</v>
      </c>
      <c r="S309" s="185" t="str">
        <f>D309</f>
        <v>K-6 Ambient</v>
      </c>
      <c r="T309" s="65"/>
      <c r="U309" s="65"/>
      <c r="V309" s="65"/>
    </row>
    <row r="310" spans="1:22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4"/>
        <v>29680</v>
      </c>
      <c r="Q310" s="120">
        <f t="shared" si="25"/>
        <v>186.66666666666666</v>
      </c>
      <c r="R310" s="106">
        <f t="shared" si="26"/>
        <v>0.99374999999999991</v>
      </c>
      <c r="S310" s="183">
        <f>(SUM(P309:P312)/(SUM(P309:Q312)))</f>
        <v>0.72436865611043444</v>
      </c>
      <c r="T310" s="65"/>
    </row>
    <row r="311" spans="1:22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4"/>
        <v>34500</v>
      </c>
      <c r="Q311" s="120">
        <f t="shared" si="25"/>
        <v>1833.3333333333333</v>
      </c>
      <c r="R311" s="106">
        <f t="shared" si="26"/>
        <v>0.94954128440366969</v>
      </c>
      <c r="S311" s="184"/>
      <c r="T311" s="65"/>
    </row>
    <row r="312" spans="1:22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208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4"/>
        <v>6133.3333333333339</v>
      </c>
      <c r="Q312" s="120">
        <f t="shared" si="25"/>
        <v>26266.666666666668</v>
      </c>
      <c r="R312" s="106">
        <f t="shared" si="26"/>
        <v>0.18930041152263377</v>
      </c>
      <c r="S312" s="184"/>
      <c r="T312" s="65"/>
    </row>
    <row r="313" spans="1:22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4"/>
        <v>400</v>
      </c>
      <c r="Q313" s="120">
        <f t="shared" si="25"/>
        <v>0</v>
      </c>
      <c r="R313" s="106">
        <f t="shared" si="26"/>
        <v>1</v>
      </c>
      <c r="S313" s="185" t="str">
        <f>D313</f>
        <v>K-6 Low</v>
      </c>
      <c r="T313" s="65"/>
    </row>
    <row r="314" spans="1:22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4"/>
        <v>7349.9999999999991</v>
      </c>
      <c r="Q314" s="120">
        <f t="shared" si="25"/>
        <v>0</v>
      </c>
      <c r="R314" s="106">
        <f t="shared" si="26"/>
        <v>1</v>
      </c>
      <c r="S314" s="183">
        <f>(SUM(P313:P316)/(SUM(P313:Q316)))</f>
        <v>0.93671955684912223</v>
      </c>
      <c r="T314" s="65"/>
    </row>
    <row r="315" spans="1:22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4"/>
        <v>24666.666666666668</v>
      </c>
      <c r="Q315" s="120">
        <f t="shared" si="25"/>
        <v>1166.6666666666667</v>
      </c>
      <c r="R315" s="106">
        <f t="shared" si="26"/>
        <v>0.95483870967741935</v>
      </c>
      <c r="S315" s="184"/>
      <c r="T315" s="65"/>
    </row>
    <row r="316" spans="1:22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50" t="s">
        <v>208</v>
      </c>
      <c r="G316" s="150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51">
        <f t="shared" si="24"/>
        <v>840</v>
      </c>
      <c r="Q316" s="151">
        <f t="shared" si="25"/>
        <v>1080</v>
      </c>
      <c r="R316" s="167">
        <f t="shared" si="26"/>
        <v>0.4375</v>
      </c>
      <c r="S316" s="198"/>
    </row>
    <row r="317" spans="1:22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O317" s="75">
        <f t="shared" ref="O317" si="27">(AVERAGE(I317,K317,M317)/((AVERAGE(I317,K317,M317)+AVERAGE(J317,L317,N317))))</f>
        <v>1</v>
      </c>
      <c r="P317" s="122">
        <f>(AVERAGE(I317,K317,M317)/G317)*H317</f>
        <v>180</v>
      </c>
      <c r="Q317" s="122">
        <f t="shared" si="25"/>
        <v>0</v>
      </c>
      <c r="R317" s="162">
        <f t="shared" si="26"/>
        <v>1</v>
      </c>
      <c r="S317" s="175" t="str">
        <f>D317</f>
        <v>NF-6 Low</v>
      </c>
      <c r="T317" s="76"/>
      <c r="U317" s="76"/>
      <c r="V317" s="76"/>
    </row>
    <row r="318" spans="1:22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8">(AVERAGE(I318,K318,M318)/G318)*H318</f>
        <v>9166.6666666666661</v>
      </c>
      <c r="Q318" s="124">
        <f t="shared" si="25"/>
        <v>333.33333333333331</v>
      </c>
      <c r="R318" s="163">
        <f t="shared" si="26"/>
        <v>0.96491228070175428</v>
      </c>
      <c r="S318" s="187">
        <f>(SUM(P317:P320)/(SUM(P317:Q320)))</f>
        <v>0.91562763663635505</v>
      </c>
      <c r="T318" s="81"/>
      <c r="U318" s="81"/>
      <c r="V318" s="81"/>
    </row>
    <row r="319" spans="1:22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8"/>
        <v>54933.333333333336</v>
      </c>
      <c r="Q319" s="124">
        <f t="shared" si="25"/>
        <v>0</v>
      </c>
      <c r="R319" s="163">
        <f t="shared" si="26"/>
        <v>1</v>
      </c>
      <c r="S319" s="187"/>
      <c r="T319" s="81"/>
      <c r="U319" s="81"/>
      <c r="V319" s="81"/>
    </row>
    <row r="320" spans="1:22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208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8"/>
        <v>833.33333333333337</v>
      </c>
      <c r="Q320" s="124">
        <f t="shared" si="25"/>
        <v>5666.666666666667</v>
      </c>
      <c r="R320" s="163">
        <f t="shared" si="26"/>
        <v>0.12820512820512822</v>
      </c>
      <c r="S320" s="190"/>
      <c r="T320" s="81"/>
      <c r="U320" s="81"/>
      <c r="V320" s="81"/>
    </row>
    <row r="321" spans="1:22" s="80" customFormat="1">
      <c r="A321" s="192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8"/>
        <v>2253.333333333333</v>
      </c>
      <c r="Q321" s="124">
        <f t="shared" si="25"/>
        <v>1733.3333333333335</v>
      </c>
      <c r="R321" s="163">
        <f t="shared" si="26"/>
        <v>0.56521739130434778</v>
      </c>
      <c r="S321" s="191" t="str">
        <f>D321</f>
        <v>SN-6 Low</v>
      </c>
      <c r="T321" s="81"/>
      <c r="U321" s="81"/>
      <c r="V321" s="81"/>
    </row>
    <row r="322" spans="1:22" s="80" customFormat="1">
      <c r="A322" s="192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34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8"/>
        <v>5810</v>
      </c>
      <c r="Q322" s="124">
        <f t="shared" si="25"/>
        <v>17153.333333333336</v>
      </c>
      <c r="R322" s="163">
        <f t="shared" si="26"/>
        <v>0.25301204819277107</v>
      </c>
      <c r="S322" s="189">
        <f>(SUM(P321:P324)/(SUM(P321:Q324)))</f>
        <v>0.34762020990969006</v>
      </c>
      <c r="T322" s="81"/>
      <c r="U322" s="81"/>
      <c r="V322" s="81"/>
    </row>
    <row r="323" spans="1:22" s="80" customFormat="1">
      <c r="A323" s="192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34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8"/>
        <v>39246.666666666672</v>
      </c>
      <c r="Q323" s="124">
        <f t="shared" si="25"/>
        <v>1933.3333333333335</v>
      </c>
      <c r="R323" s="163">
        <f t="shared" si="26"/>
        <v>0.95305164319248825</v>
      </c>
      <c r="S323" s="190"/>
      <c r="T323" s="81"/>
      <c r="U323" s="81"/>
      <c r="V323" s="81"/>
    </row>
    <row r="324" spans="1:22" s="80" customFormat="1">
      <c r="A324" s="192">
        <v>42905</v>
      </c>
      <c r="B324" s="78"/>
      <c r="C324" s="78"/>
      <c r="D324" s="80" t="s">
        <v>77</v>
      </c>
      <c r="E324" s="80">
        <v>1</v>
      </c>
      <c r="F324" s="87" t="s">
        <v>208</v>
      </c>
      <c r="G324" s="87">
        <v>1</v>
      </c>
      <c r="H324" s="234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8"/>
        <v>163.33333333333331</v>
      </c>
      <c r="Q324" s="124">
        <f t="shared" si="25"/>
        <v>68273.333333333343</v>
      </c>
      <c r="R324" s="163">
        <f t="shared" si="26"/>
        <v>2.3866348448687348E-3</v>
      </c>
      <c r="S324" s="190"/>
      <c r="T324" s="81"/>
      <c r="U324" s="81"/>
      <c r="V324" s="81"/>
    </row>
    <row r="325" spans="1:22" s="80" customFormat="1">
      <c r="A325" s="192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34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8"/>
        <v>2166.6666666666665</v>
      </c>
      <c r="Q325" s="124">
        <f t="shared" si="25"/>
        <v>166.66666666666666</v>
      </c>
      <c r="R325" s="163">
        <f t="shared" si="26"/>
        <v>0.9285714285714286</v>
      </c>
      <c r="S325" s="191" t="str">
        <f>D325</f>
        <v>NF-6 Ambient</v>
      </c>
      <c r="T325" s="81"/>
      <c r="U325" s="81"/>
      <c r="V325" s="81"/>
    </row>
    <row r="326" spans="1:22" s="80" customFormat="1">
      <c r="A326" s="192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34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8"/>
        <v>17380</v>
      </c>
      <c r="Q326" s="124">
        <f t="shared" si="25"/>
        <v>4213.333333333333</v>
      </c>
      <c r="R326" s="163">
        <f t="shared" si="26"/>
        <v>0.80487804878048785</v>
      </c>
      <c r="S326" s="189">
        <f>(SUM(P325:P328)/(SUM(P325:Q328)))</f>
        <v>0.76965725806451624</v>
      </c>
      <c r="T326" s="81"/>
      <c r="U326" s="81"/>
      <c r="V326" s="81"/>
    </row>
    <row r="327" spans="1:22" s="80" customFormat="1">
      <c r="A327" s="192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34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8"/>
        <v>633.33333333333326</v>
      </c>
      <c r="Q327" s="124">
        <f t="shared" si="25"/>
        <v>633.33333333333326</v>
      </c>
      <c r="R327" s="163">
        <f t="shared" si="26"/>
        <v>0.5</v>
      </c>
      <c r="S327" s="190"/>
      <c r="T327" s="81"/>
      <c r="U327" s="81"/>
      <c r="V327" s="81"/>
    </row>
    <row r="328" spans="1:22" s="80" customFormat="1">
      <c r="A328" s="192">
        <v>42905</v>
      </c>
      <c r="B328" s="78"/>
      <c r="C328" s="78"/>
      <c r="D328" s="80" t="s">
        <v>85</v>
      </c>
      <c r="E328" s="80">
        <v>2</v>
      </c>
      <c r="F328" s="87" t="s">
        <v>208</v>
      </c>
      <c r="G328" s="87">
        <v>1</v>
      </c>
      <c r="H328" s="234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5"/>
        <v>1080</v>
      </c>
      <c r="R328" s="163">
        <f t="shared" si="26"/>
        <v>0.14285714285714285</v>
      </c>
      <c r="S328" s="190"/>
      <c r="T328" s="81"/>
      <c r="U328" s="81"/>
      <c r="V328" s="81"/>
    </row>
    <row r="329" spans="1:22" s="80" customFormat="1">
      <c r="A329" s="192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34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5"/>
        <v>2933.333333333333</v>
      </c>
      <c r="R329" s="163">
        <f t="shared" si="26"/>
        <v>0.86904761904761907</v>
      </c>
      <c r="S329" s="191" t="str">
        <f>D329</f>
        <v>SN-10 Ambient</v>
      </c>
      <c r="T329" s="81"/>
      <c r="U329" s="81"/>
      <c r="V329" s="81"/>
    </row>
    <row r="330" spans="1:22" s="80" customFormat="1">
      <c r="A330" s="192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34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9">(AVERAGE(I330,K330,M330)/G330)*H330</f>
        <v>28533.333333333332</v>
      </c>
      <c r="Q330" s="124">
        <f t="shared" si="25"/>
        <v>13866.666666666666</v>
      </c>
      <c r="R330" s="163">
        <f t="shared" si="26"/>
        <v>0.67295597484276726</v>
      </c>
      <c r="S330" s="189">
        <f>(SUM(P329:P332)/(SUM(P329:Q332)))</f>
        <v>0.68926981300089052</v>
      </c>
      <c r="T330" s="81"/>
      <c r="U330" s="81"/>
      <c r="V330" s="81"/>
    </row>
    <row r="331" spans="1:22" s="80" customFormat="1">
      <c r="A331" s="192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34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9"/>
        <v>55043.333333333328</v>
      </c>
      <c r="Q331" s="124">
        <f t="shared" si="25"/>
        <v>816.66666666666674</v>
      </c>
      <c r="R331" s="163">
        <f t="shared" si="26"/>
        <v>0.98538011695906436</v>
      </c>
      <c r="S331" s="190"/>
      <c r="T331" s="81"/>
      <c r="U331" s="81"/>
      <c r="V331" s="81"/>
    </row>
    <row r="332" spans="1:22" s="80" customFormat="1">
      <c r="A332" s="192">
        <v>42905</v>
      </c>
      <c r="B332" s="78"/>
      <c r="C332" s="78"/>
      <c r="D332" s="79" t="s">
        <v>86</v>
      </c>
      <c r="E332" s="80">
        <v>2</v>
      </c>
      <c r="F332" s="87" t="s">
        <v>208</v>
      </c>
      <c r="G332" s="87">
        <v>1</v>
      </c>
      <c r="H332" s="234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9"/>
        <v>163.33333333333331</v>
      </c>
      <c r="Q332" s="124">
        <f t="shared" si="25"/>
        <v>28910</v>
      </c>
      <c r="R332" s="163">
        <f t="shared" si="26"/>
        <v>5.6179775280898875E-3</v>
      </c>
      <c r="S332" s="190"/>
      <c r="T332" s="81"/>
      <c r="U332" s="81"/>
      <c r="V332" s="81"/>
    </row>
    <row r="333" spans="1:22" s="80" customFormat="1">
      <c r="A333" s="192">
        <v>42905</v>
      </c>
      <c r="B333" s="78"/>
      <c r="C333" s="78"/>
      <c r="D333" s="80" t="s">
        <v>139</v>
      </c>
      <c r="E333" s="80">
        <v>3</v>
      </c>
      <c r="F333" s="87">
        <v>224</v>
      </c>
      <c r="G333" s="87">
        <v>1</v>
      </c>
      <c r="H333" s="234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5"/>
        <v>5333.333333333333</v>
      </c>
      <c r="R333" s="163">
        <f t="shared" si="26"/>
        <v>3.03030303030303E-2</v>
      </c>
      <c r="S333" s="191" t="str">
        <f>D333</f>
        <v xml:space="preserve">SN-10 Low </v>
      </c>
      <c r="T333" s="81"/>
      <c r="U333" s="81"/>
      <c r="V333" s="81"/>
    </row>
    <row r="334" spans="1:22" s="80" customFormat="1">
      <c r="A334" s="192">
        <v>42905</v>
      </c>
      <c r="B334" s="78"/>
      <c r="C334" s="78"/>
      <c r="D334" s="80" t="s">
        <v>139</v>
      </c>
      <c r="E334" s="80">
        <v>3</v>
      </c>
      <c r="F334" s="87">
        <v>180</v>
      </c>
      <c r="G334" s="87">
        <v>1</v>
      </c>
      <c r="H334" s="234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9"/>
        <v>1666.6666666666667</v>
      </c>
      <c r="Q334" s="124">
        <f t="shared" si="25"/>
        <v>16666.666666666668</v>
      </c>
      <c r="R334" s="163">
        <f t="shared" si="26"/>
        <v>9.0909090909090898E-2</v>
      </c>
      <c r="S334" s="189">
        <f>(SUM(P333:P336)/(SUM(P333:Q336)))</f>
        <v>0.52659053833605229</v>
      </c>
      <c r="T334" s="81"/>
      <c r="U334" s="81"/>
      <c r="V334" s="81"/>
    </row>
    <row r="335" spans="1:22" s="80" customFormat="1">
      <c r="A335" s="192">
        <v>42905</v>
      </c>
      <c r="B335" s="78"/>
      <c r="C335" s="78"/>
      <c r="D335" s="80" t="s">
        <v>139</v>
      </c>
      <c r="E335" s="80">
        <v>3</v>
      </c>
      <c r="F335" s="87">
        <v>100</v>
      </c>
      <c r="G335" s="87">
        <v>1</v>
      </c>
      <c r="H335" s="234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9"/>
        <v>51466.666666666664</v>
      </c>
      <c r="Q335" s="124">
        <f t="shared" si="25"/>
        <v>4533.3333333333339</v>
      </c>
      <c r="R335" s="163">
        <f t="shared" si="26"/>
        <v>0.919047619047619</v>
      </c>
      <c r="S335" s="190"/>
      <c r="T335" s="81"/>
      <c r="U335" s="81"/>
      <c r="V335" s="81"/>
    </row>
    <row r="336" spans="1:22" s="80" customFormat="1">
      <c r="A336" s="192">
        <v>42905</v>
      </c>
      <c r="B336" s="78"/>
      <c r="C336" s="78"/>
      <c r="D336" s="80" t="s">
        <v>139</v>
      </c>
      <c r="E336" s="80">
        <v>3</v>
      </c>
      <c r="F336" s="87" t="s">
        <v>208</v>
      </c>
      <c r="G336" s="87">
        <v>1</v>
      </c>
      <c r="H336" s="234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9"/>
        <v>500</v>
      </c>
      <c r="Q336" s="124">
        <f t="shared" si="25"/>
        <v>21833.333333333332</v>
      </c>
      <c r="R336" s="163">
        <f t="shared" si="26"/>
        <v>2.2388059701492539E-2</v>
      </c>
      <c r="S336" s="190"/>
      <c r="T336" s="81"/>
      <c r="U336" s="81"/>
      <c r="V336" s="81"/>
    </row>
    <row r="337" spans="1:22" s="80" customFormat="1">
      <c r="A337" s="192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34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9"/>
        <v>0</v>
      </c>
      <c r="Q337" s="124">
        <f t="shared" si="25"/>
        <v>0</v>
      </c>
      <c r="R337" s="163" t="e">
        <f t="shared" si="26"/>
        <v>#DIV/0!</v>
      </c>
      <c r="S337" s="191" t="str">
        <f>D337</f>
        <v>HL-6 Ambient</v>
      </c>
      <c r="T337" s="81"/>
      <c r="U337" s="81"/>
      <c r="V337" s="81"/>
    </row>
    <row r="338" spans="1:22" s="80" customFormat="1">
      <c r="A338" s="192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34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9"/>
        <v>0</v>
      </c>
      <c r="Q338" s="124">
        <f t="shared" si="25"/>
        <v>0</v>
      </c>
      <c r="R338" s="163" t="e">
        <f t="shared" si="26"/>
        <v>#DIV/0!</v>
      </c>
      <c r="S338" s="189">
        <f>(SUM(P337:P340)/(SUM(P337:Q340)))</f>
        <v>0.95266272189349099</v>
      </c>
      <c r="T338" s="81"/>
    </row>
    <row r="339" spans="1:22" s="80" customFormat="1">
      <c r="A339" s="192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34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9"/>
        <v>37066.666666666672</v>
      </c>
      <c r="Q339" s="124">
        <f t="shared" si="25"/>
        <v>533.33333333333326</v>
      </c>
      <c r="R339" s="163">
        <f t="shared" si="26"/>
        <v>0.98581560283687941</v>
      </c>
      <c r="S339" s="190"/>
      <c r="T339" s="81"/>
    </row>
    <row r="340" spans="1:22" s="80" customFormat="1">
      <c r="A340" s="192">
        <v>42905</v>
      </c>
      <c r="B340" s="78"/>
      <c r="C340" s="78"/>
      <c r="D340" s="80" t="s">
        <v>119</v>
      </c>
      <c r="E340" s="80">
        <v>3</v>
      </c>
      <c r="F340" s="87" t="s">
        <v>208</v>
      </c>
      <c r="G340" s="87">
        <v>1</v>
      </c>
      <c r="H340" s="234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9"/>
        <v>500</v>
      </c>
      <c r="Q340" s="124">
        <f t="shared" si="25"/>
        <v>1333.3333333333333</v>
      </c>
      <c r="R340" s="163">
        <f t="shared" si="26"/>
        <v>0.27272727272727276</v>
      </c>
      <c r="S340" s="190"/>
      <c r="T340" s="81"/>
    </row>
    <row r="341" spans="1:22" s="80" customFormat="1">
      <c r="A341" s="192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34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9"/>
        <v>0</v>
      </c>
      <c r="Q341" s="124">
        <f t="shared" si="25"/>
        <v>0</v>
      </c>
      <c r="R341" s="163" t="e">
        <f t="shared" si="26"/>
        <v>#DIV/0!</v>
      </c>
      <c r="S341" s="188" t="str">
        <f>D341</f>
        <v>HL-6 Low</v>
      </c>
      <c r="T341" s="81"/>
    </row>
    <row r="342" spans="1:22" s="80" customFormat="1">
      <c r="A342" s="192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34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9"/>
        <v>0</v>
      </c>
      <c r="Q342" s="124">
        <f t="shared" si="25"/>
        <v>0</v>
      </c>
      <c r="R342" s="163" t="e">
        <f t="shared" si="26"/>
        <v>#DIV/0!</v>
      </c>
      <c r="S342" s="189">
        <f>(SUM(P341:P344)/(SUM(P341:Q344)))</f>
        <v>0.89680232558139539</v>
      </c>
      <c r="T342" s="81"/>
    </row>
    <row r="343" spans="1:22" s="80" customFormat="1">
      <c r="A343" s="192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34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9"/>
        <v>77333.333333333343</v>
      </c>
      <c r="Q343" s="124">
        <f t="shared" si="25"/>
        <v>0</v>
      </c>
      <c r="R343" s="163">
        <f t="shared" si="26"/>
        <v>1</v>
      </c>
      <c r="S343" s="187"/>
      <c r="T343" s="81"/>
    </row>
    <row r="344" spans="1:22" s="80" customFormat="1">
      <c r="A344" s="192">
        <v>42905</v>
      </c>
      <c r="B344" s="78"/>
      <c r="C344" s="78"/>
      <c r="D344" s="79" t="s">
        <v>21</v>
      </c>
      <c r="E344" s="80">
        <v>4</v>
      </c>
      <c r="F344" s="87" t="s">
        <v>208</v>
      </c>
      <c r="G344" s="87">
        <v>1</v>
      </c>
      <c r="H344" s="234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5"/>
        <v>11833.333333333334</v>
      </c>
      <c r="R344" s="163">
        <f t="shared" si="26"/>
        <v>0.68303571428571419</v>
      </c>
      <c r="S344" s="190"/>
      <c r="T344" s="81"/>
    </row>
    <row r="345" spans="1:22" s="80" customFormat="1">
      <c r="A345" s="192">
        <v>42905</v>
      </c>
      <c r="B345" s="78"/>
      <c r="C345" s="78"/>
      <c r="D345" s="79" t="s">
        <v>76</v>
      </c>
      <c r="E345" s="80">
        <v>4</v>
      </c>
      <c r="F345" s="87">
        <v>224</v>
      </c>
      <c r="G345" s="87">
        <v>1</v>
      </c>
      <c r="H345" s="234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 t="shared" ref="P345:P363" si="30">(AVERAGE(I345,K345,M345)/G345)*H345</f>
        <v>170</v>
      </c>
      <c r="Q345" s="124">
        <f t="shared" si="25"/>
        <v>6290</v>
      </c>
      <c r="R345" s="163">
        <f t="shared" si="26"/>
        <v>2.6315789473684209E-2</v>
      </c>
      <c r="S345" s="191" t="str">
        <f>D345</f>
        <v xml:space="preserve">NF-10 Low </v>
      </c>
      <c r="T345" s="81"/>
    </row>
    <row r="346" spans="1:22" s="80" customFormat="1">
      <c r="A346" s="192">
        <v>42905</v>
      </c>
      <c r="B346" s="78"/>
      <c r="C346" s="78"/>
      <c r="D346" s="79" t="s">
        <v>76</v>
      </c>
      <c r="E346" s="80">
        <v>4</v>
      </c>
      <c r="F346" s="87">
        <v>180</v>
      </c>
      <c r="G346" s="87">
        <v>1</v>
      </c>
      <c r="H346" s="234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 t="shared" si="30"/>
        <v>1040</v>
      </c>
      <c r="Q346" s="124">
        <f t="shared" si="25"/>
        <v>26520</v>
      </c>
      <c r="R346" s="163">
        <f t="shared" si="26"/>
        <v>3.7735849056603772E-2</v>
      </c>
      <c r="S346" s="189">
        <f>(SUM(P345:P348)/(SUM(P345:Q348)))</f>
        <v>3.3925233644859817E-2</v>
      </c>
      <c r="T346" s="81"/>
    </row>
    <row r="347" spans="1:22" s="80" customFormat="1">
      <c r="A347" s="192">
        <v>42905</v>
      </c>
      <c r="B347" s="78"/>
      <c r="C347" s="78"/>
      <c r="D347" s="79" t="s">
        <v>76</v>
      </c>
      <c r="E347" s="80">
        <v>4</v>
      </c>
      <c r="F347" s="87">
        <v>100</v>
      </c>
      <c r="G347" s="87">
        <v>1</v>
      </c>
      <c r="H347" s="234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si="30"/>
        <v>0</v>
      </c>
      <c r="Q347" s="124">
        <f t="shared" si="25"/>
        <v>880</v>
      </c>
      <c r="R347" s="163">
        <f t="shared" si="26"/>
        <v>0</v>
      </c>
      <c r="S347" s="190"/>
      <c r="T347" s="81"/>
    </row>
    <row r="348" spans="1:22" s="80" customFormat="1">
      <c r="A348" s="192">
        <v>42905</v>
      </c>
      <c r="B348" s="78"/>
      <c r="C348" s="78"/>
      <c r="D348" s="79" t="s">
        <v>76</v>
      </c>
      <c r="E348" s="80">
        <v>4</v>
      </c>
      <c r="F348" s="87" t="s">
        <v>208</v>
      </c>
      <c r="G348" s="87">
        <v>1</v>
      </c>
      <c r="H348" s="234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30"/>
        <v>0</v>
      </c>
      <c r="Q348" s="124">
        <f t="shared" si="25"/>
        <v>766.66666666666674</v>
      </c>
      <c r="R348" s="163">
        <f t="shared" si="26"/>
        <v>0</v>
      </c>
      <c r="S348" s="190"/>
      <c r="T348" s="81"/>
    </row>
    <row r="349" spans="1:22" s="80" customFormat="1">
      <c r="A349" s="192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30"/>
        <v>5166.666666666667</v>
      </c>
      <c r="Q349" s="124">
        <f t="shared" si="25"/>
        <v>0</v>
      </c>
      <c r="R349" s="163">
        <f t="shared" si="26"/>
        <v>1</v>
      </c>
      <c r="S349" s="191" t="str">
        <f>D349</f>
        <v>SN-6 Ambient</v>
      </c>
    </row>
    <row r="350" spans="1:22" s="80" customFormat="1">
      <c r="A350" s="192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30"/>
        <v>14133.333333333334</v>
      </c>
      <c r="Q350" s="124">
        <f t="shared" si="25"/>
        <v>533.33333333333326</v>
      </c>
      <c r="R350" s="163">
        <f t="shared" si="26"/>
        <v>0.96363636363636362</v>
      </c>
      <c r="S350" s="189">
        <f>(SUM(P349:P352)/(SUM(P349:Q352)))</f>
        <v>0.41571549618701092</v>
      </c>
    </row>
    <row r="351" spans="1:22" s="80" customFormat="1">
      <c r="A351" s="192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30"/>
        <v>34833.333333333336</v>
      </c>
      <c r="Q351" s="124">
        <f t="shared" si="25"/>
        <v>1666.6666666666667</v>
      </c>
      <c r="R351" s="163">
        <f t="shared" si="26"/>
        <v>0.95433789954337911</v>
      </c>
      <c r="S351" s="190"/>
    </row>
    <row r="352" spans="1:22" s="80" customFormat="1">
      <c r="A352" s="192">
        <v>42905</v>
      </c>
      <c r="B352" s="78"/>
      <c r="C352" s="78"/>
      <c r="D352" s="80" t="s">
        <v>87</v>
      </c>
      <c r="E352" s="80">
        <v>5</v>
      </c>
      <c r="F352" s="87" t="s">
        <v>208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30"/>
        <v>1470</v>
      </c>
      <c r="Q352" s="124">
        <f t="shared" si="25"/>
        <v>75950</v>
      </c>
      <c r="R352" s="163">
        <f t="shared" si="26"/>
        <v>1.8987341772151899E-2</v>
      </c>
      <c r="S352" s="190"/>
    </row>
    <row r="353" spans="1:22" s="80" customFormat="1">
      <c r="A353" s="192">
        <v>42905</v>
      </c>
      <c r="B353" s="78"/>
      <c r="C353" s="78"/>
      <c r="D353" s="80" t="s">
        <v>37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30"/>
        <v>100</v>
      </c>
      <c r="Q353" s="124">
        <f t="shared" si="25"/>
        <v>0</v>
      </c>
      <c r="R353" s="163">
        <f t="shared" si="26"/>
        <v>1</v>
      </c>
      <c r="S353" s="191" t="str">
        <f>D353</f>
        <v xml:space="preserve">K-10 Low </v>
      </c>
      <c r="T353" s="81"/>
      <c r="U353" s="81"/>
      <c r="V353" s="81"/>
    </row>
    <row r="354" spans="1:22" s="80" customFormat="1">
      <c r="A354" s="192">
        <v>42905</v>
      </c>
      <c r="B354" s="78"/>
      <c r="C354" s="78"/>
      <c r="D354" s="80" t="s">
        <v>37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30"/>
        <v>666.66666666666663</v>
      </c>
      <c r="Q354" s="124">
        <f t="shared" si="25"/>
        <v>333.33333333333331</v>
      </c>
      <c r="R354" s="163">
        <f t="shared" si="26"/>
        <v>0.66666666666666663</v>
      </c>
      <c r="S354" s="189">
        <f>(SUM(P353:P356)/(SUM(P353:Q356)))</f>
        <v>0.32478632478632474</v>
      </c>
      <c r="T354" s="81"/>
      <c r="U354" s="81"/>
      <c r="V354" s="81"/>
    </row>
    <row r="355" spans="1:22" s="80" customFormat="1">
      <c r="A355" s="192">
        <v>42905</v>
      </c>
      <c r="B355" s="78"/>
      <c r="C355" s="78"/>
      <c r="D355" s="80" t="s">
        <v>37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30"/>
        <v>500</v>
      </c>
      <c r="Q355" s="124">
        <f t="shared" si="25"/>
        <v>200</v>
      </c>
      <c r="R355" s="163">
        <f t="shared" si="26"/>
        <v>0.7142857142857143</v>
      </c>
      <c r="S355" s="190"/>
      <c r="T355" s="81"/>
      <c r="U355" s="81"/>
      <c r="V355" s="81"/>
    </row>
    <row r="356" spans="1:22" s="80" customFormat="1">
      <c r="A356" s="192">
        <v>42905</v>
      </c>
      <c r="B356" s="78"/>
      <c r="C356" s="78"/>
      <c r="D356" s="80" t="s">
        <v>37</v>
      </c>
      <c r="E356" s="80">
        <v>5</v>
      </c>
      <c r="F356" s="87" t="s">
        <v>208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30"/>
        <v>0</v>
      </c>
      <c r="Q356" s="124">
        <f t="shared" ref="Q356:Q419" si="31">(AVERAGE(J356,L356,N356)/G356)*H356</f>
        <v>2100</v>
      </c>
      <c r="R356" s="163">
        <f t="shared" ref="R356:R419" si="32">P356/(P356+Q356)</f>
        <v>0</v>
      </c>
      <c r="S356" s="190"/>
      <c r="T356" s="81"/>
      <c r="U356" s="81"/>
      <c r="V356" s="81"/>
    </row>
    <row r="357" spans="1:22" s="80" customFormat="1">
      <c r="A357" s="192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30"/>
        <v>880</v>
      </c>
      <c r="Q357" s="124">
        <f t="shared" si="31"/>
        <v>240</v>
      </c>
      <c r="R357" s="163">
        <f t="shared" si="32"/>
        <v>0.7857142857142857</v>
      </c>
      <c r="S357" s="191" t="str">
        <f>D357</f>
        <v>NF-10 Ambient</v>
      </c>
      <c r="T357" s="81"/>
      <c r="U357" s="81"/>
      <c r="V357" s="81"/>
    </row>
    <row r="358" spans="1:22" s="80" customFormat="1">
      <c r="A358" s="192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30"/>
        <v>11466.666666666668</v>
      </c>
      <c r="Q358" s="124">
        <f t="shared" si="31"/>
        <v>2133.333333333333</v>
      </c>
      <c r="R358" s="163">
        <f t="shared" si="32"/>
        <v>0.8431372549019609</v>
      </c>
      <c r="S358" s="189">
        <f>(SUM(P357:P360)/(SUM(P357:Q360)))</f>
        <v>0.5056486880466472</v>
      </c>
      <c r="T358" s="81"/>
      <c r="U358" s="81"/>
      <c r="V358" s="81"/>
    </row>
    <row r="359" spans="1:22" s="80" customFormat="1">
      <c r="A359" s="192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31"/>
        <v>2933.333333333333</v>
      </c>
      <c r="R359" s="163">
        <f t="shared" si="32"/>
        <v>0.95067264573991028</v>
      </c>
      <c r="S359" s="190"/>
      <c r="T359" s="81"/>
      <c r="U359" s="81"/>
      <c r="V359" s="81"/>
    </row>
    <row r="360" spans="1:22" s="80" customFormat="1">
      <c r="A360" s="192">
        <v>42905</v>
      </c>
      <c r="B360" s="78"/>
      <c r="C360" s="78"/>
      <c r="D360" s="80" t="s">
        <v>84</v>
      </c>
      <c r="E360" s="80">
        <v>6</v>
      </c>
      <c r="F360" s="87" t="s">
        <v>208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30"/>
        <v>5120</v>
      </c>
      <c r="Q360" s="124">
        <f t="shared" si="31"/>
        <v>67040</v>
      </c>
      <c r="R360" s="163">
        <f t="shared" si="32"/>
        <v>7.0953436807095344E-2</v>
      </c>
      <c r="S360" s="190"/>
      <c r="T360" s="81"/>
      <c r="U360" s="81"/>
      <c r="V360" s="81"/>
    </row>
    <row r="361" spans="1:22" s="80" customFormat="1">
      <c r="A361" s="192">
        <v>42905</v>
      </c>
      <c r="B361" s="78"/>
      <c r="C361" s="78"/>
      <c r="D361" s="80" t="s">
        <v>138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30"/>
        <v>833.33333333333337</v>
      </c>
      <c r="Q361" s="124">
        <f t="shared" si="31"/>
        <v>0</v>
      </c>
      <c r="R361" s="163">
        <f t="shared" si="32"/>
        <v>1</v>
      </c>
      <c r="S361" s="191" t="str">
        <f>D361</f>
        <v xml:space="preserve">HL-10 Low </v>
      </c>
      <c r="T361" s="81"/>
      <c r="U361" s="81"/>
      <c r="V361" s="81"/>
    </row>
    <row r="362" spans="1:22" s="80" customFormat="1">
      <c r="A362" s="192">
        <v>42905</v>
      </c>
      <c r="B362" s="78"/>
      <c r="C362" s="78"/>
      <c r="D362" s="80" t="s">
        <v>138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30"/>
        <v>17600</v>
      </c>
      <c r="Q362" s="124">
        <f t="shared" si="31"/>
        <v>266.66666666666663</v>
      </c>
      <c r="R362" s="163">
        <f t="shared" si="32"/>
        <v>0.9850746268656716</v>
      </c>
      <c r="S362" s="189">
        <f>(SUM(P361:P364)/(SUM(P361:Q364)))</f>
        <v>0.69109706004523008</v>
      </c>
      <c r="T362" s="81"/>
      <c r="U362" s="81"/>
      <c r="V362" s="81"/>
    </row>
    <row r="363" spans="1:22" s="80" customFormat="1">
      <c r="A363" s="192">
        <v>42905</v>
      </c>
      <c r="B363" s="78"/>
      <c r="C363" s="78"/>
      <c r="D363" s="80" t="s">
        <v>138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30"/>
        <v>74893.333333333328</v>
      </c>
      <c r="Q363" s="124">
        <f t="shared" si="31"/>
        <v>2186.6666666666665</v>
      </c>
      <c r="R363" s="163">
        <f t="shared" si="32"/>
        <v>0.97163120567375882</v>
      </c>
      <c r="S363" s="190"/>
      <c r="T363" s="81"/>
      <c r="U363" s="81"/>
      <c r="V363" s="81"/>
    </row>
    <row r="364" spans="1:22" s="80" customFormat="1">
      <c r="A364" s="192">
        <v>42905</v>
      </c>
      <c r="B364" s="78"/>
      <c r="C364" s="78"/>
      <c r="D364" s="80" t="s">
        <v>138</v>
      </c>
      <c r="E364" s="80">
        <v>6</v>
      </c>
      <c r="F364" s="87" t="s">
        <v>208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3">(AVERAGE(I364,K364,M364)/G364)*H364</f>
        <v>6500</v>
      </c>
      <c r="Q364" s="124">
        <f t="shared" si="31"/>
        <v>42166.666666666664</v>
      </c>
      <c r="R364" s="163">
        <f t="shared" si="32"/>
        <v>0.13356164383561644</v>
      </c>
      <c r="S364" s="190"/>
      <c r="T364" s="81"/>
      <c r="U364" s="81"/>
      <c r="V364" s="81"/>
    </row>
    <row r="365" spans="1:22" s="80" customFormat="1">
      <c r="A365" s="192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3"/>
        <v>2166.6666666666665</v>
      </c>
      <c r="Q365" s="124">
        <f t="shared" si="31"/>
        <v>0</v>
      </c>
      <c r="R365" s="163">
        <f t="shared" si="32"/>
        <v>1</v>
      </c>
      <c r="S365" s="191" t="str">
        <f>D365</f>
        <v>K-10 Ambient</v>
      </c>
      <c r="T365" s="81"/>
      <c r="U365" s="81"/>
      <c r="V365" s="81"/>
    </row>
    <row r="366" spans="1:22" s="80" customFormat="1">
      <c r="A366" s="192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3"/>
        <v>8833.3333333333339</v>
      </c>
      <c r="Q366" s="124">
        <f t="shared" si="31"/>
        <v>333.33333333333331</v>
      </c>
      <c r="R366" s="163">
        <f t="shared" si="32"/>
        <v>0.96363636363636362</v>
      </c>
      <c r="S366" s="189">
        <f>(SUM(P365:P368)/(SUM(P365:Q368)))</f>
        <v>0.4787472035794183</v>
      </c>
      <c r="T366" s="81"/>
      <c r="U366" s="81"/>
      <c r="V366" s="81"/>
    </row>
    <row r="367" spans="1:22" s="80" customFormat="1">
      <c r="A367" s="192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3"/>
        <v>21000</v>
      </c>
      <c r="Q367" s="124">
        <f t="shared" si="31"/>
        <v>833.33333333333337</v>
      </c>
      <c r="R367" s="163">
        <f t="shared" si="32"/>
        <v>0.96183206106870234</v>
      </c>
      <c r="S367" s="190"/>
      <c r="T367" s="81"/>
      <c r="U367" s="81"/>
      <c r="V367" s="81"/>
    </row>
    <row r="368" spans="1:22" s="80" customFormat="1">
      <c r="A368" s="192">
        <v>42905</v>
      </c>
      <c r="B368" s="78"/>
      <c r="C368" s="78"/>
      <c r="D368" s="80" t="s">
        <v>17</v>
      </c>
      <c r="E368" s="80">
        <v>7</v>
      </c>
      <c r="F368" s="87" t="s">
        <v>208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3"/>
        <v>3666.6666666666665</v>
      </c>
      <c r="Q368" s="124">
        <f t="shared" si="31"/>
        <v>37666.666666666664</v>
      </c>
      <c r="R368" s="163">
        <f t="shared" si="32"/>
        <v>8.8709677419354843E-2</v>
      </c>
      <c r="S368" s="190"/>
      <c r="T368" s="81"/>
      <c r="U368" s="81"/>
      <c r="V368" s="81"/>
    </row>
    <row r="369" spans="1:22" s="80" customFormat="1">
      <c r="A369" s="192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3"/>
        <v>3333.3333333333335</v>
      </c>
      <c r="Q369" s="124">
        <f t="shared" si="31"/>
        <v>0</v>
      </c>
      <c r="R369" s="163">
        <f t="shared" si="32"/>
        <v>1</v>
      </c>
      <c r="S369" s="191" t="str">
        <f>D369</f>
        <v>HL-10 Ambient</v>
      </c>
      <c r="T369" s="81"/>
      <c r="U369" s="81"/>
      <c r="V369" s="81"/>
    </row>
    <row r="370" spans="1:22" s="80" customFormat="1">
      <c r="A370" s="192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3"/>
        <v>18666.666666666664</v>
      </c>
      <c r="Q370" s="124">
        <f t="shared" si="31"/>
        <v>0</v>
      </c>
      <c r="R370" s="163">
        <f t="shared" si="32"/>
        <v>1</v>
      </c>
      <c r="S370" s="189">
        <f>(SUM(P369:P372)/(SUM(P369:Q372)))</f>
        <v>0.58110119047619035</v>
      </c>
      <c r="T370" s="81"/>
      <c r="U370" s="81"/>
      <c r="V370" s="81"/>
    </row>
    <row r="371" spans="1:22" s="80" customFormat="1">
      <c r="A371" s="192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3"/>
        <v>1700</v>
      </c>
      <c r="Q371" s="124">
        <f t="shared" si="31"/>
        <v>100</v>
      </c>
      <c r="R371" s="163">
        <f t="shared" si="32"/>
        <v>0.94444444444444442</v>
      </c>
      <c r="S371" s="190"/>
      <c r="T371" s="81"/>
      <c r="U371" s="81"/>
      <c r="V371" s="81"/>
    </row>
    <row r="372" spans="1:22" s="80" customFormat="1">
      <c r="A372" s="192">
        <v>42905</v>
      </c>
      <c r="B372" s="78"/>
      <c r="C372" s="78"/>
      <c r="D372" s="80" t="s">
        <v>88</v>
      </c>
      <c r="E372" s="80">
        <v>7</v>
      </c>
      <c r="F372" s="87" t="s">
        <v>208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3"/>
        <v>2333.3333333333335</v>
      </c>
      <c r="Q372" s="124">
        <f t="shared" si="31"/>
        <v>18666.666666666668</v>
      </c>
      <c r="R372" s="163">
        <f t="shared" si="32"/>
        <v>0.11111111111111112</v>
      </c>
      <c r="S372" s="190"/>
      <c r="T372" s="81"/>
      <c r="U372" s="81"/>
      <c r="V372" s="81"/>
    </row>
    <row r="373" spans="1:22" s="80" customFormat="1">
      <c r="A373" s="192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33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31"/>
        <v>166.66666666666666</v>
      </c>
      <c r="R373" s="163">
        <f t="shared" si="32"/>
        <v>0.97402597402597402</v>
      </c>
      <c r="S373" s="191" t="str">
        <f>D373</f>
        <v>K-6 Ambient</v>
      </c>
      <c r="T373" s="81"/>
      <c r="U373" s="81"/>
      <c r="V373" s="81"/>
    </row>
    <row r="374" spans="1:22" s="80" customFormat="1">
      <c r="A374" s="192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3"/>
        <v>13520</v>
      </c>
      <c r="Q374" s="124">
        <f t="shared" si="31"/>
        <v>346.66666666666663</v>
      </c>
      <c r="R374" s="163">
        <f t="shared" si="32"/>
        <v>0.97500000000000009</v>
      </c>
      <c r="S374" s="189">
        <f>(SUM(P373:P376)/(SUM(P373:Q376)))</f>
        <v>0.63057523968320128</v>
      </c>
      <c r="T374" s="81"/>
    </row>
    <row r="375" spans="1:22" s="80" customFormat="1">
      <c r="A375" s="192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3"/>
        <v>18530</v>
      </c>
      <c r="Q375" s="124">
        <f t="shared" si="31"/>
        <v>1190</v>
      </c>
      <c r="R375" s="163">
        <f t="shared" si="32"/>
        <v>0.93965517241379315</v>
      </c>
      <c r="S375" s="190"/>
      <c r="T375" s="81"/>
    </row>
    <row r="376" spans="1:22" s="80" customFormat="1">
      <c r="A376" s="192">
        <v>42905</v>
      </c>
      <c r="B376" s="78"/>
      <c r="C376" s="78"/>
      <c r="D376" s="80" t="s">
        <v>38</v>
      </c>
      <c r="E376" s="80">
        <v>8</v>
      </c>
      <c r="F376" s="87" t="s">
        <v>208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3"/>
        <v>2040</v>
      </c>
      <c r="Q376" s="124">
        <f t="shared" si="31"/>
        <v>21930</v>
      </c>
      <c r="R376" s="163">
        <f t="shared" si="32"/>
        <v>8.5106382978723402E-2</v>
      </c>
      <c r="S376" s="190"/>
      <c r="T376" s="81"/>
    </row>
    <row r="377" spans="1:22" s="80" customFormat="1">
      <c r="A377" s="192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3"/>
        <v>0</v>
      </c>
      <c r="Q377" s="124">
        <f t="shared" si="31"/>
        <v>0</v>
      </c>
      <c r="R377" s="163" t="e">
        <f t="shared" si="32"/>
        <v>#DIV/0!</v>
      </c>
      <c r="S377" s="191" t="str">
        <f>D377</f>
        <v>K-6 Low</v>
      </c>
      <c r="T377" s="81"/>
    </row>
    <row r="378" spans="1:22" s="80" customFormat="1">
      <c r="A378" s="192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3"/>
        <v>26166.666666666668</v>
      </c>
      <c r="Q378" s="124">
        <f t="shared" si="31"/>
        <v>0</v>
      </c>
      <c r="R378" s="163">
        <f t="shared" si="32"/>
        <v>1</v>
      </c>
      <c r="S378" s="189">
        <f>(SUM(P377:P380)/(SUM(P377:Q380)))</f>
        <v>0.97730836638686469</v>
      </c>
      <c r="T378" s="81"/>
    </row>
    <row r="379" spans="1:22" s="80" customFormat="1">
      <c r="A379" s="192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3"/>
        <v>8333.3333333333339</v>
      </c>
      <c r="Q379" s="124">
        <f t="shared" si="31"/>
        <v>166.66666666666666</v>
      </c>
      <c r="R379" s="163">
        <f t="shared" si="32"/>
        <v>0.98039215686274517</v>
      </c>
      <c r="S379" s="190"/>
      <c r="T379" s="81"/>
    </row>
    <row r="380" spans="1:22" s="159" customFormat="1" ht="16" thickBot="1">
      <c r="A380" s="157">
        <v>42905</v>
      </c>
      <c r="B380" s="158"/>
      <c r="C380" s="158"/>
      <c r="D380" s="241" t="s">
        <v>46</v>
      </c>
      <c r="E380" s="159">
        <v>8</v>
      </c>
      <c r="F380" s="160" t="s">
        <v>208</v>
      </c>
      <c r="G380" s="160">
        <v>1</v>
      </c>
      <c r="H380" s="159">
        <v>490</v>
      </c>
      <c r="I380" s="159">
        <v>2</v>
      </c>
      <c r="J380" s="159">
        <v>1</v>
      </c>
      <c r="K380" s="159">
        <v>3</v>
      </c>
      <c r="L380" s="159">
        <v>1</v>
      </c>
      <c r="M380" s="159">
        <v>0</v>
      </c>
      <c r="N380" s="159">
        <v>2</v>
      </c>
      <c r="P380" s="161">
        <f t="shared" si="33"/>
        <v>816.66666666666674</v>
      </c>
      <c r="Q380" s="161">
        <f t="shared" si="31"/>
        <v>653.33333333333326</v>
      </c>
      <c r="R380" s="164">
        <f t="shared" si="32"/>
        <v>0.55555555555555558</v>
      </c>
      <c r="S380" s="242"/>
    </row>
    <row r="381" spans="1:22" s="246" customFormat="1">
      <c r="A381" s="243">
        <v>42908</v>
      </c>
      <c r="B381" s="244"/>
      <c r="C381" s="244"/>
      <c r="D381" s="245" t="s">
        <v>87</v>
      </c>
      <c r="E381" s="246">
        <v>1</v>
      </c>
      <c r="F381" s="247">
        <v>224</v>
      </c>
      <c r="G381" s="247">
        <v>1</v>
      </c>
      <c r="H381" s="246">
        <v>500</v>
      </c>
      <c r="I381" s="246">
        <v>10</v>
      </c>
      <c r="J381" s="246">
        <v>0</v>
      </c>
      <c r="K381" s="246">
        <v>6</v>
      </c>
      <c r="L381" s="246">
        <v>0</v>
      </c>
      <c r="M381" s="246">
        <v>11</v>
      </c>
      <c r="N381" s="246">
        <v>1</v>
      </c>
      <c r="P381" s="248">
        <f>(AVERAGE(I381,K381,M381)/G381)*H381</f>
        <v>4500</v>
      </c>
      <c r="Q381" s="248">
        <f>(AVERAGE(J381,L381,N381)/G381)*H381</f>
        <v>166.66666666666666</v>
      </c>
      <c r="R381" s="249">
        <f t="shared" si="32"/>
        <v>0.96428571428571419</v>
      </c>
      <c r="S381" s="250" t="str">
        <f>D381</f>
        <v>SN-6 Ambient</v>
      </c>
      <c r="T381" s="251"/>
      <c r="U381" s="251"/>
      <c r="V381" s="251"/>
    </row>
    <row r="382" spans="1:22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31"/>
        <v>350</v>
      </c>
      <c r="R382" s="106">
        <f t="shared" si="32"/>
        <v>0.97802197802197799</v>
      </c>
      <c r="S382" s="183">
        <f>(SUM(P381:P384)/(SUM(P381:Q384)))</f>
        <v>0.68373569021361413</v>
      </c>
      <c r="T382" s="65"/>
      <c r="U382" s="65"/>
      <c r="V382" s="65"/>
    </row>
    <row r="383" spans="1:22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31"/>
        <v>0</v>
      </c>
      <c r="R383" s="106">
        <f t="shared" si="32"/>
        <v>1</v>
      </c>
      <c r="S383" s="181"/>
      <c r="T383" s="65"/>
      <c r="U383" s="65"/>
      <c r="V383" s="65"/>
    </row>
    <row r="384" spans="1:22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208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4">(AVERAGE(I384,K384,M384)/G384)*H384</f>
        <v>8160</v>
      </c>
      <c r="Q384" s="120">
        <f>(AVERAGE(J384,L384,N384)/G384)*H384</f>
        <v>39680</v>
      </c>
      <c r="R384" s="106">
        <f t="shared" si="32"/>
        <v>0.1705685618729097</v>
      </c>
      <c r="S384" s="184"/>
      <c r="T384" s="65"/>
      <c r="U384" s="65"/>
      <c r="V384" s="65"/>
    </row>
    <row r="385" spans="1:23" s="62" customFormat="1">
      <c r="A385" s="134">
        <v>42908</v>
      </c>
      <c r="B385" s="60"/>
      <c r="C385" s="60"/>
      <c r="D385" s="62" t="s">
        <v>37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4"/>
        <v>0</v>
      </c>
      <c r="Q385" s="120">
        <f t="shared" si="31"/>
        <v>0</v>
      </c>
      <c r="R385" s="106" t="e">
        <f t="shared" si="32"/>
        <v>#DIV/0!</v>
      </c>
      <c r="S385" s="185" t="str">
        <f>D385</f>
        <v xml:space="preserve">K-10 Low </v>
      </c>
      <c r="T385" s="65"/>
      <c r="U385" s="65"/>
      <c r="V385" s="65"/>
      <c r="W385" s="62" t="s">
        <v>258</v>
      </c>
    </row>
    <row r="386" spans="1:23" s="62" customFormat="1">
      <c r="A386" s="134">
        <v>42908</v>
      </c>
      <c r="B386" s="60"/>
      <c r="C386" s="60"/>
      <c r="D386" s="62" t="s">
        <v>37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4"/>
        <v>476.66666666666663</v>
      </c>
      <c r="Q386" s="120">
        <f t="shared" si="31"/>
        <v>0</v>
      </c>
      <c r="R386" s="106">
        <f t="shared" si="32"/>
        <v>1</v>
      </c>
      <c r="S386" s="183">
        <f>(SUM(P385:P388)/(SUM(P385:Q388)))</f>
        <v>0.75313551544814927</v>
      </c>
      <c r="T386" s="65"/>
      <c r="U386" s="65"/>
      <c r="V386" s="65"/>
    </row>
    <row r="387" spans="1:23" s="62" customFormat="1">
      <c r="A387" s="134">
        <v>42908</v>
      </c>
      <c r="B387" s="60"/>
      <c r="C387" s="60"/>
      <c r="D387" s="62" t="s">
        <v>37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4"/>
        <v>7400</v>
      </c>
      <c r="Q387" s="120">
        <f t="shared" si="31"/>
        <v>50</v>
      </c>
      <c r="R387" s="106">
        <f t="shared" si="32"/>
        <v>0.99328859060402686</v>
      </c>
      <c r="S387" s="184"/>
      <c r="T387" s="65"/>
      <c r="U387" s="65"/>
      <c r="V387" s="65"/>
    </row>
    <row r="388" spans="1:23" s="62" customFormat="1">
      <c r="A388" s="134">
        <v>42908</v>
      </c>
      <c r="B388" s="60"/>
      <c r="C388" s="60"/>
      <c r="D388" s="62" t="s">
        <v>37</v>
      </c>
      <c r="E388" s="137">
        <v>1</v>
      </c>
      <c r="F388" s="89" t="s">
        <v>208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4"/>
        <v>330</v>
      </c>
      <c r="Q388" s="120">
        <f t="shared" si="31"/>
        <v>2640</v>
      </c>
      <c r="R388" s="106">
        <f t="shared" si="32"/>
        <v>0.1111111111111111</v>
      </c>
      <c r="S388" s="184"/>
      <c r="T388" s="65"/>
      <c r="U388" s="65"/>
      <c r="V388" s="65"/>
    </row>
    <row r="389" spans="1:23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4"/>
        <v>758.33333333333337</v>
      </c>
      <c r="Q389" s="120">
        <f t="shared" si="31"/>
        <v>325</v>
      </c>
      <c r="R389" s="106">
        <f t="shared" si="32"/>
        <v>0.7</v>
      </c>
      <c r="S389" s="185" t="str">
        <f>D389</f>
        <v>NF-10 Ambient</v>
      </c>
      <c r="T389" s="65"/>
      <c r="U389" s="65"/>
      <c r="V389" s="65"/>
    </row>
    <row r="390" spans="1:23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4"/>
        <v>8400</v>
      </c>
      <c r="Q390" s="120">
        <f t="shared" si="31"/>
        <v>2625</v>
      </c>
      <c r="R390" s="106">
        <f t="shared" si="32"/>
        <v>0.76190476190476186</v>
      </c>
      <c r="S390" s="183">
        <f>(SUM(P389:P392)/(SUM(P389:Q392)))</f>
        <v>0.71327476817959989</v>
      </c>
      <c r="T390" s="65"/>
      <c r="U390" s="65"/>
      <c r="V390" s="65"/>
    </row>
    <row r="391" spans="1:23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4"/>
        <v>14700</v>
      </c>
      <c r="Q391" s="120">
        <f t="shared" si="31"/>
        <v>175</v>
      </c>
      <c r="R391" s="106">
        <f t="shared" si="32"/>
        <v>0.9882352941176471</v>
      </c>
      <c r="S391" s="184"/>
      <c r="T391" s="65"/>
      <c r="U391" s="65"/>
      <c r="V391" s="65"/>
    </row>
    <row r="392" spans="1:23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208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31"/>
        <v>6666.666666666667</v>
      </c>
      <c r="R392" s="106">
        <f t="shared" si="32"/>
        <v>6.9767441860465115E-2</v>
      </c>
      <c r="S392" s="184"/>
      <c r="T392" s="65"/>
      <c r="U392" s="65"/>
      <c r="V392" s="65"/>
    </row>
    <row r="393" spans="1:23" s="62" customFormat="1">
      <c r="A393" s="134">
        <v>42908</v>
      </c>
      <c r="B393" s="60"/>
      <c r="C393" s="60"/>
      <c r="D393" s="61" t="s">
        <v>138</v>
      </c>
      <c r="E393" s="62">
        <v>2</v>
      </c>
      <c r="F393" s="89">
        <v>224</v>
      </c>
      <c r="G393" s="89">
        <v>1</v>
      </c>
      <c r="H393" s="153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31"/>
        <v>108.33333333333333</v>
      </c>
      <c r="R393" s="106">
        <f t="shared" si="32"/>
        <v>0.9</v>
      </c>
      <c r="S393" s="185" t="str">
        <f>D393</f>
        <v xml:space="preserve">HL-10 Low </v>
      </c>
      <c r="T393" s="65"/>
      <c r="U393" s="65"/>
      <c r="V393" s="65"/>
    </row>
    <row r="394" spans="1:23" s="62" customFormat="1">
      <c r="A394" s="134">
        <v>42908</v>
      </c>
      <c r="B394" s="60"/>
      <c r="C394" s="60"/>
      <c r="D394" s="61" t="s">
        <v>138</v>
      </c>
      <c r="E394" s="62">
        <v>2</v>
      </c>
      <c r="F394" s="89">
        <v>180</v>
      </c>
      <c r="G394" s="89">
        <v>1</v>
      </c>
      <c r="H394" s="153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5">(AVERAGE(I394,K394,M394)/G394)*H394</f>
        <v>8100</v>
      </c>
      <c r="Q394" s="120">
        <f t="shared" si="31"/>
        <v>0</v>
      </c>
      <c r="R394" s="106">
        <f t="shared" si="32"/>
        <v>1</v>
      </c>
      <c r="S394" s="183">
        <f>(SUM(P393:P396)/(SUM(P393:Q396)))</f>
        <v>0.76474007639926922</v>
      </c>
      <c r="T394" s="65"/>
      <c r="U394" s="65"/>
      <c r="V394" s="65"/>
    </row>
    <row r="395" spans="1:23" s="62" customFormat="1">
      <c r="A395" s="134">
        <v>42908</v>
      </c>
      <c r="B395" s="60"/>
      <c r="C395" s="60"/>
      <c r="D395" s="61" t="s">
        <v>138</v>
      </c>
      <c r="E395" s="62">
        <v>2</v>
      </c>
      <c r="F395" s="89">
        <v>100</v>
      </c>
      <c r="G395" s="89">
        <v>1</v>
      </c>
      <c r="H395" s="153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5"/>
        <v>67500</v>
      </c>
      <c r="Q395" s="120">
        <f t="shared" si="31"/>
        <v>9333.3333333333339</v>
      </c>
      <c r="R395" s="106">
        <f t="shared" si="32"/>
        <v>0.87852494577006512</v>
      </c>
      <c r="S395" s="184"/>
      <c r="T395" s="65"/>
      <c r="U395" s="65"/>
      <c r="V395" s="65"/>
    </row>
    <row r="396" spans="1:23" s="62" customFormat="1">
      <c r="A396" s="134">
        <v>42908</v>
      </c>
      <c r="B396" s="60"/>
      <c r="C396" s="60"/>
      <c r="D396" s="61" t="s">
        <v>138</v>
      </c>
      <c r="E396" s="62">
        <v>2</v>
      </c>
      <c r="F396" s="89" t="s">
        <v>208</v>
      </c>
      <c r="G396" s="89">
        <v>1</v>
      </c>
      <c r="H396" s="153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5"/>
        <v>166.66666666666666</v>
      </c>
      <c r="Q396" s="120">
        <f t="shared" si="31"/>
        <v>14166.666666666666</v>
      </c>
      <c r="R396" s="106">
        <f t="shared" si="32"/>
        <v>1.1627906976744186E-2</v>
      </c>
      <c r="S396" s="184"/>
      <c r="T396" s="65"/>
      <c r="U396" s="65"/>
      <c r="V396" s="65"/>
    </row>
    <row r="397" spans="1:23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5"/>
        <v>666.66666666666674</v>
      </c>
      <c r="Q397" s="120">
        <f t="shared" si="31"/>
        <v>0</v>
      </c>
      <c r="R397" s="106">
        <f t="shared" si="32"/>
        <v>1</v>
      </c>
      <c r="S397" s="185" t="str">
        <f>D397</f>
        <v>K-10 Ambient</v>
      </c>
      <c r="T397" s="65"/>
      <c r="U397" s="65"/>
      <c r="V397" s="65"/>
    </row>
    <row r="398" spans="1:23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5"/>
        <v>7900</v>
      </c>
      <c r="Q398" s="120">
        <f t="shared" si="31"/>
        <v>0</v>
      </c>
      <c r="R398" s="106">
        <f t="shared" si="32"/>
        <v>1</v>
      </c>
      <c r="S398" s="183">
        <f>(SUM(P397:P400)/(SUM(P397:Q400)))</f>
        <v>0.81369411308311501</v>
      </c>
      <c r="T398" s="65"/>
      <c r="U398" s="65"/>
      <c r="V398" s="65"/>
    </row>
    <row r="399" spans="1:23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5"/>
        <v>19400</v>
      </c>
      <c r="Q399" s="120">
        <f t="shared" si="31"/>
        <v>500</v>
      </c>
      <c r="R399" s="106">
        <f t="shared" si="32"/>
        <v>0.97487437185929648</v>
      </c>
      <c r="S399" s="184"/>
      <c r="T399" s="65"/>
      <c r="U399" s="65"/>
      <c r="V399" s="65"/>
    </row>
    <row r="400" spans="1:23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208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5"/>
        <v>0</v>
      </c>
      <c r="Q400" s="120">
        <f t="shared" si="31"/>
        <v>5903.3333333333339</v>
      </c>
      <c r="R400" s="106">
        <f t="shared" si="32"/>
        <v>0</v>
      </c>
      <c r="S400" s="184"/>
      <c r="T400" s="65"/>
      <c r="U400" s="65"/>
      <c r="V400" s="65"/>
    </row>
    <row r="401" spans="1:22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5"/>
        <v>2996.6666666666665</v>
      </c>
      <c r="Q401" s="120">
        <f t="shared" si="31"/>
        <v>0</v>
      </c>
      <c r="R401" s="106">
        <f t="shared" si="32"/>
        <v>1</v>
      </c>
      <c r="S401" s="185" t="str">
        <f>D401</f>
        <v>HL-10 Ambient</v>
      </c>
      <c r="T401" s="65"/>
      <c r="U401" s="65"/>
      <c r="V401" s="65"/>
    </row>
    <row r="402" spans="1:22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5"/>
        <v>9743.3333333333339</v>
      </c>
      <c r="Q402" s="120">
        <f t="shared" si="31"/>
        <v>0</v>
      </c>
      <c r="R402" s="106">
        <f t="shared" si="32"/>
        <v>1</v>
      </c>
      <c r="S402" s="183">
        <f>(SUM(P401:P404)/(SUM(P401:Q404)))</f>
        <v>0.82059523044288751</v>
      </c>
      <c r="T402" s="65"/>
    </row>
    <row r="403" spans="1:22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5"/>
        <v>29813.333333333336</v>
      </c>
      <c r="Q403" s="120">
        <f t="shared" si="31"/>
        <v>1386.6666666666665</v>
      </c>
      <c r="R403" s="106">
        <f t="shared" si="32"/>
        <v>0.95555555555555549</v>
      </c>
      <c r="S403" s="184"/>
      <c r="T403" s="65"/>
    </row>
    <row r="404" spans="1:22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208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5"/>
        <v>0</v>
      </c>
      <c r="Q404" s="120">
        <f t="shared" si="31"/>
        <v>7916.666666666667</v>
      </c>
      <c r="R404" s="106">
        <f t="shared" si="32"/>
        <v>0</v>
      </c>
      <c r="S404" s="184"/>
      <c r="T404" s="65"/>
    </row>
    <row r="405" spans="1:22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5"/>
        <v>766.66666666666674</v>
      </c>
      <c r="Q405" s="120">
        <f t="shared" si="31"/>
        <v>0</v>
      </c>
      <c r="R405" s="106">
        <f t="shared" si="32"/>
        <v>1</v>
      </c>
      <c r="S405" s="182" t="str">
        <f>D405</f>
        <v>K-6 Low</v>
      </c>
      <c r="T405" s="65"/>
    </row>
    <row r="406" spans="1:22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5"/>
        <v>20666.666666666668</v>
      </c>
      <c r="Q406" s="120">
        <f t="shared" si="31"/>
        <v>0</v>
      </c>
      <c r="R406" s="106">
        <f t="shared" si="32"/>
        <v>1</v>
      </c>
      <c r="S406" s="183">
        <f>(SUM(P405:P408)/(SUM(P405:Q408)))</f>
        <v>0.94504310344827591</v>
      </c>
      <c r="T406" s="65"/>
    </row>
    <row r="407" spans="1:22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2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5"/>
        <v>6900</v>
      </c>
      <c r="Q407" s="120">
        <f t="shared" si="31"/>
        <v>0</v>
      </c>
      <c r="R407" s="106">
        <f t="shared" si="32"/>
        <v>1</v>
      </c>
      <c r="S407" s="181"/>
      <c r="T407" s="65"/>
    </row>
    <row r="408" spans="1:22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208</v>
      </c>
      <c r="G408" s="89">
        <v>1</v>
      </c>
      <c r="H408" s="152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31"/>
        <v>1700</v>
      </c>
      <c r="R408" s="106">
        <f t="shared" si="32"/>
        <v>0.34615384615384615</v>
      </c>
      <c r="S408" s="184"/>
      <c r="T408" s="65"/>
    </row>
    <row r="409" spans="1:22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6">(AVERAGE(I409,K409,M409)/G409)*H409</f>
        <v>1900</v>
      </c>
      <c r="Q409" s="120">
        <f t="shared" si="31"/>
        <v>0</v>
      </c>
      <c r="R409" s="106">
        <f t="shared" si="32"/>
        <v>1</v>
      </c>
      <c r="S409" s="185" t="str">
        <f>D409</f>
        <v>K-6 Ambient</v>
      </c>
      <c r="T409" s="65"/>
    </row>
    <row r="410" spans="1:22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6"/>
        <v>6800</v>
      </c>
      <c r="Q410" s="120">
        <f t="shared" si="31"/>
        <v>0</v>
      </c>
      <c r="R410" s="106">
        <f t="shared" si="32"/>
        <v>1</v>
      </c>
      <c r="S410" s="183">
        <f>(SUM(P409:P412)/(SUM(P409:Q412)))</f>
        <v>0.66209302325581398</v>
      </c>
      <c r="T410" s="65"/>
    </row>
    <row r="411" spans="1:22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2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6"/>
        <v>66386.666666666672</v>
      </c>
      <c r="Q411" s="120">
        <f t="shared" si="31"/>
        <v>2080</v>
      </c>
      <c r="R411" s="106">
        <f t="shared" si="32"/>
        <v>0.96962025316455691</v>
      </c>
      <c r="S411" s="184"/>
      <c r="T411" s="65"/>
    </row>
    <row r="412" spans="1:22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208</v>
      </c>
      <c r="G412" s="89">
        <v>1</v>
      </c>
      <c r="H412" s="152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6"/>
        <v>833.33333333333337</v>
      </c>
      <c r="Q412" s="120">
        <f t="shared" si="31"/>
        <v>36666.666666666664</v>
      </c>
      <c r="R412" s="106">
        <f t="shared" si="32"/>
        <v>2.2222222222222223E-2</v>
      </c>
      <c r="S412" s="184"/>
      <c r="T412" s="65"/>
    </row>
    <row r="413" spans="1:22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6"/>
        <v>426.66666666666663</v>
      </c>
      <c r="Q413" s="120">
        <f t="shared" si="31"/>
        <v>213.33333333333331</v>
      </c>
      <c r="R413" s="106">
        <f t="shared" si="32"/>
        <v>0.66666666666666663</v>
      </c>
      <c r="S413" s="185" t="str">
        <f>D413</f>
        <v>NF-6 Low</v>
      </c>
    </row>
    <row r="414" spans="1:22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6"/>
        <v>7950</v>
      </c>
      <c r="Q414" s="120">
        <f t="shared" si="31"/>
        <v>176.66666666666666</v>
      </c>
      <c r="R414" s="106">
        <f t="shared" si="32"/>
        <v>0.97826086956521741</v>
      </c>
      <c r="S414" s="183">
        <f>(SUM(P413:P416)/(SUM(P413:Q416)))</f>
        <v>0.70608316687851802</v>
      </c>
    </row>
    <row r="415" spans="1:22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6"/>
        <v>56333.333333333328</v>
      </c>
      <c r="Q415" s="120">
        <f t="shared" si="31"/>
        <v>4160</v>
      </c>
      <c r="R415" s="106">
        <f t="shared" si="32"/>
        <v>0.93123209169054444</v>
      </c>
      <c r="S415" s="184"/>
    </row>
    <row r="416" spans="1:22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208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6"/>
        <v>96.666666666666657</v>
      </c>
      <c r="Q416" s="120">
        <f t="shared" si="31"/>
        <v>22426.666666666664</v>
      </c>
      <c r="R416" s="106">
        <f t="shared" si="32"/>
        <v>4.2918454935622317E-3</v>
      </c>
      <c r="S416" s="184"/>
    </row>
    <row r="417" spans="1:22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6"/>
        <v>400</v>
      </c>
      <c r="Q417" s="120">
        <f t="shared" si="31"/>
        <v>1400</v>
      </c>
      <c r="R417" s="106">
        <f t="shared" si="32"/>
        <v>0.22222222222222221</v>
      </c>
      <c r="S417" s="185" t="str">
        <f>D417</f>
        <v>SN-6 Low</v>
      </c>
      <c r="T417" s="65"/>
      <c r="U417" s="65"/>
      <c r="V417" s="65"/>
    </row>
    <row r="418" spans="1:22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6"/>
        <v>2200</v>
      </c>
      <c r="Q418" s="120">
        <f t="shared" si="31"/>
        <v>21200</v>
      </c>
      <c r="R418" s="106">
        <f t="shared" si="32"/>
        <v>9.4017094017094016E-2</v>
      </c>
      <c r="S418" s="183">
        <f>(SUM(P417:P420)/(SUM(P417:Q420)))</f>
        <v>0.33286765390705042</v>
      </c>
      <c r="T418" s="65"/>
      <c r="U418" s="65"/>
      <c r="V418" s="65"/>
    </row>
    <row r="419" spans="1:22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6"/>
        <v>20800</v>
      </c>
      <c r="Q419" s="120">
        <f t="shared" si="31"/>
        <v>13100</v>
      </c>
      <c r="R419" s="106">
        <f t="shared" si="32"/>
        <v>0.6135693215339233</v>
      </c>
      <c r="S419" s="184"/>
      <c r="T419" s="65"/>
      <c r="U419" s="65"/>
      <c r="V419" s="65"/>
    </row>
    <row r="420" spans="1:22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208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6"/>
        <v>426.66666666666663</v>
      </c>
      <c r="Q420" s="120">
        <f t="shared" ref="Q420:Q483" si="37">(AVERAGE(J420,L420,N420)/G420)*H420</f>
        <v>12053.333333333332</v>
      </c>
      <c r="R420" s="106">
        <f t="shared" ref="R420:R483" si="38">P420/(P420+Q420)</f>
        <v>3.4188034188034191E-2</v>
      </c>
      <c r="S420" s="184"/>
      <c r="T420" s="65"/>
      <c r="U420" s="65"/>
      <c r="V420" s="65"/>
    </row>
    <row r="421" spans="1:22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6"/>
        <v>3420</v>
      </c>
      <c r="Q421" s="120">
        <f t="shared" si="37"/>
        <v>1080</v>
      </c>
      <c r="R421" s="106">
        <f t="shared" si="38"/>
        <v>0.76</v>
      </c>
      <c r="S421" s="185" t="str">
        <f>D421</f>
        <v>NF-6 Ambient</v>
      </c>
      <c r="T421" s="65"/>
      <c r="U421" s="65"/>
      <c r="V421" s="65"/>
    </row>
    <row r="422" spans="1:22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7"/>
        <v>2300</v>
      </c>
      <c r="R422" s="106">
        <f t="shared" si="38"/>
        <v>0.72289156626506024</v>
      </c>
      <c r="S422" s="183">
        <f>(SUM(P421:P424)/(SUM(P421:Q424)))</f>
        <v>0.68985095812633068</v>
      </c>
      <c r="T422" s="65"/>
      <c r="U422" s="65"/>
      <c r="V422" s="65"/>
    </row>
    <row r="423" spans="1:22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9">(AVERAGE(I423,K423,M423)/G423)*H423</f>
        <v>300</v>
      </c>
      <c r="Q423" s="120">
        <f t="shared" si="37"/>
        <v>0</v>
      </c>
      <c r="R423" s="106">
        <f t="shared" si="38"/>
        <v>1</v>
      </c>
      <c r="S423" s="184"/>
      <c r="T423" s="65"/>
      <c r="U423" s="65"/>
      <c r="V423" s="65"/>
    </row>
    <row r="424" spans="1:22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208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9"/>
        <v>0</v>
      </c>
      <c r="Q424" s="120">
        <f t="shared" si="37"/>
        <v>990</v>
      </c>
      <c r="R424" s="106">
        <f t="shared" si="38"/>
        <v>0</v>
      </c>
      <c r="S424" s="184"/>
      <c r="T424" s="65"/>
      <c r="U424" s="65"/>
      <c r="V424" s="65"/>
    </row>
    <row r="425" spans="1:22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9"/>
        <v>1000</v>
      </c>
      <c r="Q425" s="120">
        <f t="shared" si="37"/>
        <v>15166.666666666666</v>
      </c>
      <c r="R425" s="106">
        <f t="shared" si="38"/>
        <v>6.1855670103092786E-2</v>
      </c>
      <c r="S425" s="185" t="str">
        <f>D425</f>
        <v>SN-10 Ambient</v>
      </c>
      <c r="T425" s="65"/>
      <c r="U425" s="65"/>
      <c r="V425" s="65"/>
    </row>
    <row r="426" spans="1:22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9"/>
        <v>2000</v>
      </c>
      <c r="Q426" s="120">
        <f t="shared" si="37"/>
        <v>27000</v>
      </c>
      <c r="R426" s="106">
        <f t="shared" si="38"/>
        <v>6.8965517241379309E-2</v>
      </c>
      <c r="S426" s="183">
        <f>(SUM(P425:P428)/(SUM(P425:Q428)))</f>
        <v>0.30404954740352547</v>
      </c>
      <c r="T426" s="65"/>
      <c r="U426" s="65"/>
      <c r="V426" s="65"/>
    </row>
    <row r="427" spans="1:22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9"/>
        <v>23591.666666666664</v>
      </c>
      <c r="Q427" s="120">
        <f t="shared" si="37"/>
        <v>15200</v>
      </c>
      <c r="R427" s="106">
        <f t="shared" si="38"/>
        <v>0.60816326530612241</v>
      </c>
      <c r="S427" s="184"/>
      <c r="T427" s="65"/>
      <c r="U427" s="65"/>
      <c r="V427" s="65"/>
    </row>
    <row r="428" spans="1:22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208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9"/>
        <v>0</v>
      </c>
      <c r="Q428" s="120">
        <f t="shared" si="37"/>
        <v>3500</v>
      </c>
      <c r="R428" s="106">
        <f t="shared" si="38"/>
        <v>0</v>
      </c>
      <c r="S428" s="184"/>
      <c r="T428" s="65"/>
      <c r="U428" s="65"/>
      <c r="V428" s="65"/>
    </row>
    <row r="429" spans="1:22" s="62" customFormat="1">
      <c r="A429" s="134">
        <v>42908</v>
      </c>
      <c r="B429" s="60"/>
      <c r="C429" s="60"/>
      <c r="D429" s="62" t="s">
        <v>139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9"/>
        <v>200</v>
      </c>
      <c r="Q429" s="120">
        <f t="shared" si="37"/>
        <v>1900</v>
      </c>
      <c r="R429" s="106">
        <f t="shared" si="38"/>
        <v>9.5238095238095233E-2</v>
      </c>
      <c r="S429" s="185" t="str">
        <f>D429</f>
        <v xml:space="preserve">SN-10 Low </v>
      </c>
      <c r="T429" s="65"/>
      <c r="U429" s="65"/>
      <c r="V429" s="65"/>
    </row>
    <row r="430" spans="1:22" s="62" customFormat="1">
      <c r="A430" s="134">
        <v>42908</v>
      </c>
      <c r="B430" s="60"/>
      <c r="C430" s="60"/>
      <c r="D430" s="62" t="s">
        <v>139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9"/>
        <v>666.66666666666663</v>
      </c>
      <c r="Q430" s="120">
        <f t="shared" si="37"/>
        <v>14666.666666666666</v>
      </c>
      <c r="R430" s="106">
        <f t="shared" si="38"/>
        <v>4.3478260869565216E-2</v>
      </c>
      <c r="S430" s="183">
        <f>(SUM(P429:P432)/(SUM(P429:Q432)))</f>
        <v>0.64954560207724765</v>
      </c>
      <c r="T430" s="65"/>
      <c r="U430" s="65"/>
      <c r="V430" s="65"/>
    </row>
    <row r="431" spans="1:22" s="62" customFormat="1">
      <c r="A431" s="134">
        <v>42908</v>
      </c>
      <c r="B431" s="60"/>
      <c r="C431" s="60"/>
      <c r="D431" s="62" t="s">
        <v>139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9"/>
        <v>52266.666666666672</v>
      </c>
      <c r="Q431" s="120">
        <f t="shared" si="37"/>
        <v>2776.666666666667</v>
      </c>
      <c r="R431" s="106">
        <f t="shared" si="38"/>
        <v>0.94955489614243327</v>
      </c>
      <c r="S431" s="184"/>
      <c r="T431" s="65"/>
      <c r="U431" s="65"/>
      <c r="V431" s="65"/>
    </row>
    <row r="432" spans="1:22" s="62" customFormat="1">
      <c r="A432" s="134">
        <v>42908</v>
      </c>
      <c r="B432" s="60"/>
      <c r="C432" s="60"/>
      <c r="D432" s="62" t="s">
        <v>139</v>
      </c>
      <c r="E432" s="62">
        <v>7</v>
      </c>
      <c r="F432" s="89" t="s">
        <v>208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9"/>
        <v>233.33333333333331</v>
      </c>
      <c r="Q432" s="120">
        <f t="shared" si="37"/>
        <v>9450</v>
      </c>
      <c r="R432" s="106">
        <f t="shared" si="38"/>
        <v>2.4096385542168672E-2</v>
      </c>
      <c r="S432" s="184"/>
      <c r="T432" s="65"/>
      <c r="U432" s="65"/>
      <c r="V432" s="65"/>
    </row>
    <row r="433" spans="1:22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9"/>
        <v>0</v>
      </c>
      <c r="Q433" s="120">
        <f t="shared" si="37"/>
        <v>0</v>
      </c>
      <c r="R433" s="106" t="e">
        <f t="shared" si="38"/>
        <v>#DIV/0!</v>
      </c>
      <c r="S433" s="185" t="str">
        <f>D433</f>
        <v>HL-6 Ambient</v>
      </c>
      <c r="T433" s="65"/>
      <c r="U433" s="65"/>
      <c r="V433" s="65"/>
    </row>
    <row r="434" spans="1:22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9"/>
        <v>166.66666666666666</v>
      </c>
      <c r="Q434" s="120">
        <f t="shared" si="37"/>
        <v>0</v>
      </c>
      <c r="R434" s="106">
        <f t="shared" si="38"/>
        <v>1</v>
      </c>
      <c r="S434" s="183">
        <f>(SUM(P433:P436)/(SUM(P433:Q436)))</f>
        <v>0.91419302514193024</v>
      </c>
      <c r="T434" s="65"/>
      <c r="U434" s="65"/>
      <c r="V434" s="65"/>
    </row>
    <row r="435" spans="1:22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9"/>
        <v>27866.666666666664</v>
      </c>
      <c r="Q435" s="120">
        <f t="shared" si="37"/>
        <v>2058.333333333333</v>
      </c>
      <c r="R435" s="106">
        <f t="shared" si="38"/>
        <v>0.93121693121693128</v>
      </c>
      <c r="S435" s="184"/>
      <c r="T435" s="65"/>
      <c r="U435" s="65"/>
      <c r="V435" s="65"/>
    </row>
    <row r="436" spans="1:22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208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9"/>
        <v>146.66666666666666</v>
      </c>
      <c r="Q436" s="120">
        <f t="shared" si="37"/>
        <v>586.66666666666663</v>
      </c>
      <c r="R436" s="106">
        <f t="shared" si="38"/>
        <v>0.2</v>
      </c>
      <c r="S436" s="184"/>
      <c r="T436" s="65"/>
      <c r="U436" s="65"/>
      <c r="V436" s="65"/>
    </row>
    <row r="437" spans="1:22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9"/>
        <v>0</v>
      </c>
      <c r="Q437" s="120">
        <f t="shared" si="37"/>
        <v>0</v>
      </c>
      <c r="R437" s="106" t="e">
        <f t="shared" si="38"/>
        <v>#DIV/0!</v>
      </c>
      <c r="S437" s="185" t="str">
        <f>D437</f>
        <v>HL-6 Low</v>
      </c>
      <c r="T437" s="65"/>
      <c r="U437" s="65"/>
      <c r="V437" s="65"/>
    </row>
    <row r="438" spans="1:22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9"/>
        <v>900</v>
      </c>
      <c r="Q438" s="120">
        <f t="shared" si="37"/>
        <v>0</v>
      </c>
      <c r="R438" s="106">
        <f t="shared" si="38"/>
        <v>1</v>
      </c>
      <c r="S438" s="183">
        <f>(SUM(P437:P440)/(SUM(P437:Q440)))</f>
        <v>0.84783163265306127</v>
      </c>
      <c r="T438" s="65"/>
    </row>
    <row r="439" spans="1:22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9"/>
        <v>87533.333333333343</v>
      </c>
      <c r="Q439" s="120">
        <f t="shared" si="37"/>
        <v>1213.3333333333335</v>
      </c>
      <c r="R439" s="106">
        <f t="shared" si="38"/>
        <v>0.986328125</v>
      </c>
      <c r="S439" s="184"/>
      <c r="T439" s="65"/>
    </row>
    <row r="440" spans="1:22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208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 t="shared" si="39"/>
        <v>193.33333333333331</v>
      </c>
      <c r="Q440" s="120">
        <f t="shared" si="37"/>
        <v>14693.333333333332</v>
      </c>
      <c r="R440" s="106">
        <f t="shared" si="38"/>
        <v>1.2987012987012986E-2</v>
      </c>
      <c r="S440" s="184"/>
      <c r="T440" s="65"/>
    </row>
    <row r="441" spans="1:22" s="62" customFormat="1">
      <c r="A441" s="134">
        <v>42908</v>
      </c>
      <c r="B441" s="60"/>
      <c r="C441" s="60"/>
      <c r="D441" s="61" t="s">
        <v>76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 t="shared" si="39"/>
        <v>216.66666666666666</v>
      </c>
      <c r="Q441" s="120">
        <f t="shared" si="37"/>
        <v>4550</v>
      </c>
      <c r="R441" s="106">
        <f t="shared" si="38"/>
        <v>4.5454545454545449E-2</v>
      </c>
      <c r="S441" s="185" t="str">
        <f>D441</f>
        <v xml:space="preserve">NF-10 Low </v>
      </c>
      <c r="T441" s="65"/>
    </row>
    <row r="442" spans="1:22" s="62" customFormat="1">
      <c r="A442" s="134">
        <v>42908</v>
      </c>
      <c r="B442" s="60"/>
      <c r="C442" s="60"/>
      <c r="D442" s="61" t="s">
        <v>76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 t="shared" si="39"/>
        <v>166.66666666666666</v>
      </c>
      <c r="Q442" s="120">
        <f t="shared" si="37"/>
        <v>22500</v>
      </c>
      <c r="R442" s="106">
        <f t="shared" si="38"/>
        <v>7.3529411764705873E-3</v>
      </c>
      <c r="S442" s="183">
        <f>(SUM(P441:P444)/(SUM(P441:Q444)))</f>
        <v>1.3241220495106502E-2</v>
      </c>
      <c r="T442" s="65"/>
    </row>
    <row r="443" spans="1:22" s="62" customFormat="1">
      <c r="A443" s="134">
        <v>42908</v>
      </c>
      <c r="B443" s="60"/>
      <c r="C443" s="60"/>
      <c r="D443" s="61" t="s">
        <v>76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9"/>
        <v>0</v>
      </c>
      <c r="Q443" s="120">
        <f t="shared" si="37"/>
        <v>600</v>
      </c>
      <c r="R443" s="106">
        <f t="shared" si="38"/>
        <v>0</v>
      </c>
      <c r="S443" s="184"/>
      <c r="T443" s="65"/>
    </row>
    <row r="444" spans="1:22" s="69" customFormat="1" ht="16" thickBot="1">
      <c r="A444" s="252">
        <v>42908</v>
      </c>
      <c r="B444" s="67"/>
      <c r="C444" s="67"/>
      <c r="D444" s="68" t="s">
        <v>76</v>
      </c>
      <c r="E444" s="69">
        <v>8</v>
      </c>
      <c r="F444" s="150" t="s">
        <v>208</v>
      </c>
      <c r="G444" s="150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51">
        <f t="shared" si="39"/>
        <v>0</v>
      </c>
      <c r="Q444" s="151">
        <f t="shared" si="37"/>
        <v>916.66666666666663</v>
      </c>
      <c r="R444" s="167">
        <f t="shared" si="38"/>
        <v>0</v>
      </c>
      <c r="S444" s="198"/>
    </row>
    <row r="445" spans="1:22" s="147" customFormat="1">
      <c r="A445" s="192">
        <v>42912</v>
      </c>
      <c r="B445" s="193"/>
      <c r="C445" s="193"/>
      <c r="D445" s="148" t="s">
        <v>86</v>
      </c>
      <c r="E445" s="147">
        <v>1</v>
      </c>
      <c r="F445" s="194">
        <v>224</v>
      </c>
      <c r="G445" s="194">
        <v>2</v>
      </c>
      <c r="H445" s="147">
        <v>700</v>
      </c>
      <c r="I445" s="147">
        <v>0</v>
      </c>
      <c r="J445" s="147">
        <v>1</v>
      </c>
      <c r="K445" s="147">
        <v>0</v>
      </c>
      <c r="L445" s="147">
        <v>0</v>
      </c>
      <c r="M445" s="147">
        <v>0</v>
      </c>
      <c r="N445" s="147">
        <v>0</v>
      </c>
      <c r="P445" s="195">
        <f>(AVERAGE(I445,K445,M445)/G445)*H445</f>
        <v>0</v>
      </c>
      <c r="Q445" s="195">
        <f t="shared" si="37"/>
        <v>116.66666666666666</v>
      </c>
      <c r="R445" s="196">
        <f t="shared" si="38"/>
        <v>0</v>
      </c>
      <c r="S445" s="188" t="str">
        <f>D445</f>
        <v>SN-10 Ambient</v>
      </c>
      <c r="T445" s="197"/>
      <c r="U445" s="197"/>
      <c r="V445" s="197"/>
    </row>
    <row r="446" spans="1:22" s="80" customFormat="1">
      <c r="A446" s="192">
        <v>42912</v>
      </c>
      <c r="B446" s="78"/>
      <c r="C446" s="78"/>
      <c r="D446" s="148" t="s">
        <v>86</v>
      </c>
      <c r="E446" s="147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40">(AVERAGE(I446,K446,M446)/G446)*H446</f>
        <v>50</v>
      </c>
      <c r="Q446" s="124">
        <f t="shared" si="37"/>
        <v>200</v>
      </c>
      <c r="R446" s="163">
        <f t="shared" si="38"/>
        <v>0.2</v>
      </c>
      <c r="S446" s="189">
        <f>(SUM(P445:P448)/(SUM(P445:Q448)))</f>
        <v>6.7754077791718943E-3</v>
      </c>
      <c r="T446" s="81"/>
      <c r="U446" s="81"/>
      <c r="V446" s="81"/>
    </row>
    <row r="447" spans="1:22" s="80" customFormat="1">
      <c r="A447" s="192">
        <v>42912</v>
      </c>
      <c r="B447" s="78"/>
      <c r="C447" s="78"/>
      <c r="D447" s="148" t="s">
        <v>86</v>
      </c>
      <c r="E447" s="147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40"/>
        <v>400</v>
      </c>
      <c r="Q447" s="124">
        <f t="shared" si="37"/>
        <v>350</v>
      </c>
      <c r="R447" s="163">
        <f t="shared" si="38"/>
        <v>0.53333333333333333</v>
      </c>
      <c r="S447" s="187"/>
      <c r="T447" s="81"/>
      <c r="U447" s="81"/>
      <c r="V447" s="81"/>
    </row>
    <row r="448" spans="1:22" s="80" customFormat="1">
      <c r="A448" s="192">
        <v>42912</v>
      </c>
      <c r="B448" s="78"/>
      <c r="C448" s="78"/>
      <c r="D448" s="148" t="s">
        <v>86</v>
      </c>
      <c r="E448" s="147">
        <v>1</v>
      </c>
      <c r="F448" s="87" t="s">
        <v>208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41">(AVERAGE(I448,K448,M448)/G448)*H448</f>
        <v>0</v>
      </c>
      <c r="Q448" s="124">
        <f t="shared" ref="Q448" si="42">(AVERAGE(J448,L448,N448)/G448)*H448</f>
        <v>65300</v>
      </c>
      <c r="R448" s="163">
        <f t="shared" si="38"/>
        <v>0</v>
      </c>
      <c r="S448" s="190"/>
      <c r="T448" s="81"/>
      <c r="U448" s="81"/>
      <c r="V448" s="81"/>
    </row>
    <row r="449" spans="1:23" s="80" customFormat="1">
      <c r="A449" s="192">
        <v>42912</v>
      </c>
      <c r="B449" s="78"/>
      <c r="C449" s="78"/>
      <c r="D449" s="80" t="s">
        <v>77</v>
      </c>
      <c r="E449" s="147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40"/>
        <v>150</v>
      </c>
      <c r="Q449" s="124">
        <f t="shared" si="37"/>
        <v>0</v>
      </c>
      <c r="R449" s="163">
        <f t="shared" si="38"/>
        <v>1</v>
      </c>
      <c r="S449" s="191" t="str">
        <f>D449</f>
        <v>SN-6 Low</v>
      </c>
      <c r="T449" s="81"/>
      <c r="U449" s="81"/>
      <c r="V449" s="81"/>
      <c r="W449" s="80" t="s">
        <v>258</v>
      </c>
    </row>
    <row r="450" spans="1:23" s="80" customFormat="1">
      <c r="A450" s="192">
        <v>42912</v>
      </c>
      <c r="B450" s="78"/>
      <c r="C450" s="78"/>
      <c r="D450" s="80" t="s">
        <v>77</v>
      </c>
      <c r="E450" s="147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40"/>
        <v>1550</v>
      </c>
      <c r="Q450" s="124">
        <f t="shared" si="37"/>
        <v>0</v>
      </c>
      <c r="R450" s="163">
        <f t="shared" si="38"/>
        <v>1</v>
      </c>
      <c r="S450" s="189">
        <f>(SUM(P449:P452)/(SUM(P449:Q452)))</f>
        <v>0.1261938630359683</v>
      </c>
      <c r="T450" s="81"/>
      <c r="U450" s="81"/>
      <c r="V450" s="81"/>
    </row>
    <row r="451" spans="1:23" s="80" customFormat="1">
      <c r="A451" s="192">
        <v>42912</v>
      </c>
      <c r="B451" s="78"/>
      <c r="C451" s="78"/>
      <c r="D451" s="80" t="s">
        <v>77</v>
      </c>
      <c r="E451" s="147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40"/>
        <v>4510</v>
      </c>
      <c r="Q451" s="124">
        <f t="shared" si="37"/>
        <v>0</v>
      </c>
      <c r="R451" s="163">
        <f t="shared" si="38"/>
        <v>1</v>
      </c>
      <c r="S451" s="190"/>
      <c r="T451" s="81"/>
      <c r="U451" s="81"/>
      <c r="V451" s="81"/>
    </row>
    <row r="452" spans="1:23" s="80" customFormat="1">
      <c r="A452" s="192">
        <v>42912</v>
      </c>
      <c r="B452" s="78"/>
      <c r="C452" s="78"/>
      <c r="D452" s="80" t="s">
        <v>77</v>
      </c>
      <c r="E452" s="147">
        <v>1</v>
      </c>
      <c r="F452" s="87" t="s">
        <v>208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40"/>
        <v>0</v>
      </c>
      <c r="Q452" s="124">
        <f t="shared" si="37"/>
        <v>43000</v>
      </c>
      <c r="R452" s="163">
        <f t="shared" si="38"/>
        <v>0</v>
      </c>
      <c r="S452" s="190"/>
      <c r="T452" s="81"/>
      <c r="U452" s="81"/>
      <c r="V452" s="81"/>
    </row>
    <row r="453" spans="1:23" s="80" customFormat="1">
      <c r="A453" s="192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40"/>
        <v>1166.6666666666667</v>
      </c>
      <c r="Q453" s="124">
        <f t="shared" si="37"/>
        <v>0</v>
      </c>
      <c r="R453" s="163">
        <f t="shared" si="38"/>
        <v>1</v>
      </c>
      <c r="S453" s="191" t="str">
        <f>D453</f>
        <v>NF-6 Ambient</v>
      </c>
      <c r="T453" s="81"/>
      <c r="U453" s="81"/>
      <c r="V453" s="81"/>
    </row>
    <row r="454" spans="1:23" s="80" customFormat="1">
      <c r="A454" s="192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40"/>
        <v>3103.333333333333</v>
      </c>
      <c r="Q454" s="124">
        <f t="shared" si="37"/>
        <v>816.66666666666674</v>
      </c>
      <c r="R454" s="163">
        <f t="shared" si="38"/>
        <v>0.79166666666666663</v>
      </c>
      <c r="S454" s="189">
        <f>(SUM(P453:P456)/(SUM(P453:Q456)))</f>
        <v>0.23572902338376889</v>
      </c>
      <c r="T454" s="81"/>
      <c r="U454" s="81"/>
      <c r="V454" s="81"/>
    </row>
    <row r="455" spans="1:23" s="80" customFormat="1">
      <c r="A455" s="192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40"/>
        <v>300</v>
      </c>
      <c r="Q455" s="124">
        <f t="shared" si="37"/>
        <v>400</v>
      </c>
      <c r="R455" s="163">
        <f t="shared" si="38"/>
        <v>0.42857142857142855</v>
      </c>
      <c r="S455" s="190"/>
      <c r="T455" s="81"/>
      <c r="U455" s="81"/>
      <c r="V455" s="81"/>
    </row>
    <row r="456" spans="1:23" s="80" customFormat="1">
      <c r="A456" s="192">
        <v>42912</v>
      </c>
      <c r="B456" s="78"/>
      <c r="C456" s="78"/>
      <c r="D456" s="80" t="s">
        <v>85</v>
      </c>
      <c r="E456" s="80">
        <v>2</v>
      </c>
      <c r="F456" s="87" t="s">
        <v>208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7"/>
        <v>13600</v>
      </c>
      <c r="R456" s="163">
        <f t="shared" si="38"/>
        <v>0</v>
      </c>
      <c r="S456" s="190"/>
      <c r="T456" s="81"/>
      <c r="U456" s="81"/>
      <c r="V456" s="81"/>
    </row>
    <row r="457" spans="1:23" s="80" customFormat="1">
      <c r="A457" s="192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40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7"/>
        <v>0</v>
      </c>
      <c r="R457" s="163">
        <f t="shared" si="38"/>
        <v>1</v>
      </c>
      <c r="S457" s="191" t="str">
        <f>D457</f>
        <v>NF-6 Low</v>
      </c>
      <c r="T457" s="81"/>
      <c r="U457" s="81"/>
      <c r="V457" s="81"/>
    </row>
    <row r="458" spans="1:23" s="80" customFormat="1">
      <c r="A458" s="192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40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3">(AVERAGE(I458,K458,M458)/G458)*H458</f>
        <v>8983.3333333333321</v>
      </c>
      <c r="Q458" s="124">
        <f t="shared" si="37"/>
        <v>0</v>
      </c>
      <c r="R458" s="163">
        <f t="shared" si="38"/>
        <v>1</v>
      </c>
      <c r="S458" s="189">
        <f>(SUM(P457:P460)/(SUM(P457:Q460)))</f>
        <v>0.75762589184158824</v>
      </c>
      <c r="T458" s="81"/>
      <c r="U458" s="81"/>
      <c r="V458" s="81"/>
    </row>
    <row r="459" spans="1:23" s="80" customFormat="1">
      <c r="A459" s="192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40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3"/>
        <v>37833.333333333336</v>
      </c>
      <c r="Q459" s="124">
        <f t="shared" si="37"/>
        <v>333.33333333333331</v>
      </c>
      <c r="R459" s="163">
        <f t="shared" si="38"/>
        <v>0.99126637554585151</v>
      </c>
      <c r="S459" s="190"/>
      <c r="T459" s="81"/>
      <c r="U459" s="81"/>
      <c r="V459" s="81"/>
    </row>
    <row r="460" spans="1:23" s="80" customFormat="1">
      <c r="A460" s="192">
        <v>42912</v>
      </c>
      <c r="B460" s="78"/>
      <c r="C460" s="78"/>
      <c r="D460" s="79" t="s">
        <v>105</v>
      </c>
      <c r="E460" s="80">
        <v>2</v>
      </c>
      <c r="F460" s="87" t="s">
        <v>208</v>
      </c>
      <c r="G460" s="87">
        <v>1</v>
      </c>
      <c r="H460" s="240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3"/>
        <v>0</v>
      </c>
      <c r="Q460" s="124">
        <f t="shared" si="37"/>
        <v>15293.333333333334</v>
      </c>
      <c r="R460" s="163">
        <f t="shared" si="38"/>
        <v>0</v>
      </c>
      <c r="S460" s="190"/>
      <c r="T460" s="81"/>
      <c r="U460" s="81"/>
      <c r="V460" s="81"/>
    </row>
    <row r="461" spans="1:23" s="80" customFormat="1">
      <c r="A461" s="192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3"/>
        <v>0</v>
      </c>
      <c r="Q461" s="124">
        <f t="shared" si="37"/>
        <v>0</v>
      </c>
      <c r="R461" s="163" t="e">
        <f t="shared" si="38"/>
        <v>#DIV/0!</v>
      </c>
      <c r="S461" s="191" t="str">
        <f>D461</f>
        <v>HL-6 Ambient</v>
      </c>
      <c r="T461" s="81"/>
      <c r="U461" s="81"/>
      <c r="V461" s="81"/>
      <c r="W461" s="80" t="s">
        <v>265</v>
      </c>
    </row>
    <row r="462" spans="1:23" s="80" customFormat="1">
      <c r="A462" s="192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3"/>
        <v>3000</v>
      </c>
      <c r="Q462" s="124">
        <f t="shared" si="37"/>
        <v>0</v>
      </c>
      <c r="R462" s="163">
        <f t="shared" si="38"/>
        <v>1</v>
      </c>
      <c r="S462" s="189">
        <f>(SUM(P461:P464)/(SUM(P461:Q464)))</f>
        <v>0.89389067524115751</v>
      </c>
      <c r="T462" s="81"/>
      <c r="U462" s="81"/>
      <c r="V462" s="81"/>
    </row>
    <row r="463" spans="1:23" s="80" customFormat="1">
      <c r="A463" s="192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3"/>
        <v>24800</v>
      </c>
      <c r="Q463" s="124">
        <f t="shared" si="37"/>
        <v>266.66666666666663</v>
      </c>
      <c r="R463" s="163">
        <f t="shared" si="38"/>
        <v>0.9893617021276595</v>
      </c>
      <c r="S463" s="190"/>
      <c r="T463" s="81"/>
      <c r="U463" s="81"/>
      <c r="V463" s="81"/>
    </row>
    <row r="464" spans="1:23" s="80" customFormat="1">
      <c r="A464" s="192">
        <v>42912</v>
      </c>
      <c r="B464" s="78"/>
      <c r="C464" s="78"/>
      <c r="D464" s="80" t="s">
        <v>119</v>
      </c>
      <c r="E464" s="80">
        <v>3</v>
      </c>
      <c r="F464" s="87" t="s">
        <v>208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3"/>
        <v>0</v>
      </c>
      <c r="Q464" s="124">
        <f t="shared" si="37"/>
        <v>3033.3333333333335</v>
      </c>
      <c r="R464" s="163">
        <f t="shared" si="38"/>
        <v>0</v>
      </c>
      <c r="S464" s="190"/>
      <c r="T464" s="81"/>
      <c r="U464" s="81"/>
      <c r="V464" s="81"/>
    </row>
    <row r="465" spans="1:23" s="80" customFormat="1">
      <c r="A465" s="192">
        <v>42912</v>
      </c>
      <c r="B465" s="78"/>
      <c r="C465" s="78"/>
      <c r="D465" s="80" t="s">
        <v>76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3"/>
        <v>0</v>
      </c>
      <c r="Q465" s="124">
        <f t="shared" si="37"/>
        <v>0</v>
      </c>
      <c r="R465" s="163" t="e">
        <f t="shared" si="38"/>
        <v>#DIV/0!</v>
      </c>
      <c r="S465" s="191" t="str">
        <f>D465</f>
        <v xml:space="preserve">NF-10 Low </v>
      </c>
      <c r="T465" s="81"/>
      <c r="U465" s="81"/>
      <c r="V465" s="81"/>
      <c r="W465" s="80" t="s">
        <v>265</v>
      </c>
    </row>
    <row r="466" spans="1:23" s="80" customFormat="1">
      <c r="A466" s="192">
        <v>42912</v>
      </c>
      <c r="B466" s="78"/>
      <c r="C466" s="78"/>
      <c r="D466" s="80" t="s">
        <v>76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3"/>
        <v>166.66666666666666</v>
      </c>
      <c r="Q466" s="124">
        <f t="shared" si="37"/>
        <v>0</v>
      </c>
      <c r="R466" s="163">
        <f t="shared" si="38"/>
        <v>1</v>
      </c>
      <c r="S466" s="189">
        <f>(SUM(P465:P468)/(SUM(P465:Q468)))</f>
        <v>1.0796615115261161E-2</v>
      </c>
      <c r="T466" s="81"/>
    </row>
    <row r="467" spans="1:23" s="80" customFormat="1">
      <c r="A467" s="192">
        <v>42912</v>
      </c>
      <c r="B467" s="78"/>
      <c r="C467" s="78"/>
      <c r="D467" s="80" t="s">
        <v>76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3"/>
        <v>80</v>
      </c>
      <c r="Q467" s="124">
        <f t="shared" si="37"/>
        <v>0</v>
      </c>
      <c r="R467" s="163">
        <f t="shared" si="38"/>
        <v>1</v>
      </c>
      <c r="S467" s="190"/>
      <c r="T467" s="81"/>
    </row>
    <row r="468" spans="1:23" s="80" customFormat="1">
      <c r="A468" s="192">
        <v>42912</v>
      </c>
      <c r="B468" s="78"/>
      <c r="C468" s="78"/>
      <c r="D468" s="80" t="s">
        <v>76</v>
      </c>
      <c r="E468" s="80">
        <v>3</v>
      </c>
      <c r="F468" s="87" t="s">
        <v>208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3"/>
        <v>0</v>
      </c>
      <c r="Q468" s="124">
        <f t="shared" si="37"/>
        <v>22600</v>
      </c>
      <c r="R468" s="163">
        <f t="shared" si="38"/>
        <v>0</v>
      </c>
      <c r="S468" s="190"/>
      <c r="T468" s="81"/>
    </row>
    <row r="469" spans="1:23" s="80" customFormat="1">
      <c r="A469" s="192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4">(AVERAGE(I470,K470,M470)/G469)*H469</f>
        <v>680</v>
      </c>
      <c r="Q469" s="124">
        <f t="shared" ref="Q469:Q480" si="45">(AVERAGE(J470,L470,N470)/G469)*H469</f>
        <v>0</v>
      </c>
      <c r="R469" s="163">
        <f t="shared" si="38"/>
        <v>1</v>
      </c>
      <c r="S469" s="188" t="str">
        <f>D469</f>
        <v>HL-6 Low</v>
      </c>
      <c r="T469" s="81"/>
      <c r="W469" s="80" t="s">
        <v>265</v>
      </c>
    </row>
    <row r="470" spans="1:23" s="80" customFormat="1">
      <c r="A470" s="192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4"/>
        <v>23040</v>
      </c>
      <c r="Q470" s="124">
        <f t="shared" si="45"/>
        <v>0</v>
      </c>
      <c r="R470" s="163">
        <f t="shared" si="38"/>
        <v>1</v>
      </c>
      <c r="S470" s="189">
        <f>(SUM(P469:P472)/(SUM(P469:Q472)))</f>
        <v>0.58009562599610409</v>
      </c>
      <c r="T470" s="81"/>
    </row>
    <row r="471" spans="1:23" s="80" customFormat="1">
      <c r="A471" s="192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33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4"/>
        <v>3120</v>
      </c>
      <c r="Q471" s="124">
        <f t="shared" si="45"/>
        <v>19760</v>
      </c>
      <c r="R471" s="163">
        <f t="shared" si="38"/>
        <v>0.13636363636363635</v>
      </c>
      <c r="S471" s="187"/>
      <c r="T471" s="81"/>
    </row>
    <row r="472" spans="1:23" s="80" customFormat="1">
      <c r="A472" s="192">
        <v>42912</v>
      </c>
      <c r="B472" s="78"/>
      <c r="C472" s="78"/>
      <c r="D472" s="79" t="s">
        <v>21</v>
      </c>
      <c r="E472" s="80">
        <v>4</v>
      </c>
      <c r="F472" s="87" t="s">
        <v>208</v>
      </c>
      <c r="G472" s="87">
        <v>1</v>
      </c>
      <c r="H472" s="233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4"/>
        <v>458.33333333333337</v>
      </c>
      <c r="Q472" s="124">
        <f t="shared" si="45"/>
        <v>0</v>
      </c>
      <c r="R472" s="163">
        <f t="shared" si="38"/>
        <v>1</v>
      </c>
      <c r="S472" s="190"/>
      <c r="T472" s="81"/>
    </row>
    <row r="473" spans="1:23" s="80" customFormat="1">
      <c r="A473" s="192">
        <v>42912</v>
      </c>
      <c r="B473" s="78"/>
      <c r="C473" s="78"/>
      <c r="D473" s="79" t="s">
        <v>139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4"/>
        <v>4060</v>
      </c>
      <c r="Q473" s="124">
        <f t="shared" si="45"/>
        <v>48.333333333333329</v>
      </c>
      <c r="R473" s="163">
        <f t="shared" si="38"/>
        <v>0.9882352941176471</v>
      </c>
      <c r="S473" s="191" t="str">
        <f>D473</f>
        <v xml:space="preserve">SN-10 Low </v>
      </c>
      <c r="T473" s="81"/>
    </row>
    <row r="474" spans="1:23" s="80" customFormat="1">
      <c r="A474" s="192">
        <v>42912</v>
      </c>
      <c r="B474" s="78"/>
      <c r="C474" s="78"/>
      <c r="D474" s="79" t="s">
        <v>139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4"/>
        <v>23200</v>
      </c>
      <c r="Q474" s="124">
        <f t="shared" si="45"/>
        <v>800</v>
      </c>
      <c r="R474" s="163">
        <f t="shared" si="38"/>
        <v>0.96666666666666667</v>
      </c>
      <c r="S474" s="189">
        <f>(SUM(P473:P476)/(SUM(P473:Q476)))</f>
        <v>0.25920639451898375</v>
      </c>
      <c r="T474" s="81"/>
    </row>
    <row r="475" spans="1:23" s="80" customFormat="1">
      <c r="A475" s="192">
        <v>42912</v>
      </c>
      <c r="B475" s="78"/>
      <c r="C475" s="78"/>
      <c r="D475" s="79" t="s">
        <v>139</v>
      </c>
      <c r="E475" s="80">
        <v>4</v>
      </c>
      <c r="F475" s="87">
        <v>100</v>
      </c>
      <c r="G475" s="87">
        <v>1</v>
      </c>
      <c r="H475" s="233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4"/>
        <v>5546.6666666666661</v>
      </c>
      <c r="Q475" s="124">
        <f t="shared" si="45"/>
        <v>98626.666666666657</v>
      </c>
      <c r="R475" s="163">
        <f t="shared" si="38"/>
        <v>5.3244592346089845E-2</v>
      </c>
      <c r="S475" s="190"/>
      <c r="T475" s="81"/>
    </row>
    <row r="476" spans="1:23" s="80" customFormat="1">
      <c r="A476" s="192">
        <v>42912</v>
      </c>
      <c r="B476" s="78"/>
      <c r="C476" s="78"/>
      <c r="D476" s="79" t="s">
        <v>139</v>
      </c>
      <c r="E476" s="80">
        <v>4</v>
      </c>
      <c r="F476" s="87" t="s">
        <v>208</v>
      </c>
      <c r="G476" s="87">
        <v>1</v>
      </c>
      <c r="H476" s="233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4"/>
        <v>2000</v>
      </c>
      <c r="Q476" s="124">
        <f t="shared" si="45"/>
        <v>0</v>
      </c>
      <c r="R476" s="163">
        <f t="shared" si="38"/>
        <v>1</v>
      </c>
      <c r="S476" s="190"/>
      <c r="T476" s="81"/>
    </row>
    <row r="477" spans="1:23" s="80" customFormat="1">
      <c r="A477" s="192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4"/>
        <v>1850</v>
      </c>
      <c r="Q477" s="124">
        <f t="shared" si="45"/>
        <v>0</v>
      </c>
      <c r="R477" s="163">
        <f t="shared" si="38"/>
        <v>1</v>
      </c>
      <c r="S477" s="191" t="str">
        <f>D477</f>
        <v>K-6 Ambient</v>
      </c>
    </row>
    <row r="478" spans="1:23" s="80" customFormat="1">
      <c r="A478" s="192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4"/>
        <v>27733.333333333336</v>
      </c>
      <c r="Q478" s="124">
        <f t="shared" si="45"/>
        <v>0</v>
      </c>
      <c r="R478" s="163">
        <f t="shared" si="38"/>
        <v>1</v>
      </c>
      <c r="S478" s="189">
        <f>(SUM(P477:P480)/(SUM(P477:Q480)))</f>
        <v>0.74690508940852818</v>
      </c>
    </row>
    <row r="479" spans="1:23" s="80" customFormat="1">
      <c r="A479" s="192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4"/>
        <v>12666.666666666666</v>
      </c>
      <c r="Q479" s="124">
        <f t="shared" si="45"/>
        <v>15333.333333333334</v>
      </c>
      <c r="R479" s="163">
        <f t="shared" si="38"/>
        <v>0.45238095238095238</v>
      </c>
      <c r="S479" s="190"/>
    </row>
    <row r="480" spans="1:23" s="80" customFormat="1">
      <c r="A480" s="192">
        <v>42912</v>
      </c>
      <c r="B480" s="78"/>
      <c r="C480" s="78"/>
      <c r="D480" s="80" t="s">
        <v>38</v>
      </c>
      <c r="E480" s="80">
        <v>5</v>
      </c>
      <c r="F480" s="87" t="s">
        <v>208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4"/>
        <v>3000</v>
      </c>
      <c r="Q480" s="124">
        <f t="shared" si="45"/>
        <v>0</v>
      </c>
      <c r="R480" s="163">
        <f t="shared" si="38"/>
        <v>1</v>
      </c>
      <c r="S480" s="190"/>
    </row>
    <row r="481" spans="1:23" s="80" customFormat="1">
      <c r="A481" s="192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6">(AVERAGE(I481,K481,M481)/G481)*H481</f>
        <v>1560</v>
      </c>
      <c r="Q481" s="124">
        <f t="shared" si="37"/>
        <v>0</v>
      </c>
      <c r="R481" s="163">
        <f t="shared" si="38"/>
        <v>1</v>
      </c>
      <c r="S481" s="191" t="str">
        <f>D481</f>
        <v>SN-6 Ambient</v>
      </c>
      <c r="T481" s="81"/>
      <c r="U481" s="81"/>
      <c r="V481" s="81"/>
    </row>
    <row r="482" spans="1:23" s="80" customFormat="1">
      <c r="A482" s="192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6"/>
        <v>5413.3333333333339</v>
      </c>
      <c r="Q482" s="124">
        <f t="shared" si="37"/>
        <v>0</v>
      </c>
      <c r="R482" s="163">
        <f t="shared" si="38"/>
        <v>1</v>
      </c>
      <c r="S482" s="189">
        <f>(SUM(P481:P484)/(SUM(P481:Q484)))</f>
        <v>0.65389696169088518</v>
      </c>
      <c r="T482" s="81"/>
      <c r="U482" s="81"/>
      <c r="V482" s="81"/>
      <c r="W482" s="80" t="s">
        <v>266</v>
      </c>
    </row>
    <row r="483" spans="1:23" s="80" customFormat="1">
      <c r="A483" s="192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6"/>
        <v>29333.333333333332</v>
      </c>
      <c r="Q483" s="124">
        <f t="shared" si="37"/>
        <v>166.66666666666666</v>
      </c>
      <c r="R483" s="163">
        <f t="shared" si="38"/>
        <v>0.99435028248587565</v>
      </c>
      <c r="S483" s="190"/>
      <c r="T483" s="81"/>
      <c r="U483" s="81"/>
      <c r="V483" s="81"/>
    </row>
    <row r="484" spans="1:23" s="80" customFormat="1">
      <c r="A484" s="192">
        <v>42912</v>
      </c>
      <c r="B484" s="78"/>
      <c r="C484" s="78"/>
      <c r="D484" s="80" t="s">
        <v>87</v>
      </c>
      <c r="E484" s="80">
        <v>5</v>
      </c>
      <c r="F484" s="87" t="s">
        <v>208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6"/>
        <v>6593.3333333333339</v>
      </c>
      <c r="Q484" s="124">
        <f t="shared" ref="Q484:Q547" si="47">(AVERAGE(J484,L484,N484)/G484)*H484</f>
        <v>22540</v>
      </c>
      <c r="R484" s="163">
        <f t="shared" ref="R484:R547" si="48">P484/(P484+Q484)</f>
        <v>0.22631578947368422</v>
      </c>
      <c r="S484" s="190"/>
      <c r="T484" s="81"/>
      <c r="U484" s="81"/>
      <c r="V484" s="81"/>
    </row>
    <row r="485" spans="1:23" s="80" customFormat="1">
      <c r="A485" s="192">
        <v>42912</v>
      </c>
      <c r="B485" s="78"/>
      <c r="C485" s="78"/>
      <c r="D485" s="80" t="s">
        <v>37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6"/>
        <v>125</v>
      </c>
      <c r="Q485" s="124">
        <f t="shared" si="47"/>
        <v>0</v>
      </c>
      <c r="R485" s="163">
        <f t="shared" si="48"/>
        <v>1</v>
      </c>
      <c r="S485" s="191" t="str">
        <f>D485</f>
        <v xml:space="preserve">K-10 Low </v>
      </c>
      <c r="T485" s="81"/>
      <c r="U485" s="81"/>
      <c r="V485" s="81"/>
    </row>
    <row r="486" spans="1:23" s="80" customFormat="1">
      <c r="A486" s="192">
        <v>42912</v>
      </c>
      <c r="B486" s="78"/>
      <c r="C486" s="78"/>
      <c r="D486" s="80" t="s">
        <v>37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7"/>
        <v>0</v>
      </c>
      <c r="R486" s="163">
        <f t="shared" si="48"/>
        <v>1</v>
      </c>
      <c r="S486" s="189">
        <f>(SUM(P485:P488)/(SUM(P485:Q488)))</f>
        <v>0.94153132250580052</v>
      </c>
      <c r="T486" s="81"/>
      <c r="U486" s="81"/>
      <c r="V486" s="81"/>
    </row>
    <row r="487" spans="1:23" s="80" customFormat="1">
      <c r="A487" s="192">
        <v>42912</v>
      </c>
      <c r="B487" s="78"/>
      <c r="C487" s="78"/>
      <c r="D487" s="80" t="s">
        <v>37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9">(AVERAGE(I487,K487,M487)/G487)*H487</f>
        <v>6113.333333333333</v>
      </c>
      <c r="Q487" s="124">
        <f t="shared" si="47"/>
        <v>46.666666666666664</v>
      </c>
      <c r="R487" s="163">
        <f t="shared" si="48"/>
        <v>0.99242424242424232</v>
      </c>
      <c r="S487" s="190"/>
      <c r="T487" s="81"/>
      <c r="U487" s="81"/>
      <c r="V487" s="81"/>
    </row>
    <row r="488" spans="1:23" s="80" customFormat="1">
      <c r="A488" s="192">
        <v>42912</v>
      </c>
      <c r="B488" s="78"/>
      <c r="C488" s="78"/>
      <c r="D488" s="80" t="s">
        <v>37</v>
      </c>
      <c r="E488" s="80">
        <v>6</v>
      </c>
      <c r="F488" s="87" t="s">
        <v>208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9"/>
        <v>233.33333333333334</v>
      </c>
      <c r="Q488" s="124">
        <f t="shared" si="47"/>
        <v>373.33333333333331</v>
      </c>
      <c r="R488" s="163">
        <f t="shared" si="48"/>
        <v>0.38461538461538464</v>
      </c>
      <c r="S488" s="190"/>
      <c r="T488" s="81"/>
      <c r="U488" s="81"/>
      <c r="V488" s="81"/>
    </row>
    <row r="489" spans="1:23" s="80" customFormat="1">
      <c r="A489" s="192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9"/>
        <v>650</v>
      </c>
      <c r="Q489" s="124">
        <f t="shared" si="47"/>
        <v>100</v>
      </c>
      <c r="R489" s="163">
        <f t="shared" si="48"/>
        <v>0.8666666666666667</v>
      </c>
      <c r="S489" s="191" t="str">
        <f>D489</f>
        <v>NF-10 Ambient</v>
      </c>
      <c r="T489" s="81"/>
      <c r="U489" s="81"/>
      <c r="V489" s="81"/>
    </row>
    <row r="490" spans="1:23" s="80" customFormat="1">
      <c r="A490" s="192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9"/>
        <v>2000</v>
      </c>
      <c r="Q490" s="124">
        <f t="shared" si="47"/>
        <v>50</v>
      </c>
      <c r="R490" s="163">
        <f t="shared" si="48"/>
        <v>0.97560975609756095</v>
      </c>
      <c r="S490" s="189">
        <f>(SUM(P489:P492)/(SUM(P489:Q492)))</f>
        <v>0.35630841121495321</v>
      </c>
      <c r="T490" s="81"/>
      <c r="U490" s="81"/>
      <c r="V490" s="81"/>
    </row>
    <row r="491" spans="1:23" s="80" customFormat="1">
      <c r="A491" s="192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9"/>
        <v>6350</v>
      </c>
      <c r="Q491" s="124">
        <f t="shared" si="47"/>
        <v>50</v>
      </c>
      <c r="R491" s="163">
        <f t="shared" si="48"/>
        <v>0.9921875</v>
      </c>
      <c r="S491" s="190"/>
      <c r="T491" s="81"/>
      <c r="U491" s="81"/>
      <c r="V491" s="81"/>
    </row>
    <row r="492" spans="1:23" s="80" customFormat="1">
      <c r="A492" s="192">
        <v>42912</v>
      </c>
      <c r="B492" s="78"/>
      <c r="C492" s="78"/>
      <c r="D492" s="80" t="s">
        <v>84</v>
      </c>
      <c r="E492" s="80">
        <v>6</v>
      </c>
      <c r="F492" s="87" t="s">
        <v>208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9"/>
        <v>1166.6666666666667</v>
      </c>
      <c r="Q492" s="124">
        <f t="shared" si="47"/>
        <v>18166.666666666668</v>
      </c>
      <c r="R492" s="163">
        <f t="shared" si="48"/>
        <v>6.0344827586206892E-2</v>
      </c>
      <c r="S492" s="190"/>
      <c r="T492" s="81"/>
      <c r="U492" s="81"/>
      <c r="V492" s="81"/>
    </row>
    <row r="493" spans="1:23" s="80" customFormat="1">
      <c r="A493" s="192">
        <v>42912</v>
      </c>
      <c r="B493" s="78"/>
      <c r="C493" s="78"/>
      <c r="D493" s="80" t="s">
        <v>138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9"/>
        <v>653.33333333333337</v>
      </c>
      <c r="Q493" s="124">
        <f t="shared" si="47"/>
        <v>0</v>
      </c>
      <c r="R493" s="163">
        <f t="shared" si="48"/>
        <v>1</v>
      </c>
      <c r="S493" s="191" t="str">
        <f>D493</f>
        <v xml:space="preserve">HL-10 Low </v>
      </c>
      <c r="T493" s="81"/>
      <c r="U493" s="81"/>
      <c r="V493" s="81"/>
    </row>
    <row r="494" spans="1:23" s="80" customFormat="1">
      <c r="A494" s="192">
        <v>42912</v>
      </c>
      <c r="B494" s="78"/>
      <c r="C494" s="78"/>
      <c r="D494" s="80" t="s">
        <v>138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9"/>
        <v>7166.666666666667</v>
      </c>
      <c r="Q494" s="124">
        <f t="shared" si="47"/>
        <v>0</v>
      </c>
      <c r="R494" s="163">
        <f t="shared" si="48"/>
        <v>1</v>
      </c>
      <c r="S494" s="189">
        <f>(SUM(P493:P496)/(SUM(P493:Q496)))</f>
        <v>0.56999614346317007</v>
      </c>
      <c r="T494" s="81"/>
      <c r="U494" s="81"/>
      <c r="V494" s="81"/>
    </row>
    <row r="495" spans="1:23" s="80" customFormat="1">
      <c r="A495" s="192">
        <v>42912</v>
      </c>
      <c r="B495" s="78"/>
      <c r="C495" s="78"/>
      <c r="D495" s="80" t="s">
        <v>138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9"/>
        <v>38666.666666666664</v>
      </c>
      <c r="Q495" s="124">
        <f t="shared" si="47"/>
        <v>0</v>
      </c>
      <c r="R495" s="163">
        <f t="shared" si="48"/>
        <v>1</v>
      </c>
      <c r="S495" s="190"/>
      <c r="T495" s="81"/>
      <c r="U495" s="81"/>
      <c r="V495" s="81"/>
    </row>
    <row r="496" spans="1:23" s="80" customFormat="1">
      <c r="A496" s="192">
        <v>42912</v>
      </c>
      <c r="B496" s="78"/>
      <c r="C496" s="78"/>
      <c r="D496" s="80" t="s">
        <v>138</v>
      </c>
      <c r="E496" s="80">
        <v>7</v>
      </c>
      <c r="F496" s="87" t="s">
        <v>208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9"/>
        <v>316.66666666666663</v>
      </c>
      <c r="Q496" s="124">
        <f t="shared" si="47"/>
        <v>35308.333333333328</v>
      </c>
      <c r="R496" s="163">
        <f t="shared" si="48"/>
        <v>8.8888888888888889E-3</v>
      </c>
      <c r="S496" s="190"/>
      <c r="T496" s="81"/>
      <c r="U496" s="81"/>
      <c r="V496" s="81"/>
    </row>
    <row r="497" spans="1:22" s="80" customFormat="1">
      <c r="A497" s="192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9"/>
        <v>600</v>
      </c>
      <c r="Q497" s="124">
        <f t="shared" si="47"/>
        <v>0</v>
      </c>
      <c r="R497" s="163">
        <f t="shared" si="48"/>
        <v>1</v>
      </c>
      <c r="S497" s="191" t="str">
        <f>D497</f>
        <v>K-10 Ambient</v>
      </c>
      <c r="T497" s="81"/>
      <c r="U497" s="81"/>
      <c r="V497" s="81"/>
    </row>
    <row r="498" spans="1:22" s="80" customFormat="1">
      <c r="A498" s="192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9"/>
        <v>4290</v>
      </c>
      <c r="Q498" s="124">
        <f t="shared" si="47"/>
        <v>0</v>
      </c>
      <c r="R498" s="163">
        <f t="shared" si="48"/>
        <v>1</v>
      </c>
      <c r="S498" s="189">
        <f>(SUM(P497:P500)/(SUM(P497:Q500)))</f>
        <v>0.63497594159615067</v>
      </c>
      <c r="T498" s="81"/>
      <c r="U498" s="81"/>
      <c r="V498" s="81"/>
    </row>
    <row r="499" spans="1:22" s="80" customFormat="1">
      <c r="A499" s="192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9"/>
        <v>6800</v>
      </c>
      <c r="Q499" s="124">
        <f t="shared" si="47"/>
        <v>0</v>
      </c>
      <c r="R499" s="163">
        <f t="shared" si="48"/>
        <v>1</v>
      </c>
      <c r="S499" s="190"/>
      <c r="T499" s="81"/>
      <c r="U499" s="81"/>
      <c r="V499" s="81"/>
    </row>
    <row r="500" spans="1:22" s="80" customFormat="1">
      <c r="A500" s="192">
        <v>42912</v>
      </c>
      <c r="B500" s="78"/>
      <c r="C500" s="78"/>
      <c r="D500" s="80" t="s">
        <v>17</v>
      </c>
      <c r="E500" s="80">
        <v>7</v>
      </c>
      <c r="F500" s="87" t="s">
        <v>208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9"/>
        <v>1066.6666666666665</v>
      </c>
      <c r="Q500" s="124">
        <f t="shared" si="47"/>
        <v>7333.333333333333</v>
      </c>
      <c r="R500" s="163">
        <f t="shared" si="48"/>
        <v>0.12698412698412698</v>
      </c>
      <c r="S500" s="190"/>
      <c r="T500" s="81"/>
      <c r="U500" s="81"/>
      <c r="V500" s="81"/>
    </row>
    <row r="501" spans="1:22" s="80" customFormat="1">
      <c r="A501" s="192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9"/>
        <v>2000</v>
      </c>
      <c r="Q501" s="124">
        <f t="shared" si="47"/>
        <v>0</v>
      </c>
      <c r="R501" s="163">
        <f t="shared" si="48"/>
        <v>1</v>
      </c>
      <c r="S501" s="191" t="str">
        <f>D501</f>
        <v>HL-10 Ambient</v>
      </c>
      <c r="T501" s="81"/>
      <c r="U501" s="81"/>
      <c r="V501" s="81"/>
    </row>
    <row r="502" spans="1:22" s="80" customFormat="1">
      <c r="A502" s="192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9"/>
        <v>2400</v>
      </c>
      <c r="Q502" s="124">
        <f t="shared" si="47"/>
        <v>0</v>
      </c>
      <c r="R502" s="163">
        <f t="shared" si="48"/>
        <v>1</v>
      </c>
      <c r="S502" s="189">
        <f>(SUM(P501:P504)/(SUM(P501:Q504)))</f>
        <v>0.60420730008358881</v>
      </c>
      <c r="T502" s="81"/>
    </row>
    <row r="503" spans="1:22" s="80" customFormat="1">
      <c r="A503" s="192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9"/>
        <v>21046.666666666668</v>
      </c>
      <c r="Q503" s="124">
        <f t="shared" si="47"/>
        <v>273.33333333333331</v>
      </c>
      <c r="R503" s="163">
        <f t="shared" si="48"/>
        <v>0.98717948717948723</v>
      </c>
      <c r="S503" s="190"/>
      <c r="T503" s="81"/>
    </row>
    <row r="504" spans="1:22" s="80" customFormat="1">
      <c r="A504" s="192">
        <v>42912</v>
      </c>
      <c r="B504" s="78"/>
      <c r="C504" s="78"/>
      <c r="D504" s="80" t="s">
        <v>88</v>
      </c>
      <c r="E504" s="80">
        <v>8</v>
      </c>
      <c r="F504" s="87" t="s">
        <v>208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9"/>
        <v>3466.6666666666665</v>
      </c>
      <c r="Q504" s="124">
        <f t="shared" si="47"/>
        <v>18666.666666666664</v>
      </c>
      <c r="R504" s="163">
        <f t="shared" si="48"/>
        <v>0.15662650602409639</v>
      </c>
      <c r="S504" s="190"/>
      <c r="T504" s="81"/>
    </row>
    <row r="505" spans="1:22" s="80" customFormat="1">
      <c r="A505" s="192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9"/>
        <v>2000</v>
      </c>
      <c r="Q505" s="124">
        <f t="shared" si="47"/>
        <v>0</v>
      </c>
      <c r="R505" s="163">
        <f t="shared" si="48"/>
        <v>1</v>
      </c>
      <c r="S505" s="191" t="str">
        <f>D505</f>
        <v>K-6 Low</v>
      </c>
      <c r="T505" s="81"/>
    </row>
    <row r="506" spans="1:22" s="80" customFormat="1">
      <c r="A506" s="192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9"/>
        <v>16000</v>
      </c>
      <c r="Q506" s="124">
        <f t="shared" si="47"/>
        <v>0</v>
      </c>
      <c r="R506" s="163">
        <f t="shared" si="48"/>
        <v>1</v>
      </c>
      <c r="S506" s="189">
        <f>(SUM(P505:P508)/(SUM(P505:Q508)))</f>
        <v>0.71180555555555558</v>
      </c>
      <c r="T506" s="81"/>
    </row>
    <row r="507" spans="1:22" s="80" customFormat="1">
      <c r="A507" s="192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9"/>
        <v>1900</v>
      </c>
      <c r="Q507" s="124">
        <f t="shared" si="47"/>
        <v>0</v>
      </c>
      <c r="R507" s="163">
        <f t="shared" si="48"/>
        <v>1</v>
      </c>
      <c r="S507" s="190"/>
      <c r="T507" s="81"/>
    </row>
    <row r="508" spans="1:22" s="159" customFormat="1" ht="16" thickBot="1">
      <c r="A508" s="267">
        <v>42912</v>
      </c>
      <c r="B508" s="158"/>
      <c r="C508" s="158"/>
      <c r="D508" s="241" t="s">
        <v>46</v>
      </c>
      <c r="E508" s="159">
        <v>8</v>
      </c>
      <c r="F508" s="160" t="s">
        <v>208</v>
      </c>
      <c r="G508" s="160">
        <v>1</v>
      </c>
      <c r="H508" s="159">
        <v>300</v>
      </c>
      <c r="I508" s="159">
        <v>1</v>
      </c>
      <c r="J508" s="159">
        <v>21</v>
      </c>
      <c r="K508" s="159">
        <v>2</v>
      </c>
      <c r="L508" s="159">
        <v>29</v>
      </c>
      <c r="M508" s="159">
        <v>3</v>
      </c>
      <c r="N508" s="159">
        <v>33</v>
      </c>
      <c r="P508" s="161">
        <f t="shared" si="49"/>
        <v>600</v>
      </c>
      <c r="Q508" s="161">
        <f t="shared" si="47"/>
        <v>8300</v>
      </c>
      <c r="R508" s="164">
        <f t="shared" si="48"/>
        <v>6.741573033707865E-2</v>
      </c>
      <c r="S508" s="242"/>
    </row>
    <row r="509" spans="1:22" s="246" customFormat="1">
      <c r="A509" s="243">
        <v>42915</v>
      </c>
      <c r="B509" s="244"/>
      <c r="C509" s="244"/>
      <c r="D509" s="277" t="s">
        <v>38</v>
      </c>
      <c r="E509" s="246">
        <v>1</v>
      </c>
      <c r="F509" s="247">
        <v>224</v>
      </c>
      <c r="G509" s="247">
        <v>1</v>
      </c>
      <c r="H509" s="246">
        <v>240</v>
      </c>
      <c r="I509" s="246">
        <v>3</v>
      </c>
      <c r="J509" s="246">
        <v>0</v>
      </c>
      <c r="K509" s="246">
        <v>3</v>
      </c>
      <c r="L509" s="246">
        <v>0</v>
      </c>
      <c r="M509" s="246">
        <v>2</v>
      </c>
      <c r="N509" s="246">
        <v>0</v>
      </c>
      <c r="P509" s="248">
        <f>(AVERAGE(I509,K509,M509)/G509)*H509</f>
        <v>640</v>
      </c>
      <c r="Q509" s="248">
        <f t="shared" si="47"/>
        <v>0</v>
      </c>
      <c r="R509" s="249">
        <f t="shared" si="48"/>
        <v>1</v>
      </c>
      <c r="S509" s="250" t="str">
        <f>D509</f>
        <v>K-6 Ambient</v>
      </c>
      <c r="T509" s="251"/>
      <c r="U509" s="251"/>
      <c r="V509" s="251"/>
    </row>
    <row r="510" spans="1:22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50">(AVERAGE(I510,K510,M510)/G510)*H510</f>
        <v>11500</v>
      </c>
      <c r="Q510" s="120">
        <f t="shared" si="47"/>
        <v>0</v>
      </c>
      <c r="R510" s="106">
        <f t="shared" si="48"/>
        <v>1</v>
      </c>
      <c r="S510" s="183">
        <f>(SUM(P509:P512)/(SUM(P509:Q512)))</f>
        <v>0.94002509410288582</v>
      </c>
      <c r="T510" s="65"/>
      <c r="U510" s="65"/>
      <c r="V510" s="65"/>
    </row>
    <row r="511" spans="1:22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50"/>
        <v>34166.666666666664</v>
      </c>
      <c r="Q511" s="120">
        <f t="shared" si="47"/>
        <v>500</v>
      </c>
      <c r="R511" s="106">
        <f t="shared" si="48"/>
        <v>0.98557692307692313</v>
      </c>
      <c r="S511" s="181"/>
      <c r="T511" s="65"/>
      <c r="U511" s="65"/>
      <c r="V511" s="65"/>
    </row>
    <row r="512" spans="1:22" s="62" customFormat="1">
      <c r="A512" s="134">
        <v>42915</v>
      </c>
      <c r="B512" s="60"/>
      <c r="C512" s="60"/>
      <c r="D512" s="253" t="s">
        <v>38</v>
      </c>
      <c r="E512" s="137">
        <v>1</v>
      </c>
      <c r="F512" s="89" t="s">
        <v>208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50"/>
        <v>3640</v>
      </c>
      <c r="Q512" s="120">
        <f t="shared" si="47"/>
        <v>2686.666666666667</v>
      </c>
      <c r="R512" s="106">
        <f t="shared" si="48"/>
        <v>0.57534246575342463</v>
      </c>
      <c r="S512" s="184"/>
      <c r="T512" s="65"/>
      <c r="U512" s="65"/>
      <c r="V512" s="65"/>
    </row>
    <row r="513" spans="1:23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50"/>
        <v>40</v>
      </c>
      <c r="Q513" s="120">
        <f t="shared" si="47"/>
        <v>0</v>
      </c>
      <c r="R513" s="106">
        <f t="shared" si="48"/>
        <v>1</v>
      </c>
      <c r="S513" s="185" t="str">
        <f>D513</f>
        <v>SN-6 Ambient</v>
      </c>
      <c r="T513" s="65"/>
      <c r="U513" s="65"/>
      <c r="V513" s="65"/>
      <c r="W513" s="62" t="s">
        <v>267</v>
      </c>
    </row>
    <row r="514" spans="1:23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51">(AVERAGE(I518,K518,M518)/G514)*H514</f>
        <v>2380</v>
      </c>
      <c r="Q514" s="120">
        <f t="shared" ref="Q514:Q529" si="52">(AVERAGE(J518,L518,N518)/G514)*H514</f>
        <v>0</v>
      </c>
      <c r="R514" s="106">
        <f t="shared" si="48"/>
        <v>1</v>
      </c>
      <c r="S514" s="183">
        <f>(SUM(P513:P516)/(SUM(P513:Q516)))</f>
        <v>0.77438186813186816</v>
      </c>
      <c r="T514" s="65"/>
      <c r="U514" s="65"/>
      <c r="V514" s="65"/>
    </row>
    <row r="515" spans="1:23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51"/>
        <v>3850</v>
      </c>
      <c r="Q515" s="120">
        <f t="shared" si="52"/>
        <v>1283.3333333333333</v>
      </c>
      <c r="R515" s="106">
        <f t="shared" si="48"/>
        <v>0.75</v>
      </c>
      <c r="S515" s="184"/>
      <c r="T515" s="65"/>
      <c r="U515" s="65"/>
      <c r="V515" s="65"/>
    </row>
    <row r="516" spans="1:23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208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51"/>
        <v>1246.6666666666665</v>
      </c>
      <c r="Q516" s="120">
        <f t="shared" si="52"/>
        <v>906.66666666666663</v>
      </c>
      <c r="R516" s="106">
        <f t="shared" si="48"/>
        <v>0.57894736842105265</v>
      </c>
      <c r="S516" s="184"/>
      <c r="T516" s="65"/>
      <c r="U516" s="65"/>
      <c r="V516" s="65"/>
    </row>
    <row r="517" spans="1:23" s="62" customFormat="1">
      <c r="A517" s="134">
        <v>42915</v>
      </c>
      <c r="B517" s="60"/>
      <c r="C517" s="60"/>
      <c r="D517" s="62" t="s">
        <v>37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51"/>
        <v>135</v>
      </c>
      <c r="Q517" s="120">
        <f t="shared" si="52"/>
        <v>135</v>
      </c>
      <c r="R517" s="106">
        <f t="shared" si="48"/>
        <v>0.5</v>
      </c>
      <c r="S517" s="185" t="str">
        <f>D517</f>
        <v xml:space="preserve">K-10 Low </v>
      </c>
      <c r="T517" s="65"/>
      <c r="U517" s="65"/>
      <c r="V517" s="65"/>
      <c r="W517" s="62" t="s">
        <v>268</v>
      </c>
    </row>
    <row r="518" spans="1:23" s="62" customFormat="1">
      <c r="A518" s="134">
        <v>42915</v>
      </c>
      <c r="B518" s="60"/>
      <c r="C518" s="60"/>
      <c r="D518" s="62" t="s">
        <v>37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51"/>
        <v>833.33333333333337</v>
      </c>
      <c r="Q518" s="120">
        <f t="shared" si="52"/>
        <v>83.333333333333329</v>
      </c>
      <c r="R518" s="106">
        <f t="shared" si="48"/>
        <v>0.90909090909090906</v>
      </c>
      <c r="S518" s="183">
        <f>(SUM(P517:P520)/(SUM(P517:Q520)))</f>
        <v>0.48512790005948836</v>
      </c>
      <c r="T518" s="65"/>
      <c r="U518" s="65"/>
      <c r="V518" s="65"/>
    </row>
    <row r="519" spans="1:23" s="62" customFormat="1">
      <c r="A519" s="134">
        <v>42915</v>
      </c>
      <c r="B519" s="60"/>
      <c r="C519" s="60"/>
      <c r="D519" s="62" t="s">
        <v>37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51"/>
        <v>1583.3333333333333</v>
      </c>
      <c r="Q519" s="120">
        <f t="shared" si="52"/>
        <v>500</v>
      </c>
      <c r="R519" s="106">
        <f t="shared" si="48"/>
        <v>0.76000000000000012</v>
      </c>
      <c r="S519" s="184"/>
      <c r="T519" s="65"/>
      <c r="U519" s="65"/>
      <c r="V519" s="65"/>
    </row>
    <row r="520" spans="1:23" s="62" customFormat="1">
      <c r="A520" s="134">
        <v>42915</v>
      </c>
      <c r="B520" s="60"/>
      <c r="C520" s="60"/>
      <c r="D520" s="62" t="s">
        <v>37</v>
      </c>
      <c r="E520" s="62">
        <v>2</v>
      </c>
      <c r="F520" s="89" t="s">
        <v>208</v>
      </c>
      <c r="G520" s="89">
        <v>1</v>
      </c>
      <c r="H520" s="254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51"/>
        <v>166.66666666666666</v>
      </c>
      <c r="Q520" s="120">
        <f t="shared" si="52"/>
        <v>2166.6666666666665</v>
      </c>
      <c r="R520" s="106">
        <f t="shared" si="48"/>
        <v>7.1428571428571438E-2</v>
      </c>
      <c r="S520" s="184"/>
      <c r="T520" s="65"/>
      <c r="U520" s="65"/>
      <c r="V520" s="65"/>
    </row>
    <row r="521" spans="1:23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54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51"/>
        <v>76.666666666666657</v>
      </c>
      <c r="Q521" s="120">
        <f t="shared" si="52"/>
        <v>0</v>
      </c>
      <c r="R521" s="106">
        <f t="shared" si="48"/>
        <v>1</v>
      </c>
      <c r="S521" s="185" t="str">
        <f>D521</f>
        <v>NF-10 Ambient</v>
      </c>
      <c r="T521" s="65"/>
      <c r="U521" s="65"/>
      <c r="V521" s="65"/>
    </row>
    <row r="522" spans="1:23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54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51"/>
        <v>3576.666666666667</v>
      </c>
      <c r="Q522" s="120">
        <f t="shared" si="52"/>
        <v>0</v>
      </c>
      <c r="R522" s="106">
        <f t="shared" si="48"/>
        <v>1</v>
      </c>
      <c r="S522" s="183">
        <f>(SUM(P521:P524)/(SUM(P521:Q524)))</f>
        <v>0.88413304252998914</v>
      </c>
      <c r="T522" s="65"/>
      <c r="U522" s="65"/>
      <c r="V522" s="65"/>
    </row>
    <row r="523" spans="1:23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54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51"/>
        <v>17883.333333333332</v>
      </c>
      <c r="Q523" s="120">
        <f t="shared" si="52"/>
        <v>0</v>
      </c>
      <c r="R523" s="106">
        <f t="shared" si="48"/>
        <v>1</v>
      </c>
      <c r="S523" s="184"/>
      <c r="T523" s="65"/>
      <c r="U523" s="65"/>
      <c r="V523" s="65"/>
    </row>
    <row r="524" spans="1:23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208</v>
      </c>
      <c r="G524" s="89">
        <v>1</v>
      </c>
      <c r="H524" s="254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51"/>
        <v>83.333333333333329</v>
      </c>
      <c r="Q524" s="120">
        <f t="shared" si="52"/>
        <v>2833.3333333333335</v>
      </c>
      <c r="R524" s="106">
        <f t="shared" si="48"/>
        <v>2.8571428571428567E-2</v>
      </c>
      <c r="S524" s="184"/>
      <c r="T524" s="65"/>
      <c r="U524" s="65"/>
      <c r="V524" s="65"/>
    </row>
    <row r="525" spans="1:23" s="62" customFormat="1">
      <c r="A525" s="134">
        <v>42915</v>
      </c>
      <c r="B525" s="60"/>
      <c r="C525" s="60"/>
      <c r="D525" s="62" t="s">
        <v>138</v>
      </c>
      <c r="E525" s="62">
        <v>3</v>
      </c>
      <c r="F525" s="89">
        <v>224</v>
      </c>
      <c r="G525" s="89">
        <v>1</v>
      </c>
      <c r="H525" s="254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51"/>
        <v>220</v>
      </c>
      <c r="Q525" s="120">
        <f t="shared" si="52"/>
        <v>0</v>
      </c>
      <c r="R525" s="106">
        <f t="shared" si="48"/>
        <v>1</v>
      </c>
      <c r="S525" s="185" t="str">
        <f>D525</f>
        <v xml:space="preserve">HL-10 Low </v>
      </c>
      <c r="T525" s="65"/>
      <c r="U525" s="65"/>
      <c r="V525" s="65"/>
    </row>
    <row r="526" spans="1:23" s="62" customFormat="1">
      <c r="A526" s="134">
        <v>42915</v>
      </c>
      <c r="B526" s="60"/>
      <c r="C526" s="60"/>
      <c r="D526" s="62" t="s">
        <v>138</v>
      </c>
      <c r="E526" s="62">
        <v>3</v>
      </c>
      <c r="F526" s="89">
        <v>180</v>
      </c>
      <c r="G526" s="89">
        <v>1</v>
      </c>
      <c r="H526" s="254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51"/>
        <v>7186.6666666666661</v>
      </c>
      <c r="Q526" s="120">
        <f t="shared" si="52"/>
        <v>0</v>
      </c>
      <c r="R526" s="106">
        <f t="shared" si="48"/>
        <v>1</v>
      </c>
      <c r="S526" s="183">
        <f>(SUM(P525:P528)/(SUM(P525:Q528)))</f>
        <v>0.90558447704685285</v>
      </c>
      <c r="T526" s="65"/>
      <c r="U526" s="65"/>
      <c r="V526" s="65"/>
    </row>
    <row r="527" spans="1:23" s="62" customFormat="1">
      <c r="A527" s="134">
        <v>42915</v>
      </c>
      <c r="B527" s="60"/>
      <c r="C527" s="60"/>
      <c r="D527" s="62" t="s">
        <v>138</v>
      </c>
      <c r="E527" s="62">
        <v>3</v>
      </c>
      <c r="F527" s="89">
        <v>100</v>
      </c>
      <c r="G527" s="89">
        <v>1</v>
      </c>
      <c r="H527" s="254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51"/>
        <v>5120</v>
      </c>
      <c r="Q527" s="120">
        <f t="shared" si="52"/>
        <v>640</v>
      </c>
      <c r="R527" s="106">
        <f t="shared" si="48"/>
        <v>0.88888888888888884</v>
      </c>
      <c r="S527" s="184"/>
      <c r="T527" s="65"/>
      <c r="U527" s="65"/>
      <c r="V527" s="65"/>
    </row>
    <row r="528" spans="1:23" s="62" customFormat="1">
      <c r="A528" s="134">
        <v>42915</v>
      </c>
      <c r="B528" s="60"/>
      <c r="C528" s="60"/>
      <c r="D528" s="62" t="s">
        <v>138</v>
      </c>
      <c r="E528" s="62">
        <v>3</v>
      </c>
      <c r="F528" s="89" t="s">
        <v>208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51"/>
        <v>230</v>
      </c>
      <c r="Q528" s="120">
        <f t="shared" si="52"/>
        <v>690</v>
      </c>
      <c r="R528" s="106">
        <f t="shared" si="48"/>
        <v>0.25</v>
      </c>
      <c r="S528" s="184"/>
      <c r="T528" s="65"/>
      <c r="U528" s="65"/>
      <c r="V528" s="65"/>
    </row>
    <row r="529" spans="1:22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51"/>
        <v>230</v>
      </c>
      <c r="Q529" s="120">
        <f t="shared" si="52"/>
        <v>76.666666666666657</v>
      </c>
      <c r="R529" s="106">
        <f t="shared" si="48"/>
        <v>0.75000000000000011</v>
      </c>
      <c r="S529" s="185" t="str">
        <f>D529</f>
        <v>K-10 Ambient</v>
      </c>
      <c r="T529" s="65"/>
      <c r="U529" s="65"/>
      <c r="V529" s="65"/>
    </row>
    <row r="530" spans="1:22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3">(AVERAGE(I530,K530,M530)/G530)*H530</f>
        <v>4033.333333333333</v>
      </c>
      <c r="Q530" s="120">
        <f t="shared" si="47"/>
        <v>0</v>
      </c>
      <c r="R530" s="106">
        <f t="shared" si="48"/>
        <v>1</v>
      </c>
      <c r="S530" s="183">
        <f>(SUM(P529:P532)/(SUM(P529:Q532)))</f>
        <v>0.84938001458789203</v>
      </c>
      <c r="T530" s="65"/>
    </row>
    <row r="531" spans="1:22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3"/>
        <v>3200</v>
      </c>
      <c r="Q531" s="120">
        <f t="shared" si="47"/>
        <v>400</v>
      </c>
      <c r="R531" s="106">
        <f t="shared" si="48"/>
        <v>0.88888888888888884</v>
      </c>
      <c r="S531" s="184"/>
      <c r="T531" s="65"/>
    </row>
    <row r="532" spans="1:22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208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3"/>
        <v>300</v>
      </c>
      <c r="Q532" s="120">
        <f t="shared" si="47"/>
        <v>900</v>
      </c>
      <c r="R532" s="106">
        <f t="shared" si="48"/>
        <v>0.25</v>
      </c>
      <c r="S532" s="184"/>
      <c r="T532" s="65"/>
    </row>
    <row r="533" spans="1:22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3"/>
        <v>350</v>
      </c>
      <c r="Q533" s="120">
        <f t="shared" si="47"/>
        <v>116.66666666666666</v>
      </c>
      <c r="R533" s="106">
        <f t="shared" si="48"/>
        <v>0.75000000000000011</v>
      </c>
      <c r="S533" s="182" t="str">
        <f>D533</f>
        <v>HL-10 Ambient</v>
      </c>
      <c r="T533" s="65"/>
    </row>
    <row r="534" spans="1:22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3"/>
        <v>3850</v>
      </c>
      <c r="Q534" s="120">
        <f t="shared" si="47"/>
        <v>350</v>
      </c>
      <c r="R534" s="106">
        <f t="shared" si="48"/>
        <v>0.91666666666666663</v>
      </c>
      <c r="S534" s="183">
        <f>(SUM(P533:P536)/(SUM(P533:Q536)))</f>
        <v>0.5</v>
      </c>
      <c r="T534" s="65"/>
    </row>
    <row r="535" spans="1:22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2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3"/>
        <v>7866.666666666667</v>
      </c>
      <c r="Q535" s="120">
        <f t="shared" si="47"/>
        <v>3600</v>
      </c>
      <c r="R535" s="106">
        <f t="shared" si="48"/>
        <v>0.68604651162790697</v>
      </c>
      <c r="S535" s="181"/>
      <c r="T535" s="65"/>
    </row>
    <row r="536" spans="1:22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208</v>
      </c>
      <c r="G536" s="89">
        <v>1</v>
      </c>
      <c r="H536" s="152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7"/>
        <v>8100</v>
      </c>
      <c r="R536" s="106">
        <f t="shared" si="48"/>
        <v>1.2195121951219513E-2</v>
      </c>
      <c r="S536" s="184"/>
      <c r="T536" s="65"/>
    </row>
    <row r="537" spans="1:22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4">(AVERAGE(I537,K537,M537)/G537)*H537</f>
        <v>2000</v>
      </c>
      <c r="Q537" s="120">
        <f t="shared" si="47"/>
        <v>0</v>
      </c>
      <c r="R537" s="106">
        <f t="shared" si="48"/>
        <v>1</v>
      </c>
      <c r="S537" s="185" t="str">
        <f>D537</f>
        <v>K-6 Low</v>
      </c>
      <c r="T537" s="65"/>
    </row>
    <row r="538" spans="1:22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4"/>
        <v>11900</v>
      </c>
      <c r="Q538" s="120">
        <f t="shared" si="47"/>
        <v>116.66666666666666</v>
      </c>
      <c r="R538" s="106">
        <f t="shared" si="48"/>
        <v>0.99029126213592233</v>
      </c>
      <c r="S538" s="183">
        <f>(SUM(P537:P540)/(SUM(P537:Q540)))</f>
        <v>0.91986970684039104</v>
      </c>
      <c r="T538" s="65"/>
    </row>
    <row r="539" spans="1:22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2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4"/>
        <v>7800</v>
      </c>
      <c r="Q539" s="120">
        <f t="shared" si="47"/>
        <v>100</v>
      </c>
      <c r="R539" s="106">
        <f t="shared" si="48"/>
        <v>0.98734177215189878</v>
      </c>
      <c r="S539" s="184"/>
      <c r="T539" s="65"/>
    </row>
    <row r="540" spans="1:22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208</v>
      </c>
      <c r="G540" s="89">
        <v>1</v>
      </c>
      <c r="H540" s="152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4"/>
        <v>1833.3333333333333</v>
      </c>
      <c r="Q540" s="120">
        <f t="shared" si="47"/>
        <v>1833.3333333333333</v>
      </c>
      <c r="R540" s="106">
        <f t="shared" si="48"/>
        <v>0.5</v>
      </c>
      <c r="S540" s="184"/>
      <c r="T540" s="65"/>
    </row>
    <row r="541" spans="1:22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4"/>
        <v>0</v>
      </c>
      <c r="Q541" s="120">
        <f t="shared" si="47"/>
        <v>0</v>
      </c>
      <c r="R541" s="106" t="e">
        <f t="shared" si="48"/>
        <v>#DIV/0!</v>
      </c>
      <c r="S541" s="185" t="str">
        <f>D541</f>
        <v>SN-10 Ambient</v>
      </c>
    </row>
    <row r="542" spans="1:22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4"/>
        <v>816.66666666666674</v>
      </c>
      <c r="Q542" s="120">
        <f t="shared" si="47"/>
        <v>0</v>
      </c>
      <c r="R542" s="106">
        <f t="shared" si="48"/>
        <v>1</v>
      </c>
      <c r="S542" s="183">
        <f>(SUM(P541:P544)/(SUM(P541:Q544)))</f>
        <v>0.64391353811149032</v>
      </c>
    </row>
    <row r="543" spans="1:22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4"/>
        <v>780</v>
      </c>
      <c r="Q543" s="120">
        <f t="shared" si="47"/>
        <v>173.33333333333331</v>
      </c>
      <c r="R543" s="106">
        <f t="shared" si="48"/>
        <v>0.81818181818181823</v>
      </c>
      <c r="S543" s="184"/>
    </row>
    <row r="544" spans="1:22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208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4"/>
        <v>290</v>
      </c>
      <c r="Q544" s="120">
        <f t="shared" si="47"/>
        <v>870</v>
      </c>
      <c r="R544" s="106">
        <f t="shared" si="48"/>
        <v>0.25</v>
      </c>
      <c r="S544" s="184"/>
    </row>
    <row r="545" spans="1:22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4"/>
        <v>41.666666666666664</v>
      </c>
      <c r="Q545" s="120">
        <f t="shared" si="47"/>
        <v>0</v>
      </c>
      <c r="R545" s="106">
        <f t="shared" si="48"/>
        <v>1</v>
      </c>
      <c r="S545" s="185" t="str">
        <f>D545</f>
        <v>SN-6 Low</v>
      </c>
      <c r="T545" s="65"/>
      <c r="U545" s="65"/>
      <c r="V545" s="65"/>
    </row>
    <row r="546" spans="1:22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4"/>
        <v>1740</v>
      </c>
      <c r="Q546" s="120">
        <f t="shared" si="47"/>
        <v>0</v>
      </c>
      <c r="R546" s="106">
        <f t="shared" si="48"/>
        <v>1</v>
      </c>
      <c r="S546" s="183">
        <f>(SUM(P545:P548)/(SUM(P545:Q548)))</f>
        <v>0.67752856538298778</v>
      </c>
      <c r="T546" s="65"/>
      <c r="U546" s="65"/>
      <c r="V546" s="65"/>
    </row>
    <row r="547" spans="1:22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4"/>
        <v>500</v>
      </c>
      <c r="Q547" s="120">
        <f t="shared" si="47"/>
        <v>400</v>
      </c>
      <c r="R547" s="106">
        <f t="shared" si="48"/>
        <v>0.55555555555555558</v>
      </c>
      <c r="S547" s="184"/>
      <c r="T547" s="65"/>
      <c r="U547" s="65"/>
      <c r="V547" s="65"/>
    </row>
    <row r="548" spans="1:22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208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4"/>
        <v>386.66666666666663</v>
      </c>
      <c r="Q548" s="120">
        <f t="shared" ref="Q548:Q596" si="55">(AVERAGE(J548,L548,N548)/G548)*H548</f>
        <v>870</v>
      </c>
      <c r="R548" s="106">
        <f t="shared" ref="R548:R611" si="56">P548/(P548+Q548)</f>
        <v>0.30769230769230771</v>
      </c>
      <c r="S548" s="184"/>
      <c r="T548" s="65"/>
      <c r="U548" s="65"/>
      <c r="V548" s="65"/>
    </row>
    <row r="549" spans="1:22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4"/>
        <v>350</v>
      </c>
      <c r="Q549" s="120">
        <f t="shared" si="55"/>
        <v>50</v>
      </c>
      <c r="R549" s="106">
        <f t="shared" si="56"/>
        <v>0.875</v>
      </c>
      <c r="S549" s="185" t="str">
        <f>D549</f>
        <v>NF-6 Ambient</v>
      </c>
      <c r="T549" s="65"/>
      <c r="U549" s="65"/>
      <c r="V549" s="65"/>
    </row>
    <row r="550" spans="1:22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5"/>
        <v>0</v>
      </c>
      <c r="R550" s="106">
        <f t="shared" si="56"/>
        <v>1</v>
      </c>
      <c r="S550" s="183">
        <f>(SUM(P549:P552)/(SUM(P549:Q552)))</f>
        <v>0.70754716981132071</v>
      </c>
      <c r="T550" s="65"/>
      <c r="U550" s="65"/>
      <c r="V550" s="65"/>
    </row>
    <row r="551" spans="1:22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7">(AVERAGE(I551,K551,M551)/G551)*H551</f>
        <v>48.333333333333329</v>
      </c>
      <c r="Q551" s="120">
        <f t="shared" si="55"/>
        <v>0</v>
      </c>
      <c r="R551" s="106">
        <f t="shared" si="56"/>
        <v>1</v>
      </c>
      <c r="S551" s="184"/>
      <c r="T551" s="65"/>
      <c r="U551" s="65"/>
      <c r="V551" s="65"/>
    </row>
    <row r="552" spans="1:22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208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7"/>
        <v>110</v>
      </c>
      <c r="Q552" s="120">
        <f t="shared" si="55"/>
        <v>880</v>
      </c>
      <c r="R552" s="106">
        <f t="shared" si="56"/>
        <v>0.1111111111111111</v>
      </c>
      <c r="S552" s="184"/>
      <c r="T552" s="65"/>
      <c r="U552" s="65"/>
      <c r="V552" s="65"/>
    </row>
    <row r="553" spans="1:22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7"/>
        <v>1100</v>
      </c>
      <c r="Q553" s="120">
        <f t="shared" si="55"/>
        <v>0</v>
      </c>
      <c r="R553" s="106">
        <f t="shared" si="56"/>
        <v>1</v>
      </c>
      <c r="S553" s="185" t="str">
        <f>D553</f>
        <v>NF-6 Low</v>
      </c>
      <c r="T553" s="65"/>
      <c r="U553" s="65"/>
      <c r="V553" s="65"/>
    </row>
    <row r="554" spans="1:22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7"/>
        <v>15166.666666666666</v>
      </c>
      <c r="Q554" s="120">
        <f t="shared" si="55"/>
        <v>166.66666666666666</v>
      </c>
      <c r="R554" s="106">
        <f t="shared" si="56"/>
        <v>0.98913043478260876</v>
      </c>
      <c r="S554" s="183">
        <f>(SUM(P553:P556)/(SUM(P553:Q556)))</f>
        <v>0.84577551378886362</v>
      </c>
      <c r="T554" s="65"/>
      <c r="U554" s="65"/>
      <c r="V554" s="65"/>
    </row>
    <row r="555" spans="1:22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7"/>
        <v>15833.333333333334</v>
      </c>
      <c r="Q555" s="120">
        <f t="shared" si="55"/>
        <v>2166.6666666666665</v>
      </c>
      <c r="R555" s="106">
        <f t="shared" si="56"/>
        <v>0.87962962962962965</v>
      </c>
      <c r="S555" s="184"/>
      <c r="T555" s="65"/>
      <c r="U555" s="65"/>
      <c r="V555" s="65"/>
    </row>
    <row r="556" spans="1:22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208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7"/>
        <v>0</v>
      </c>
      <c r="Q556" s="120">
        <f t="shared" si="55"/>
        <v>3520</v>
      </c>
      <c r="R556" s="106">
        <f t="shared" si="56"/>
        <v>0</v>
      </c>
      <c r="S556" s="184"/>
      <c r="T556" s="65"/>
      <c r="U556" s="65"/>
      <c r="V556" s="65"/>
    </row>
    <row r="557" spans="1:22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7"/>
        <v>0</v>
      </c>
      <c r="Q557" s="120">
        <f t="shared" si="55"/>
        <v>0</v>
      </c>
      <c r="R557" s="106" t="e">
        <f t="shared" si="56"/>
        <v>#DIV/0!</v>
      </c>
      <c r="S557" s="185" t="str">
        <f>D557</f>
        <v>HL-6 Ambient</v>
      </c>
      <c r="T557" s="65"/>
      <c r="U557" s="65"/>
      <c r="V557" s="65"/>
    </row>
    <row r="558" spans="1:22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7"/>
        <v>8500</v>
      </c>
      <c r="Q558" s="120">
        <f t="shared" si="55"/>
        <v>0</v>
      </c>
      <c r="R558" s="106">
        <f t="shared" si="56"/>
        <v>1</v>
      </c>
      <c r="S558" s="183">
        <f>(SUM(P557:P560)/(SUM(P557:Q560)))</f>
        <v>0.79997210210629099</v>
      </c>
      <c r="T558" s="65"/>
      <c r="U558" s="65"/>
      <c r="V558" s="65"/>
    </row>
    <row r="559" spans="1:22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7"/>
        <v>10616.666666666668</v>
      </c>
      <c r="Q559" s="120">
        <f t="shared" si="55"/>
        <v>980</v>
      </c>
      <c r="R559" s="106">
        <f t="shared" si="56"/>
        <v>0.91549295774647887</v>
      </c>
      <c r="S559" s="184"/>
      <c r="T559" s="65"/>
      <c r="U559" s="65"/>
      <c r="V559" s="65"/>
    </row>
    <row r="560" spans="1:22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208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7"/>
        <v>0</v>
      </c>
      <c r="Q560" s="120">
        <f t="shared" si="55"/>
        <v>3800</v>
      </c>
      <c r="R560" s="106">
        <f t="shared" si="56"/>
        <v>0</v>
      </c>
      <c r="S560" s="184"/>
      <c r="T560" s="65"/>
      <c r="U560" s="65"/>
      <c r="V560" s="65"/>
    </row>
    <row r="561" spans="1:22" s="62" customFormat="1">
      <c r="A561" s="134">
        <v>42915</v>
      </c>
      <c r="B561" s="60"/>
      <c r="C561" s="60"/>
      <c r="D561" s="62" t="s">
        <v>76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7"/>
        <v>0</v>
      </c>
      <c r="Q561" s="120">
        <f t="shared" si="55"/>
        <v>0</v>
      </c>
      <c r="R561" s="106" t="e">
        <f t="shared" si="56"/>
        <v>#DIV/0!</v>
      </c>
      <c r="S561" s="185" t="str">
        <f>D561</f>
        <v xml:space="preserve">NF-10 Low </v>
      </c>
      <c r="T561" s="65"/>
      <c r="U561" s="65"/>
      <c r="V561" s="65"/>
    </row>
    <row r="562" spans="1:22" s="62" customFormat="1">
      <c r="A562" s="134">
        <v>42915</v>
      </c>
      <c r="B562" s="60"/>
      <c r="C562" s="60"/>
      <c r="D562" s="62" t="s">
        <v>76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7"/>
        <v>41.666666666666664</v>
      </c>
      <c r="Q562" s="120">
        <f t="shared" si="55"/>
        <v>0</v>
      </c>
      <c r="R562" s="106">
        <f t="shared" si="56"/>
        <v>1</v>
      </c>
      <c r="S562" s="183">
        <f>(SUM(P561:P564)/(SUM(P561:Q564)))</f>
        <v>0.50259067357512954</v>
      </c>
      <c r="T562" s="65"/>
      <c r="U562" s="65"/>
      <c r="V562" s="65"/>
    </row>
    <row r="563" spans="1:22" s="62" customFormat="1">
      <c r="A563" s="134">
        <v>42915</v>
      </c>
      <c r="B563" s="60"/>
      <c r="C563" s="60"/>
      <c r="D563" s="62" t="s">
        <v>76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7"/>
        <v>40</v>
      </c>
      <c r="Q563" s="120">
        <f t="shared" si="55"/>
        <v>0</v>
      </c>
      <c r="R563" s="106">
        <f t="shared" si="56"/>
        <v>1</v>
      </c>
      <c r="S563" s="184"/>
      <c r="T563" s="65"/>
      <c r="U563" s="65"/>
      <c r="V563" s="65"/>
    </row>
    <row r="564" spans="1:22" s="62" customFormat="1">
      <c r="A564" s="134">
        <v>42915</v>
      </c>
      <c r="B564" s="60"/>
      <c r="C564" s="60"/>
      <c r="D564" s="62" t="s">
        <v>76</v>
      </c>
      <c r="E564" s="62">
        <v>7</v>
      </c>
      <c r="F564" s="89" t="s">
        <v>208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7"/>
        <v>80</v>
      </c>
      <c r="Q564" s="120">
        <f t="shared" si="55"/>
        <v>160</v>
      </c>
      <c r="R564" s="106">
        <f t="shared" si="56"/>
        <v>0.33333333333333331</v>
      </c>
      <c r="S564" s="184"/>
      <c r="T564" s="65"/>
      <c r="U564" s="65"/>
      <c r="V564" s="65"/>
    </row>
    <row r="565" spans="1:22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7"/>
        <v>250</v>
      </c>
      <c r="Q565" s="120">
        <f t="shared" si="55"/>
        <v>0</v>
      </c>
      <c r="R565" s="106">
        <f t="shared" si="56"/>
        <v>1</v>
      </c>
      <c r="S565" s="185" t="str">
        <f>D565</f>
        <v>HL-6 Low</v>
      </c>
      <c r="T565" s="65"/>
      <c r="U565" s="65"/>
      <c r="V565" s="65"/>
    </row>
    <row r="566" spans="1:22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7"/>
        <v>5333.3333333333339</v>
      </c>
      <c r="Q566" s="120">
        <f t="shared" si="55"/>
        <v>0</v>
      </c>
      <c r="R566" s="106">
        <f t="shared" si="56"/>
        <v>1</v>
      </c>
      <c r="S566" s="183">
        <f>(SUM(P565:P568)/(SUM(P565:Q568)))</f>
        <v>0.84824533670565916</v>
      </c>
      <c r="T566" s="65"/>
    </row>
    <row r="567" spans="1:22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7"/>
        <v>38833.333333333336</v>
      </c>
      <c r="Q567" s="120">
        <f t="shared" si="55"/>
        <v>3000</v>
      </c>
      <c r="R567" s="106">
        <f t="shared" si="56"/>
        <v>0.92828685258964139</v>
      </c>
      <c r="S567" s="184"/>
      <c r="T567" s="65"/>
    </row>
    <row r="568" spans="1:22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208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7"/>
        <v>300</v>
      </c>
      <c r="Q568" s="120">
        <f t="shared" si="55"/>
        <v>5000</v>
      </c>
      <c r="R568" s="106">
        <f t="shared" si="56"/>
        <v>5.6603773584905662E-2</v>
      </c>
      <c r="S568" s="184"/>
      <c r="T568" s="65"/>
    </row>
    <row r="569" spans="1:22" s="62" customFormat="1">
      <c r="A569" s="134">
        <v>42915</v>
      </c>
      <c r="B569" s="60"/>
      <c r="C569" s="60"/>
      <c r="D569" s="61" t="s">
        <v>139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7"/>
        <v>112.5</v>
      </c>
      <c r="Q569" s="120">
        <f t="shared" si="55"/>
        <v>37.5</v>
      </c>
      <c r="R569" s="106">
        <f t="shared" si="56"/>
        <v>0.75</v>
      </c>
      <c r="S569" s="185" t="str">
        <f>D569</f>
        <v xml:space="preserve">SN-10 Low </v>
      </c>
      <c r="T569" s="65"/>
    </row>
    <row r="570" spans="1:22" s="62" customFormat="1">
      <c r="A570" s="134">
        <v>42915</v>
      </c>
      <c r="B570" s="60"/>
      <c r="C570" s="60"/>
      <c r="D570" s="61" t="s">
        <v>139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7"/>
        <v>8000.0000000000009</v>
      </c>
      <c r="Q570" s="120">
        <f t="shared" si="55"/>
        <v>1920</v>
      </c>
      <c r="R570" s="106">
        <f t="shared" si="56"/>
        <v>0.80645161290322587</v>
      </c>
      <c r="S570" s="183">
        <f>(SUM(P569:P572)/(SUM(P569:Q572)))</f>
        <v>0.59149988497814587</v>
      </c>
      <c r="T570" s="65"/>
    </row>
    <row r="571" spans="1:22" s="62" customFormat="1">
      <c r="A571" s="134">
        <v>42915</v>
      </c>
      <c r="B571" s="60"/>
      <c r="C571" s="60"/>
      <c r="D571" s="61" t="s">
        <v>139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7"/>
        <v>17300</v>
      </c>
      <c r="Q571" s="120">
        <f t="shared" si="55"/>
        <v>5400</v>
      </c>
      <c r="R571" s="106">
        <f t="shared" si="56"/>
        <v>0.76211453744493396</v>
      </c>
      <c r="S571" s="184"/>
      <c r="T571" s="65"/>
    </row>
    <row r="572" spans="1:22" s="69" customFormat="1" ht="16" thickBot="1">
      <c r="A572" s="66">
        <v>42915</v>
      </c>
      <c r="B572" s="67"/>
      <c r="C572" s="67"/>
      <c r="D572" s="68" t="s">
        <v>139</v>
      </c>
      <c r="E572" s="69">
        <v>8</v>
      </c>
      <c r="F572" s="150" t="s">
        <v>208</v>
      </c>
      <c r="G572" s="150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51">
        <f t="shared" si="57"/>
        <v>300</v>
      </c>
      <c r="Q572" s="151">
        <f t="shared" si="55"/>
        <v>10400</v>
      </c>
      <c r="R572" s="167">
        <f t="shared" si="56"/>
        <v>2.8037383177570093E-2</v>
      </c>
      <c r="S572" s="198"/>
    </row>
    <row r="573" spans="1:22" s="269" customFormat="1">
      <c r="A573" s="267">
        <v>42919</v>
      </c>
      <c r="B573" s="268"/>
      <c r="C573" s="268"/>
      <c r="D573" s="148" t="s">
        <v>139</v>
      </c>
      <c r="E573" s="147">
        <v>1</v>
      </c>
      <c r="F573" s="270">
        <v>224</v>
      </c>
      <c r="G573" s="270">
        <v>3</v>
      </c>
      <c r="H573" s="269">
        <v>230</v>
      </c>
      <c r="I573" s="269">
        <v>1</v>
      </c>
      <c r="J573" s="269">
        <v>0</v>
      </c>
      <c r="K573" s="269">
        <v>0</v>
      </c>
      <c r="L573" s="269">
        <v>0</v>
      </c>
      <c r="M573" s="269">
        <v>1</v>
      </c>
      <c r="N573" s="269">
        <v>0</v>
      </c>
      <c r="P573" s="271">
        <f>(AVERAGE(I573,K573,M573)/G573)*H573</f>
        <v>51.111111111111107</v>
      </c>
      <c r="Q573" s="271">
        <f t="shared" si="55"/>
        <v>0</v>
      </c>
      <c r="R573" s="272">
        <f t="shared" si="56"/>
        <v>1</v>
      </c>
      <c r="S573" s="273" t="str">
        <f>D573</f>
        <v xml:space="preserve">SN-10 Low </v>
      </c>
      <c r="T573" s="274"/>
      <c r="U573" s="274"/>
      <c r="V573" s="274"/>
    </row>
    <row r="574" spans="1:22" s="80" customFormat="1">
      <c r="A574" s="77">
        <v>42919</v>
      </c>
      <c r="B574" s="78"/>
      <c r="C574" s="78"/>
      <c r="D574" s="79" t="s">
        <v>139</v>
      </c>
      <c r="E574" s="147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8">(AVERAGE(I574,K574,M574)/G574)*H574</f>
        <v>3033.333333333333</v>
      </c>
      <c r="Q574" s="124">
        <f t="shared" si="55"/>
        <v>1333.3333333333335</v>
      </c>
      <c r="R574" s="163">
        <f t="shared" si="56"/>
        <v>0.69465648854961837</v>
      </c>
      <c r="S574" s="187">
        <f>(SUM(P573:P576)/(SUM(P573:Q576)))</f>
        <v>0.14384123339347218</v>
      </c>
      <c r="T574" s="81"/>
      <c r="U574" s="81"/>
      <c r="V574" s="81"/>
    </row>
    <row r="575" spans="1:22" s="159" customFormat="1">
      <c r="A575" s="157">
        <v>42919</v>
      </c>
      <c r="B575" s="158"/>
      <c r="C575" s="158"/>
      <c r="D575" s="79" t="s">
        <v>139</v>
      </c>
      <c r="E575" s="147">
        <v>1</v>
      </c>
      <c r="F575" s="160">
        <v>100</v>
      </c>
      <c r="G575" s="160">
        <v>3</v>
      </c>
      <c r="H575" s="159">
        <v>300</v>
      </c>
      <c r="I575" s="159">
        <v>13</v>
      </c>
      <c r="J575" s="159">
        <v>19</v>
      </c>
      <c r="K575" s="159">
        <v>14</v>
      </c>
      <c r="L575" s="159">
        <v>24</v>
      </c>
      <c r="M575" s="159">
        <v>10</v>
      </c>
      <c r="N575" s="159">
        <v>19</v>
      </c>
      <c r="P575" s="161">
        <f t="shared" ref="P575:P580" si="59">(AVERAGE(I576,K576,M576)/G575)*H575</f>
        <v>66.666666666666657</v>
      </c>
      <c r="Q575" s="161">
        <f t="shared" ref="Q575:Q580" si="60">(AVERAGE(J576,L576,N576)/G575)*H575</f>
        <v>21866.666666666664</v>
      </c>
      <c r="R575" s="164">
        <f t="shared" si="56"/>
        <v>3.0395136778115497E-3</v>
      </c>
      <c r="S575" s="189"/>
      <c r="T575" s="275"/>
      <c r="U575" s="275"/>
      <c r="V575" s="275"/>
    </row>
    <row r="576" spans="1:22" s="80" customFormat="1">
      <c r="A576" s="77">
        <v>42919</v>
      </c>
      <c r="B576" s="78"/>
      <c r="C576" s="78"/>
      <c r="D576" s="79" t="s">
        <v>139</v>
      </c>
      <c r="E576" s="147">
        <v>1</v>
      </c>
      <c r="F576" s="87" t="s">
        <v>208</v>
      </c>
      <c r="G576" s="87">
        <v>2</v>
      </c>
      <c r="H576" s="80">
        <v>280</v>
      </c>
      <c r="I576" s="159">
        <v>2</v>
      </c>
      <c r="J576" s="159">
        <v>215</v>
      </c>
      <c r="K576" s="159">
        <v>0</v>
      </c>
      <c r="L576" s="159">
        <v>212</v>
      </c>
      <c r="M576" s="159">
        <v>0</v>
      </c>
      <c r="N576" s="159">
        <v>229</v>
      </c>
      <c r="P576" s="124">
        <f t="shared" si="59"/>
        <v>746.66666666666663</v>
      </c>
      <c r="Q576" s="124">
        <f t="shared" si="60"/>
        <v>0</v>
      </c>
      <c r="R576" s="163">
        <f t="shared" si="56"/>
        <v>1</v>
      </c>
      <c r="S576" s="190"/>
      <c r="T576" s="81"/>
      <c r="U576" s="81"/>
      <c r="V576" s="81"/>
    </row>
    <row r="577" spans="1:23" s="80" customFormat="1">
      <c r="A577" s="192">
        <v>42919</v>
      </c>
      <c r="B577" s="78"/>
      <c r="C577" s="78"/>
      <c r="D577" s="80" t="s">
        <v>21</v>
      </c>
      <c r="E577" s="147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9"/>
        <v>6290</v>
      </c>
      <c r="Q577" s="124">
        <f t="shared" si="60"/>
        <v>226.66666666666666</v>
      </c>
      <c r="R577" s="163">
        <f t="shared" si="56"/>
        <v>0.9652173913043478</v>
      </c>
      <c r="S577" s="191" t="str">
        <f>D577</f>
        <v>HL-6 Low</v>
      </c>
      <c r="T577" s="81"/>
      <c r="U577" s="81"/>
      <c r="V577" s="81"/>
    </row>
    <row r="578" spans="1:23" s="80" customFormat="1">
      <c r="A578" s="192">
        <v>42919</v>
      </c>
      <c r="B578" s="78"/>
      <c r="C578" s="78"/>
      <c r="D578" s="80" t="s">
        <v>21</v>
      </c>
      <c r="E578" s="147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9"/>
        <v>14506.666666666666</v>
      </c>
      <c r="Q578" s="124">
        <f t="shared" si="60"/>
        <v>3173.3333333333335</v>
      </c>
      <c r="R578" s="163">
        <f t="shared" si="56"/>
        <v>0.82051282051282048</v>
      </c>
      <c r="S578" s="189">
        <f>(SUM(P577:P580)/(SUM(P577:Q580)))</f>
        <v>0.50943691753465414</v>
      </c>
      <c r="T578" s="81"/>
      <c r="U578" s="81"/>
      <c r="V578" s="81"/>
    </row>
    <row r="579" spans="1:23" s="80" customFormat="1">
      <c r="A579" s="192">
        <v>42919</v>
      </c>
      <c r="B579" s="78"/>
      <c r="C579" s="78"/>
      <c r="D579" s="80" t="s">
        <v>21</v>
      </c>
      <c r="E579" s="147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9"/>
        <v>153.33333333333331</v>
      </c>
      <c r="Q579" s="124">
        <f t="shared" si="60"/>
        <v>17480</v>
      </c>
      <c r="R579" s="163">
        <f t="shared" si="56"/>
        <v>8.6956521739130436E-3</v>
      </c>
      <c r="S579" s="190"/>
      <c r="T579" s="81"/>
      <c r="U579" s="81"/>
      <c r="V579" s="81"/>
    </row>
    <row r="580" spans="1:23" s="80" customFormat="1">
      <c r="A580" s="192">
        <v>42919</v>
      </c>
      <c r="B580" s="78"/>
      <c r="C580" s="78"/>
      <c r="D580" s="80" t="s">
        <v>21</v>
      </c>
      <c r="E580" s="147">
        <v>1</v>
      </c>
      <c r="F580" s="87" t="s">
        <v>208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9"/>
        <v>733.33333333333326</v>
      </c>
      <c r="Q580" s="124">
        <f t="shared" si="60"/>
        <v>0</v>
      </c>
      <c r="R580" s="163">
        <f t="shared" si="56"/>
        <v>1</v>
      </c>
      <c r="S580" s="190"/>
      <c r="T580" s="81"/>
      <c r="U580" s="81"/>
      <c r="V580" s="81"/>
    </row>
    <row r="581" spans="1:23" s="80" customFormat="1">
      <c r="A581" s="192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8"/>
        <v>333.33333333333331</v>
      </c>
      <c r="Q581" s="124">
        <f t="shared" si="55"/>
        <v>0</v>
      </c>
      <c r="R581" s="163">
        <f t="shared" si="56"/>
        <v>1</v>
      </c>
      <c r="S581" s="191" t="str">
        <f>D581</f>
        <v>HL-6 Ambient</v>
      </c>
      <c r="T581" s="81"/>
      <c r="U581" s="81"/>
      <c r="V581" s="81"/>
    </row>
    <row r="582" spans="1:23" s="80" customFormat="1">
      <c r="A582" s="192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34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8"/>
        <v>3333.3333333333335</v>
      </c>
      <c r="Q582" s="124">
        <f t="shared" si="55"/>
        <v>400</v>
      </c>
      <c r="R582" s="163">
        <f t="shared" si="56"/>
        <v>0.8928571428571429</v>
      </c>
      <c r="S582" s="189">
        <f>(SUM(P581:P584)/(SUM(P581:Q584)))</f>
        <v>0.47091412742382271</v>
      </c>
      <c r="T582" s="81"/>
      <c r="U582" s="81"/>
      <c r="V582" s="81"/>
    </row>
    <row r="583" spans="1:23" s="80" customFormat="1">
      <c r="A583" s="192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34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8"/>
        <v>2000</v>
      </c>
      <c r="Q583" s="124">
        <f t="shared" si="55"/>
        <v>1300</v>
      </c>
      <c r="R583" s="163">
        <f t="shared" si="56"/>
        <v>0.60606060606060608</v>
      </c>
      <c r="S583" s="190"/>
      <c r="T583" s="81"/>
      <c r="U583" s="81"/>
      <c r="V583" s="81"/>
    </row>
    <row r="584" spans="1:23" s="80" customFormat="1">
      <c r="A584" s="192">
        <v>42919</v>
      </c>
      <c r="B584" s="78"/>
      <c r="C584" s="78"/>
      <c r="D584" s="80" t="s">
        <v>119</v>
      </c>
      <c r="E584" s="80">
        <v>2</v>
      </c>
      <c r="F584" s="87" t="s">
        <v>208</v>
      </c>
      <c r="G584" s="87">
        <v>1</v>
      </c>
      <c r="H584" s="234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5"/>
        <v>4666.666666666667</v>
      </c>
      <c r="R584" s="163">
        <f t="shared" si="56"/>
        <v>0</v>
      </c>
      <c r="S584" s="190"/>
      <c r="T584" s="81"/>
      <c r="U584" s="81"/>
      <c r="V584" s="81"/>
    </row>
    <row r="585" spans="1:23" s="80" customFormat="1">
      <c r="A585" s="192">
        <v>42919</v>
      </c>
      <c r="B585" s="78"/>
      <c r="C585" s="78"/>
      <c r="D585" s="79" t="s">
        <v>76</v>
      </c>
      <c r="E585" s="80">
        <v>2</v>
      </c>
      <c r="F585" s="87">
        <v>224</v>
      </c>
      <c r="G585" s="87">
        <v>3</v>
      </c>
      <c r="H585" s="234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5"/>
        <v>0</v>
      </c>
      <c r="R585" s="163">
        <f t="shared" si="56"/>
        <v>1</v>
      </c>
      <c r="S585" s="191" t="str">
        <f>D585</f>
        <v xml:space="preserve">NF-10 Low </v>
      </c>
      <c r="T585" s="81"/>
      <c r="U585" s="81"/>
      <c r="V585" s="81"/>
      <c r="W585" s="80" t="s">
        <v>313</v>
      </c>
    </row>
    <row r="586" spans="1:23" s="80" customFormat="1">
      <c r="A586" s="192">
        <v>42919</v>
      </c>
      <c r="B586" s="78"/>
      <c r="C586" s="78"/>
      <c r="D586" s="79" t="s">
        <v>76</v>
      </c>
      <c r="E586" s="80">
        <v>2</v>
      </c>
      <c r="F586" s="87">
        <v>180</v>
      </c>
      <c r="G586" s="87">
        <v>3</v>
      </c>
      <c r="H586" s="234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61">(AVERAGE(I586,K586,M586)/G586)*H586</f>
        <v>62.222222222222221</v>
      </c>
      <c r="Q586" s="124">
        <f t="shared" si="55"/>
        <v>0</v>
      </c>
      <c r="R586" s="163">
        <f t="shared" si="56"/>
        <v>1</v>
      </c>
      <c r="S586" s="189">
        <f>(SUM(P585:P588)/(SUM(P585:Q588)))</f>
        <v>0.78533094812164572</v>
      </c>
      <c r="T586" s="81"/>
      <c r="U586" s="81"/>
      <c r="V586" s="81"/>
    </row>
    <row r="587" spans="1:23" s="80" customFormat="1">
      <c r="A587" s="192">
        <v>42919</v>
      </c>
      <c r="B587" s="78"/>
      <c r="C587" s="78"/>
      <c r="D587" s="79" t="s">
        <v>76</v>
      </c>
      <c r="E587" s="80">
        <v>2</v>
      </c>
      <c r="F587" s="87">
        <v>100</v>
      </c>
      <c r="G587" s="87">
        <v>3</v>
      </c>
      <c r="H587" s="234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61"/>
        <v>33.333333333333329</v>
      </c>
      <c r="Q587" s="124">
        <f t="shared" si="55"/>
        <v>0</v>
      </c>
      <c r="R587" s="163">
        <f t="shared" si="56"/>
        <v>1</v>
      </c>
      <c r="S587" s="190"/>
      <c r="T587" s="81"/>
      <c r="U587" s="81"/>
      <c r="V587" s="81"/>
    </row>
    <row r="588" spans="1:23" s="80" customFormat="1">
      <c r="A588" s="192">
        <v>42919</v>
      </c>
      <c r="B588" s="78"/>
      <c r="C588" s="78"/>
      <c r="D588" s="79" t="s">
        <v>76</v>
      </c>
      <c r="E588" s="80">
        <v>2</v>
      </c>
      <c r="F588" s="87" t="s">
        <v>208</v>
      </c>
      <c r="G588" s="87">
        <v>3</v>
      </c>
      <c r="H588" s="234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61"/>
        <v>0</v>
      </c>
      <c r="Q588" s="124">
        <f t="shared" si="55"/>
        <v>26.666666666666664</v>
      </c>
      <c r="R588" s="163">
        <f t="shared" si="56"/>
        <v>0</v>
      </c>
      <c r="S588" s="190"/>
      <c r="T588" s="81"/>
      <c r="U588" s="81"/>
      <c r="V588" s="81"/>
    </row>
    <row r="589" spans="1:23" s="80" customFormat="1">
      <c r="A589" s="192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34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61"/>
        <v>57.777777777777771</v>
      </c>
      <c r="Q589" s="124">
        <f t="shared" si="55"/>
        <v>0</v>
      </c>
      <c r="R589" s="163">
        <f t="shared" si="56"/>
        <v>1</v>
      </c>
      <c r="S589" s="191" t="str">
        <f>D589</f>
        <v>NF-6 Ambient</v>
      </c>
      <c r="T589" s="81"/>
      <c r="U589" s="81"/>
      <c r="V589" s="81"/>
    </row>
    <row r="590" spans="1:23" s="80" customFormat="1">
      <c r="A590" s="192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34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61"/>
        <v>766.66666666666674</v>
      </c>
      <c r="Q590" s="124">
        <f t="shared" si="55"/>
        <v>33.333333333333329</v>
      </c>
      <c r="R590" s="163">
        <f t="shared" si="56"/>
        <v>0.95833333333333326</v>
      </c>
      <c r="S590" s="189">
        <f>(SUM(P589:P592)/(SUM(P589:Q592)))</f>
        <v>0.55287817938420358</v>
      </c>
      <c r="T590" s="81"/>
      <c r="U590" s="81"/>
      <c r="V590" s="81"/>
    </row>
    <row r="591" spans="1:23" s="80" customFormat="1">
      <c r="A591" s="192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34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61"/>
        <v>93.333333333333329</v>
      </c>
      <c r="Q591" s="124">
        <f t="shared" si="55"/>
        <v>0</v>
      </c>
      <c r="R591" s="163">
        <f t="shared" si="56"/>
        <v>1</v>
      </c>
      <c r="S591" s="190"/>
      <c r="T591" s="81"/>
      <c r="U591" s="81"/>
      <c r="V591" s="81"/>
    </row>
    <row r="592" spans="1:23" s="80" customFormat="1">
      <c r="A592" s="192">
        <v>42919</v>
      </c>
      <c r="B592" s="78"/>
      <c r="C592" s="78"/>
      <c r="D592" s="80" t="s">
        <v>85</v>
      </c>
      <c r="E592" s="80">
        <v>3</v>
      </c>
      <c r="F592" s="87" t="s">
        <v>208</v>
      </c>
      <c r="G592" s="87">
        <v>3</v>
      </c>
      <c r="H592" s="234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61"/>
        <v>0</v>
      </c>
      <c r="Q592" s="124">
        <f t="shared" si="55"/>
        <v>708.8888888888888</v>
      </c>
      <c r="R592" s="163">
        <f t="shared" si="56"/>
        <v>0</v>
      </c>
      <c r="S592" s="190"/>
      <c r="T592" s="81"/>
      <c r="U592" s="81"/>
      <c r="V592" s="81"/>
    </row>
    <row r="593" spans="1:23" s="80" customFormat="1">
      <c r="A593" s="192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34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61"/>
        <v>1516.6666666666667</v>
      </c>
      <c r="Q593" s="124">
        <f t="shared" si="55"/>
        <v>0</v>
      </c>
      <c r="R593" s="163">
        <f t="shared" si="56"/>
        <v>1</v>
      </c>
      <c r="S593" s="191" t="str">
        <f>D593</f>
        <v>NF-6 Low</v>
      </c>
      <c r="T593" s="81"/>
      <c r="U593" s="81"/>
      <c r="V593" s="81"/>
    </row>
    <row r="594" spans="1:23" s="80" customFormat="1">
      <c r="A594" s="192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34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61"/>
        <v>19680</v>
      </c>
      <c r="Q594" s="124">
        <f t="shared" si="55"/>
        <v>160</v>
      </c>
      <c r="R594" s="163">
        <f t="shared" si="56"/>
        <v>0.99193548387096775</v>
      </c>
      <c r="S594" s="189">
        <f>(SUM(P593:P596)/(SUM(P593:Q596)))</f>
        <v>0.8290653326068651</v>
      </c>
      <c r="T594" s="81"/>
    </row>
    <row r="595" spans="1:23" s="80" customFormat="1">
      <c r="A595" s="192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61"/>
        <v>6600</v>
      </c>
      <c r="Q595" s="124">
        <f t="shared" si="55"/>
        <v>91.666666666666657</v>
      </c>
      <c r="R595" s="163">
        <f t="shared" si="56"/>
        <v>0.98630136986301364</v>
      </c>
      <c r="S595" s="190"/>
      <c r="T595" s="81"/>
    </row>
    <row r="596" spans="1:23" s="80" customFormat="1">
      <c r="A596" s="192">
        <v>42919</v>
      </c>
      <c r="B596" s="78"/>
      <c r="C596" s="78"/>
      <c r="D596" s="80" t="s">
        <v>105</v>
      </c>
      <c r="E596" s="80">
        <v>3</v>
      </c>
      <c r="F596" s="87" t="s">
        <v>208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61"/>
        <v>100</v>
      </c>
      <c r="Q596" s="124">
        <f t="shared" si="55"/>
        <v>5500</v>
      </c>
      <c r="R596" s="163">
        <f t="shared" si="56"/>
        <v>1.7857142857142856E-2</v>
      </c>
      <c r="S596" s="190"/>
      <c r="T596" s="81"/>
    </row>
    <row r="597" spans="1:23" s="80" customFormat="1">
      <c r="A597" s="192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62">(AVERAGE(J598,L598,N598)/G597)*H597</f>
        <v>57.777777777777771</v>
      </c>
      <c r="R597" s="163">
        <f t="shared" si="56"/>
        <v>4.93601462522852E-2</v>
      </c>
      <c r="S597" s="188" t="str">
        <f>D597</f>
        <v>SN-10 Ambient</v>
      </c>
      <c r="T597" s="81"/>
      <c r="W597" s="80" t="s">
        <v>315</v>
      </c>
    </row>
    <row r="598" spans="1:23" s="80" customFormat="1">
      <c r="A598" s="192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3">(AVERAGE(I599,K599,M599)/G598)*H598</f>
        <v>268.88888888888886</v>
      </c>
      <c r="Q598" s="124">
        <f t="shared" si="62"/>
        <v>73.333333333333329</v>
      </c>
      <c r="R598" s="163">
        <f t="shared" si="56"/>
        <v>0.7857142857142857</v>
      </c>
      <c r="S598" s="189">
        <f>(SUM(P597:P600)/(SUM(P597:Q600)))</f>
        <v>0.3786635404454865</v>
      </c>
      <c r="T598" s="81"/>
    </row>
    <row r="599" spans="1:23" s="80" customFormat="1">
      <c r="A599" s="192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33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3"/>
        <v>0</v>
      </c>
      <c r="Q599" s="124">
        <f t="shared" si="62"/>
        <v>373.33333333333331</v>
      </c>
      <c r="R599" s="163">
        <f t="shared" si="56"/>
        <v>0</v>
      </c>
      <c r="S599" s="187"/>
      <c r="T599" s="81"/>
    </row>
    <row r="600" spans="1:23" s="80" customFormat="1">
      <c r="A600" s="192">
        <v>42919</v>
      </c>
      <c r="B600" s="78"/>
      <c r="C600" s="78"/>
      <c r="D600" s="79" t="s">
        <v>86</v>
      </c>
      <c r="E600" s="80">
        <v>4</v>
      </c>
      <c r="F600" s="87" t="s">
        <v>208</v>
      </c>
      <c r="G600" s="87">
        <v>3</v>
      </c>
      <c r="H600" s="233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3"/>
        <v>51.111111111111107</v>
      </c>
      <c r="Q600" s="124">
        <f t="shared" si="62"/>
        <v>25.555555555555554</v>
      </c>
      <c r="R600" s="163">
        <f t="shared" si="56"/>
        <v>0.66666666666666674</v>
      </c>
      <c r="S600" s="190"/>
      <c r="T600" s="81"/>
    </row>
    <row r="601" spans="1:23" s="80" customFormat="1">
      <c r="A601" s="192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3"/>
        <v>322.22222222222223</v>
      </c>
      <c r="Q601" s="124">
        <f t="shared" si="62"/>
        <v>64.444444444444443</v>
      </c>
      <c r="R601" s="163">
        <f t="shared" si="56"/>
        <v>0.83333333333333326</v>
      </c>
      <c r="S601" s="191" t="str">
        <f>D601</f>
        <v>SN-6 Low</v>
      </c>
      <c r="T601" s="81"/>
    </row>
    <row r="602" spans="1:23" s="80" customFormat="1">
      <c r="A602" s="192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3"/>
        <v>373.33333333333337</v>
      </c>
      <c r="Q602" s="124">
        <f t="shared" si="62"/>
        <v>106.66666666666666</v>
      </c>
      <c r="R602" s="163">
        <f t="shared" si="56"/>
        <v>0.7777777777777779</v>
      </c>
      <c r="S602" s="189">
        <f>(SUM(P601:P604)/(SUM(P601:Q604)))</f>
        <v>0.64709424872026511</v>
      </c>
      <c r="T602" s="81"/>
    </row>
    <row r="603" spans="1:23" s="80" customFormat="1">
      <c r="A603" s="192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33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3"/>
        <v>0</v>
      </c>
      <c r="Q603" s="124">
        <f t="shared" si="62"/>
        <v>480</v>
      </c>
      <c r="R603" s="163">
        <f t="shared" si="56"/>
        <v>0</v>
      </c>
      <c r="S603" s="190"/>
      <c r="T603" s="81"/>
    </row>
    <row r="604" spans="1:23" s="80" customFormat="1">
      <c r="A604" s="192">
        <v>42919</v>
      </c>
      <c r="B604" s="78"/>
      <c r="C604" s="78"/>
      <c r="D604" s="79" t="s">
        <v>77</v>
      </c>
      <c r="E604" s="80">
        <v>4</v>
      </c>
      <c r="F604" s="87" t="s">
        <v>208</v>
      </c>
      <c r="G604" s="87">
        <v>2</v>
      </c>
      <c r="H604" s="233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3"/>
        <v>498.33333333333331</v>
      </c>
      <c r="Q604" s="124">
        <f t="shared" si="62"/>
        <v>0</v>
      </c>
      <c r="R604" s="163">
        <f t="shared" si="56"/>
        <v>1</v>
      </c>
      <c r="S604" s="190"/>
      <c r="T604" s="81"/>
    </row>
    <row r="605" spans="1:23" s="80" customFormat="1">
      <c r="A605" s="192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3"/>
        <v>3160</v>
      </c>
      <c r="Q605" s="124">
        <f t="shared" si="62"/>
        <v>240</v>
      </c>
      <c r="R605" s="163">
        <f t="shared" si="56"/>
        <v>0.92941176470588238</v>
      </c>
      <c r="S605" s="191" t="str">
        <f>D605</f>
        <v>K-6 Ambient</v>
      </c>
    </row>
    <row r="606" spans="1:23" s="80" customFormat="1">
      <c r="A606" s="192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3"/>
        <v>24993.333333333336</v>
      </c>
      <c r="Q606" s="124">
        <f t="shared" si="62"/>
        <v>3220</v>
      </c>
      <c r="R606" s="163">
        <f t="shared" si="56"/>
        <v>0.88586956521739135</v>
      </c>
      <c r="S606" s="189">
        <f>(SUM(P605:P608)/(SUM(P605:Q608)))</f>
        <v>0.72435677530017151</v>
      </c>
    </row>
    <row r="607" spans="1:23" s="80" customFormat="1">
      <c r="A607" s="192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3"/>
        <v>0</v>
      </c>
      <c r="Q607" s="124">
        <f t="shared" si="62"/>
        <v>7153.3333333333339</v>
      </c>
      <c r="R607" s="163">
        <f t="shared" si="56"/>
        <v>0</v>
      </c>
      <c r="S607" s="190"/>
    </row>
    <row r="608" spans="1:23" s="80" customFormat="1">
      <c r="A608" s="192">
        <v>42919</v>
      </c>
      <c r="B608" s="78"/>
      <c r="C608" s="78"/>
      <c r="D608" s="80" t="s">
        <v>38</v>
      </c>
      <c r="E608" s="80">
        <v>5</v>
      </c>
      <c r="F608" s="87" t="s">
        <v>208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3"/>
        <v>0</v>
      </c>
      <c r="Q608" s="124">
        <f t="shared" si="62"/>
        <v>100</v>
      </c>
      <c r="R608" s="163">
        <f t="shared" si="56"/>
        <v>0</v>
      </c>
      <c r="S608" s="190"/>
    </row>
    <row r="609" spans="1:22" s="80" customFormat="1">
      <c r="A609" s="192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4">(AVERAGE(I609,K609,M609)/G609)*H609</f>
        <v>0</v>
      </c>
      <c r="Q609" s="124">
        <f t="shared" ref="Q609:Q640" si="65">(AVERAGE(J609,L609,N609)/G609)*H609</f>
        <v>28.888888888888886</v>
      </c>
      <c r="R609" s="163">
        <f t="shared" si="56"/>
        <v>0</v>
      </c>
      <c r="S609" s="191" t="str">
        <f>D609</f>
        <v>NF-10 Ambient</v>
      </c>
      <c r="T609" s="81"/>
      <c r="U609" s="81"/>
      <c r="V609" s="81"/>
    </row>
    <row r="610" spans="1:22" s="80" customFormat="1">
      <c r="A610" s="192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4"/>
        <v>416.66666666666669</v>
      </c>
      <c r="Q610" s="124">
        <f t="shared" si="65"/>
        <v>111.1111111111111</v>
      </c>
      <c r="R610" s="163">
        <f t="shared" si="56"/>
        <v>0.78947368421052633</v>
      </c>
      <c r="S610" s="189">
        <f>(SUM(P609:P612)/(SUM(P609:Q612)))</f>
        <v>0.36815415821501013</v>
      </c>
      <c r="T610" s="81"/>
      <c r="U610" s="81"/>
      <c r="V610" s="81"/>
    </row>
    <row r="611" spans="1:22" s="80" customFormat="1">
      <c r="A611" s="192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4"/>
        <v>793.33333333333337</v>
      </c>
      <c r="Q611" s="124">
        <f t="shared" si="65"/>
        <v>396.66666666666669</v>
      </c>
      <c r="R611" s="163">
        <f t="shared" si="56"/>
        <v>0.66666666666666674</v>
      </c>
      <c r="S611" s="190"/>
      <c r="T611" s="81"/>
      <c r="U611" s="81"/>
      <c r="V611" s="81"/>
    </row>
    <row r="612" spans="1:22" s="80" customFormat="1">
      <c r="A612" s="192">
        <v>42919</v>
      </c>
      <c r="B612" s="78"/>
      <c r="C612" s="78"/>
      <c r="D612" s="80" t="s">
        <v>84</v>
      </c>
      <c r="E612" s="80">
        <v>5</v>
      </c>
      <c r="F612" s="87" t="s">
        <v>208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4"/>
        <v>0</v>
      </c>
      <c r="Q612" s="124">
        <f t="shared" si="65"/>
        <v>1540</v>
      </c>
      <c r="R612" s="163">
        <f t="shared" ref="R612:R675" si="66">P612/(P612+Q612)</f>
        <v>0</v>
      </c>
      <c r="S612" s="190"/>
      <c r="T612" s="81"/>
      <c r="U612" s="81"/>
      <c r="V612" s="81"/>
    </row>
    <row r="613" spans="1:22" s="80" customFormat="1">
      <c r="A613" s="192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4"/>
        <v>0</v>
      </c>
      <c r="Q613" s="124">
        <f t="shared" si="65"/>
        <v>30</v>
      </c>
      <c r="R613" s="163">
        <f t="shared" si="66"/>
        <v>0</v>
      </c>
      <c r="S613" s="191" t="str">
        <f>D613</f>
        <v>SN-6 Ambient</v>
      </c>
      <c r="T613" s="81"/>
      <c r="U613" s="81"/>
      <c r="V613" s="81"/>
    </row>
    <row r="614" spans="1:22" s="80" customFormat="1">
      <c r="A614" s="192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5"/>
        <v>1777.7777777777776</v>
      </c>
      <c r="R614" s="163">
        <f t="shared" si="66"/>
        <v>0.43362831858407075</v>
      </c>
      <c r="S614" s="189">
        <f>(SUM(P613:P616)/(SUM(P613:Q616)))</f>
        <v>0.15520965692503175</v>
      </c>
      <c r="T614" s="81"/>
      <c r="U614" s="81"/>
      <c r="V614" s="81"/>
    </row>
    <row r="615" spans="1:22" s="80" customFormat="1">
      <c r="A615" s="192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7">(AVERAGE(I615,K615,M615)/G615)*H615</f>
        <v>1353.3333333333333</v>
      </c>
      <c r="Q615" s="124">
        <f t="shared" si="65"/>
        <v>1866.6666666666667</v>
      </c>
      <c r="R615" s="163">
        <f t="shared" si="66"/>
        <v>0.42028985507246375</v>
      </c>
      <c r="S615" s="190"/>
      <c r="T615" s="81"/>
      <c r="U615" s="81"/>
      <c r="V615" s="81"/>
    </row>
    <row r="616" spans="1:22" s="80" customFormat="1">
      <c r="A616" s="192">
        <v>42919</v>
      </c>
      <c r="B616" s="78"/>
      <c r="C616" s="78"/>
      <c r="D616" s="80" t="s">
        <v>87</v>
      </c>
      <c r="E616" s="80">
        <v>6</v>
      </c>
      <c r="F616" s="87" t="s">
        <v>208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7"/>
        <v>0</v>
      </c>
      <c r="Q616" s="124">
        <f t="shared" si="65"/>
        <v>11100</v>
      </c>
      <c r="R616" s="163">
        <f t="shared" si="66"/>
        <v>0</v>
      </c>
      <c r="S616" s="190"/>
      <c r="T616" s="81"/>
      <c r="U616" s="81"/>
      <c r="V616" s="81"/>
    </row>
    <row r="617" spans="1:22" s="80" customFormat="1">
      <c r="A617" s="192">
        <v>42919</v>
      </c>
      <c r="B617" s="78"/>
      <c r="C617" s="78"/>
      <c r="D617" s="80" t="s">
        <v>37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7"/>
        <v>61.111111111111107</v>
      </c>
      <c r="Q617" s="124">
        <f t="shared" si="65"/>
        <v>0</v>
      </c>
      <c r="R617" s="163">
        <f t="shared" si="66"/>
        <v>1</v>
      </c>
      <c r="S617" s="191" t="str">
        <f>D617</f>
        <v xml:space="preserve">K-10 Low </v>
      </c>
      <c r="T617" s="81"/>
      <c r="U617" s="81"/>
      <c r="V617" s="81"/>
    </row>
    <row r="618" spans="1:22" s="80" customFormat="1">
      <c r="A618" s="192">
        <v>42919</v>
      </c>
      <c r="B618" s="78"/>
      <c r="C618" s="78"/>
      <c r="D618" s="80" t="s">
        <v>37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7"/>
        <v>980</v>
      </c>
      <c r="Q618" s="124">
        <f t="shared" si="65"/>
        <v>0</v>
      </c>
      <c r="R618" s="163">
        <f t="shared" si="66"/>
        <v>1</v>
      </c>
      <c r="S618" s="189">
        <f>(SUM(P617:P620)/(SUM(P617:Q620)))</f>
        <v>0.89739491769218482</v>
      </c>
      <c r="T618" s="81"/>
      <c r="U618" s="81"/>
      <c r="V618" s="81"/>
    </row>
    <row r="619" spans="1:22" s="80" customFormat="1">
      <c r="A619" s="192">
        <v>42919</v>
      </c>
      <c r="B619" s="78"/>
      <c r="C619" s="78"/>
      <c r="D619" s="80" t="s">
        <v>37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7"/>
        <v>2078.3333333333335</v>
      </c>
      <c r="Q619" s="124">
        <f t="shared" si="65"/>
        <v>96.666666666666657</v>
      </c>
      <c r="R619" s="163">
        <f t="shared" si="66"/>
        <v>0.9555555555555556</v>
      </c>
      <c r="S619" s="190"/>
      <c r="T619" s="81"/>
      <c r="U619" s="81"/>
      <c r="V619" s="81"/>
    </row>
    <row r="620" spans="1:22" s="80" customFormat="1">
      <c r="A620" s="192">
        <v>42919</v>
      </c>
      <c r="B620" s="78"/>
      <c r="C620" s="78"/>
      <c r="D620" s="80" t="s">
        <v>37</v>
      </c>
      <c r="E620" s="80">
        <v>6</v>
      </c>
      <c r="F620" s="87" t="s">
        <v>208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7"/>
        <v>0</v>
      </c>
      <c r="Q620" s="124">
        <f t="shared" si="65"/>
        <v>260</v>
      </c>
      <c r="R620" s="163">
        <f t="shared" si="66"/>
        <v>0</v>
      </c>
      <c r="S620" s="190"/>
      <c r="T620" s="81"/>
      <c r="U620" s="81"/>
      <c r="V620" s="81"/>
    </row>
    <row r="621" spans="1:22" s="80" customFormat="1">
      <c r="A621" s="192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7"/>
        <v>687.5</v>
      </c>
      <c r="Q621" s="124">
        <f t="shared" si="65"/>
        <v>0</v>
      </c>
      <c r="R621" s="163">
        <f t="shared" si="66"/>
        <v>1</v>
      </c>
      <c r="S621" s="191" t="str">
        <f>D621</f>
        <v>K-10 Ambient</v>
      </c>
      <c r="T621" s="81"/>
      <c r="U621" s="81"/>
      <c r="V621" s="81"/>
    </row>
    <row r="622" spans="1:22" s="80" customFormat="1">
      <c r="A622" s="192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7"/>
        <v>3391.666666666667</v>
      </c>
      <c r="Q622" s="124">
        <f t="shared" si="65"/>
        <v>91.666666666666657</v>
      </c>
      <c r="R622" s="163">
        <f t="shared" si="66"/>
        <v>0.97368421052631582</v>
      </c>
      <c r="S622" s="189">
        <f>(SUM(P621:P624)/(SUM(P621:Q624)))</f>
        <v>0.8377307072959248</v>
      </c>
      <c r="T622" s="81"/>
      <c r="U622" s="81"/>
      <c r="V622" s="81"/>
    </row>
    <row r="623" spans="1:22" s="80" customFormat="1">
      <c r="A623" s="192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7"/>
        <v>1466.6666666666665</v>
      </c>
      <c r="Q623" s="124">
        <f t="shared" si="65"/>
        <v>550</v>
      </c>
      <c r="R623" s="163">
        <f t="shared" si="66"/>
        <v>0.72727272727272729</v>
      </c>
      <c r="S623" s="190"/>
      <c r="T623" s="81"/>
      <c r="U623" s="81"/>
      <c r="V623" s="81"/>
    </row>
    <row r="624" spans="1:22" s="80" customFormat="1">
      <c r="A624" s="192">
        <v>42919</v>
      </c>
      <c r="B624" s="78"/>
      <c r="C624" s="78"/>
      <c r="D624" s="80" t="s">
        <v>17</v>
      </c>
      <c r="E624" s="80">
        <v>7</v>
      </c>
      <c r="F624" s="87" t="s">
        <v>208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7"/>
        <v>90</v>
      </c>
      <c r="Q624" s="124">
        <f t="shared" si="65"/>
        <v>450</v>
      </c>
      <c r="R624" s="163">
        <f t="shared" si="66"/>
        <v>0.16666666666666666</v>
      </c>
      <c r="S624" s="190"/>
      <c r="T624" s="81"/>
      <c r="U624" s="81"/>
      <c r="V624" s="81"/>
    </row>
    <row r="625" spans="1:23" s="80" customFormat="1">
      <c r="A625" s="192">
        <v>42919</v>
      </c>
      <c r="B625" s="78"/>
      <c r="C625" s="78"/>
      <c r="D625" s="80" t="s">
        <v>138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7"/>
        <v>770</v>
      </c>
      <c r="Q625" s="124">
        <f t="shared" si="65"/>
        <v>0</v>
      </c>
      <c r="R625" s="163">
        <f t="shared" si="66"/>
        <v>1</v>
      </c>
      <c r="S625" s="191" t="str">
        <f>D625</f>
        <v xml:space="preserve">HL-10 Low </v>
      </c>
      <c r="T625" s="81"/>
      <c r="U625" s="81"/>
      <c r="V625" s="81"/>
    </row>
    <row r="626" spans="1:23" s="80" customFormat="1">
      <c r="A626" s="192">
        <v>42919</v>
      </c>
      <c r="B626" s="78"/>
      <c r="C626" s="78"/>
      <c r="D626" s="80" t="s">
        <v>138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7"/>
        <v>16093.333333333334</v>
      </c>
      <c r="Q626" s="124">
        <f t="shared" si="65"/>
        <v>0</v>
      </c>
      <c r="R626" s="163">
        <f t="shared" si="66"/>
        <v>1</v>
      </c>
      <c r="S626" s="189">
        <f>(SUM(P625:P628)/(SUM(P625:Q628)))</f>
        <v>0.91314514071932662</v>
      </c>
      <c r="T626" s="81"/>
      <c r="U626" s="81"/>
      <c r="V626" s="81"/>
    </row>
    <row r="627" spans="1:23" s="80" customFormat="1">
      <c r="A627" s="192">
        <v>42919</v>
      </c>
      <c r="B627" s="78"/>
      <c r="C627" s="78"/>
      <c r="D627" s="80" t="s">
        <v>138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7"/>
        <v>18841.666666666664</v>
      </c>
      <c r="Q627" s="124">
        <f t="shared" si="65"/>
        <v>791.66666666666674</v>
      </c>
      <c r="R627" s="163">
        <f t="shared" si="66"/>
        <v>0.95967741935483863</v>
      </c>
      <c r="S627" s="190"/>
      <c r="T627" s="81"/>
      <c r="U627" s="81"/>
      <c r="V627" s="81"/>
    </row>
    <row r="628" spans="1:23" s="80" customFormat="1">
      <c r="A628" s="192">
        <v>42919</v>
      </c>
      <c r="B628" s="78"/>
      <c r="C628" s="78"/>
      <c r="D628" s="80" t="s">
        <v>138</v>
      </c>
      <c r="E628" s="80">
        <v>7</v>
      </c>
      <c r="F628" s="87" t="s">
        <v>208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7"/>
        <v>93.333333333333329</v>
      </c>
      <c r="Q628" s="124">
        <f t="shared" si="65"/>
        <v>2613.3333333333335</v>
      </c>
      <c r="R628" s="163">
        <f t="shared" si="66"/>
        <v>3.4482758620689648E-2</v>
      </c>
      <c r="S628" s="190"/>
      <c r="T628" s="81"/>
      <c r="U628" s="81"/>
      <c r="V628" s="81"/>
    </row>
    <row r="629" spans="1:23" s="80" customFormat="1">
      <c r="A629" s="192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7"/>
        <v>241.66666666666669</v>
      </c>
      <c r="Q629" s="124">
        <f t="shared" si="65"/>
        <v>0</v>
      </c>
      <c r="R629" s="163">
        <f t="shared" si="66"/>
        <v>1</v>
      </c>
      <c r="S629" s="191" t="str">
        <f>D629</f>
        <v>HL-10 Ambient</v>
      </c>
      <c r="T629" s="81"/>
      <c r="U629" s="81"/>
      <c r="V629" s="81"/>
    </row>
    <row r="630" spans="1:23" s="80" customFormat="1">
      <c r="A630" s="192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7"/>
        <v>3500</v>
      </c>
      <c r="Q630" s="124">
        <f t="shared" si="65"/>
        <v>0</v>
      </c>
      <c r="R630" s="163">
        <f t="shared" si="66"/>
        <v>1</v>
      </c>
      <c r="S630" s="189">
        <f>(SUM(P629:P632)/(SUM(P629:Q632)))</f>
        <v>0.72895858358152466</v>
      </c>
      <c r="T630" s="81"/>
    </row>
    <row r="631" spans="1:23" s="80" customFormat="1">
      <c r="A631" s="192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7"/>
        <v>70000</v>
      </c>
      <c r="Q631" s="124">
        <f t="shared" si="65"/>
        <v>666.66666666666663</v>
      </c>
      <c r="R631" s="163">
        <f t="shared" si="66"/>
        <v>0.99056603773584895</v>
      </c>
      <c r="S631" s="190"/>
      <c r="T631" s="81"/>
    </row>
    <row r="632" spans="1:23" s="80" customFormat="1">
      <c r="A632" s="192">
        <v>42919</v>
      </c>
      <c r="B632" s="78"/>
      <c r="C632" s="78"/>
      <c r="D632" s="80" t="s">
        <v>88</v>
      </c>
      <c r="E632" s="80">
        <v>8</v>
      </c>
      <c r="F632" s="87" t="s">
        <v>208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7"/>
        <v>93.333333333333329</v>
      </c>
      <c r="Q632" s="124">
        <f t="shared" si="65"/>
        <v>26786.666666666668</v>
      </c>
      <c r="R632" s="163">
        <f t="shared" si="66"/>
        <v>3.472222222222222E-3</v>
      </c>
      <c r="S632" s="190"/>
      <c r="T632" s="81"/>
    </row>
    <row r="633" spans="1:23" s="80" customFormat="1">
      <c r="A633" s="192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7"/>
        <v>1400</v>
      </c>
      <c r="Q633" s="124">
        <f t="shared" si="65"/>
        <v>50</v>
      </c>
      <c r="R633" s="163">
        <f t="shared" si="66"/>
        <v>0.96551724137931039</v>
      </c>
      <c r="S633" s="191" t="str">
        <f>D633</f>
        <v>K-6 Low</v>
      </c>
      <c r="T633" s="81"/>
    </row>
    <row r="634" spans="1:23" s="80" customFormat="1">
      <c r="A634" s="192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7"/>
        <v>9066.6666666666679</v>
      </c>
      <c r="Q634" s="124">
        <f t="shared" si="65"/>
        <v>400</v>
      </c>
      <c r="R634" s="163">
        <f t="shared" si="66"/>
        <v>0.95774647887323949</v>
      </c>
      <c r="S634" s="189">
        <f>(SUM(P633:P636)/(SUM(P633:Q636)))</f>
        <v>0.88791783043517436</v>
      </c>
      <c r="T634" s="81"/>
    </row>
    <row r="635" spans="1:23" s="80" customFormat="1">
      <c r="A635" s="192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7"/>
        <v>5958.3333333333339</v>
      </c>
      <c r="Q635" s="124">
        <f t="shared" si="65"/>
        <v>183.33333333333331</v>
      </c>
      <c r="R635" s="163">
        <f t="shared" si="66"/>
        <v>0.97014925373134331</v>
      </c>
      <c r="S635" s="190"/>
      <c r="T635" s="81"/>
    </row>
    <row r="636" spans="1:23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208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7"/>
        <v>0</v>
      </c>
      <c r="Q636" s="141">
        <f t="shared" si="65"/>
        <v>1440</v>
      </c>
      <c r="R636" s="166">
        <f t="shared" si="66"/>
        <v>0</v>
      </c>
      <c r="S636" s="201"/>
    </row>
    <row r="637" spans="1:23" s="246" customFormat="1">
      <c r="A637" s="243">
        <v>42922</v>
      </c>
      <c r="B637" s="244"/>
      <c r="C637" s="244"/>
      <c r="D637" s="277" t="s">
        <v>87</v>
      </c>
      <c r="E637" s="246">
        <v>1</v>
      </c>
      <c r="F637" s="247">
        <v>224</v>
      </c>
      <c r="G637" s="247"/>
      <c r="P637" s="248">
        <v>29</v>
      </c>
      <c r="Q637" s="248">
        <v>1</v>
      </c>
      <c r="R637" s="249">
        <f t="shared" si="66"/>
        <v>0.96666666666666667</v>
      </c>
      <c r="S637" s="250" t="str">
        <f>D637</f>
        <v>SN-6 Ambient</v>
      </c>
      <c r="T637" s="251"/>
      <c r="U637" s="251"/>
      <c r="V637" s="251"/>
      <c r="W637" s="246" t="s">
        <v>316</v>
      </c>
    </row>
    <row r="638" spans="1:23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5"/>
        <v>257.77777777777777</v>
      </c>
      <c r="R638" s="106">
        <f t="shared" si="66"/>
        <v>0.80487804878048774</v>
      </c>
      <c r="S638" s="183">
        <f>(SUM(P637:P640)/(SUM(P637:Q640)))</f>
        <v>0.18188605745820483</v>
      </c>
      <c r="T638" s="65"/>
      <c r="U638" s="65"/>
      <c r="V638" s="65"/>
    </row>
    <row r="639" spans="1:23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5"/>
        <v>91.666666666666657</v>
      </c>
      <c r="R639" s="106">
        <f t="shared" si="66"/>
        <v>0.625</v>
      </c>
      <c r="S639" s="181"/>
      <c r="T639" s="65"/>
      <c r="U639" s="65"/>
      <c r="V639" s="65"/>
    </row>
    <row r="640" spans="1:23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208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8">(AVERAGE(I640,K640,M640)/G640)*H640</f>
        <v>0</v>
      </c>
      <c r="Q640" s="120">
        <f t="shared" si="65"/>
        <v>5250</v>
      </c>
      <c r="R640" s="106">
        <f t="shared" si="66"/>
        <v>0</v>
      </c>
      <c r="S640" s="184"/>
      <c r="T640" s="65"/>
      <c r="U640" s="65"/>
      <c r="V640" s="65"/>
    </row>
    <row r="641" spans="1:23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6"/>
        <v>0.8571428571428571</v>
      </c>
      <c r="S641" s="185" t="str">
        <f>D641</f>
        <v>SN-6 Low</v>
      </c>
      <c r="T641" s="65"/>
      <c r="U641" s="65"/>
      <c r="V641" s="65"/>
      <c r="W641" s="62" t="s">
        <v>316</v>
      </c>
    </row>
    <row r="642" spans="1:23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9">(AVERAGE(I642,K642,M642)/G642)*H642</f>
        <v>300</v>
      </c>
      <c r="Q642" s="120">
        <f t="shared" ref="Q642:Q644" si="70">(AVERAGE(J642,L642,N642)/G642)*H642</f>
        <v>133.33333333333331</v>
      </c>
      <c r="R642" s="106">
        <f t="shared" si="66"/>
        <v>0.69230769230769229</v>
      </c>
      <c r="S642" s="183">
        <f>(SUM(P641:P644)/(SUM(P641:Q644)))</f>
        <v>0.47406225059856344</v>
      </c>
      <c r="T642" s="65"/>
      <c r="U642" s="65"/>
      <c r="V642" s="65"/>
    </row>
    <row r="643" spans="1:23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9"/>
        <v>26.666666666666664</v>
      </c>
      <c r="Q643" s="120">
        <f t="shared" si="70"/>
        <v>0</v>
      </c>
      <c r="R643" s="106">
        <f t="shared" si="66"/>
        <v>1</v>
      </c>
      <c r="S643" s="184"/>
      <c r="T643" s="65"/>
      <c r="U643" s="65"/>
      <c r="V643" s="65"/>
    </row>
    <row r="644" spans="1:23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208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9"/>
        <v>33.333333333333329</v>
      </c>
      <c r="Q644" s="120">
        <f t="shared" si="70"/>
        <v>300</v>
      </c>
      <c r="R644" s="106">
        <f t="shared" si="66"/>
        <v>9.9999999999999992E-2</v>
      </c>
      <c r="S644" s="184"/>
      <c r="T644" s="65"/>
      <c r="U644" s="65"/>
      <c r="V644" s="65"/>
    </row>
    <row r="645" spans="1:23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6"/>
        <v>0.95348837209302328</v>
      </c>
      <c r="S645" s="185" t="str">
        <f>D645</f>
        <v>NF-10 Ambient</v>
      </c>
      <c r="T645" s="65"/>
      <c r="U645" s="65"/>
      <c r="V645" s="65"/>
      <c r="W645" s="62" t="s">
        <v>316</v>
      </c>
    </row>
    <row r="646" spans="1:23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71">(AVERAGE(I646,K646,M646)/G646)*H646</f>
        <v>325</v>
      </c>
      <c r="Q646" s="120">
        <f t="shared" ref="Q646:Q657" si="72">(AVERAGE(J646,L646,N646)/G646)*H646</f>
        <v>50</v>
      </c>
      <c r="R646" s="106">
        <f t="shared" si="66"/>
        <v>0.8666666666666667</v>
      </c>
      <c r="S646" s="183">
        <f>(SUM(P645:P648)/(SUM(P645:Q648)))</f>
        <v>0.2682100147087037</v>
      </c>
      <c r="T646" s="65"/>
      <c r="U646" s="65"/>
      <c r="V646" s="65"/>
    </row>
    <row r="647" spans="1:23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71"/>
        <v>100</v>
      </c>
      <c r="Q647" s="120">
        <f t="shared" si="72"/>
        <v>25</v>
      </c>
      <c r="R647" s="106">
        <f t="shared" si="66"/>
        <v>0.8</v>
      </c>
      <c r="S647" s="184"/>
      <c r="T647" s="65"/>
      <c r="U647" s="65"/>
      <c r="V647" s="65"/>
    </row>
    <row r="648" spans="1:23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208</v>
      </c>
      <c r="G648" s="89">
        <v>3</v>
      </c>
      <c r="H648" s="254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71"/>
        <v>0</v>
      </c>
      <c r="Q648" s="120">
        <f t="shared" si="72"/>
        <v>1194.4444444444443</v>
      </c>
      <c r="R648" s="106">
        <f t="shared" si="66"/>
        <v>0</v>
      </c>
      <c r="S648" s="184"/>
      <c r="T648" s="65"/>
      <c r="U648" s="65"/>
      <c r="V648" s="65"/>
    </row>
    <row r="649" spans="1:23" s="62" customFormat="1">
      <c r="A649" s="134">
        <v>42922</v>
      </c>
      <c r="B649" s="60"/>
      <c r="C649" s="60"/>
      <c r="D649" s="61" t="s">
        <v>37</v>
      </c>
      <c r="E649" s="62">
        <v>2</v>
      </c>
      <c r="F649" s="89">
        <v>224</v>
      </c>
      <c r="G649" s="89">
        <v>3</v>
      </c>
      <c r="H649" s="254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71"/>
        <v>133.33333333333334</v>
      </c>
      <c r="Q649" s="120">
        <f t="shared" si="72"/>
        <v>53.333333333333329</v>
      </c>
      <c r="R649" s="106">
        <f t="shared" si="66"/>
        <v>0.7142857142857143</v>
      </c>
      <c r="S649" s="185" t="str">
        <f>D649</f>
        <v xml:space="preserve">K-10 Low </v>
      </c>
      <c r="T649" s="65"/>
      <c r="U649" s="65"/>
      <c r="V649" s="65"/>
    </row>
    <row r="650" spans="1:23" s="62" customFormat="1">
      <c r="A650" s="134">
        <v>42922</v>
      </c>
      <c r="B650" s="60"/>
      <c r="C650" s="60"/>
      <c r="D650" s="61" t="s">
        <v>37</v>
      </c>
      <c r="E650" s="62">
        <v>2</v>
      </c>
      <c r="F650" s="89">
        <v>180</v>
      </c>
      <c r="G650" s="89">
        <v>2</v>
      </c>
      <c r="H650" s="254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71"/>
        <v>750</v>
      </c>
      <c r="Q650" s="120">
        <f t="shared" si="72"/>
        <v>41.666666666666664</v>
      </c>
      <c r="R650" s="106">
        <f t="shared" si="66"/>
        <v>0.94736842105263164</v>
      </c>
      <c r="S650" s="183">
        <f>(SUM(P649:P652)/(SUM(P649:Q652)))</f>
        <v>0.80034423407917388</v>
      </c>
      <c r="T650" s="65"/>
      <c r="U650" s="65"/>
      <c r="V650" s="65"/>
    </row>
    <row r="651" spans="1:23" s="62" customFormat="1">
      <c r="A651" s="134">
        <v>42922</v>
      </c>
      <c r="B651" s="60"/>
      <c r="C651" s="60"/>
      <c r="D651" s="61" t="s">
        <v>37</v>
      </c>
      <c r="E651" s="62">
        <v>2</v>
      </c>
      <c r="F651" s="89">
        <v>100</v>
      </c>
      <c r="G651" s="89">
        <v>2</v>
      </c>
      <c r="H651" s="254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71"/>
        <v>666.66666666666663</v>
      </c>
      <c r="Q651" s="120">
        <f t="shared" si="72"/>
        <v>83.333333333333329</v>
      </c>
      <c r="R651" s="106">
        <f t="shared" si="66"/>
        <v>0.88888888888888884</v>
      </c>
      <c r="S651" s="184"/>
      <c r="T651" s="65"/>
      <c r="U651" s="65"/>
      <c r="V651" s="65"/>
    </row>
    <row r="652" spans="1:23" s="62" customFormat="1">
      <c r="A652" s="134">
        <v>42922</v>
      </c>
      <c r="B652" s="60"/>
      <c r="C652" s="60"/>
      <c r="D652" s="61" t="s">
        <v>37</v>
      </c>
      <c r="E652" s="62">
        <v>2</v>
      </c>
      <c r="F652" s="89" t="s">
        <v>208</v>
      </c>
      <c r="G652" s="89">
        <v>2</v>
      </c>
      <c r="H652" s="254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71"/>
        <v>0</v>
      </c>
      <c r="Q652" s="120">
        <f t="shared" si="72"/>
        <v>208.33333333333334</v>
      </c>
      <c r="R652" s="106">
        <f t="shared" si="66"/>
        <v>0</v>
      </c>
      <c r="S652" s="184"/>
      <c r="T652" s="65"/>
      <c r="U652" s="65"/>
      <c r="V652" s="65"/>
    </row>
    <row r="653" spans="1:23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54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71"/>
        <v>1126.6666666666665</v>
      </c>
      <c r="Q653" s="120">
        <f t="shared" si="72"/>
        <v>57.777777777777771</v>
      </c>
      <c r="R653" s="106">
        <f t="shared" si="66"/>
        <v>0.95121951219512191</v>
      </c>
      <c r="S653" s="185" t="str">
        <f>D653</f>
        <v>K-6 Low</v>
      </c>
      <c r="T653" s="65"/>
      <c r="U653" s="65"/>
      <c r="V653" s="65"/>
    </row>
    <row r="654" spans="1:23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54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71"/>
        <v>3576.666666666667</v>
      </c>
      <c r="Q654" s="120">
        <f t="shared" si="72"/>
        <v>128.88888888888889</v>
      </c>
      <c r="R654" s="106">
        <f t="shared" si="66"/>
        <v>0.96521739130434792</v>
      </c>
      <c r="S654" s="183">
        <f>(SUM(P653:P656)/(SUM(P653:Q656)))</f>
        <v>0.6982312338222606</v>
      </c>
      <c r="T654" s="65"/>
      <c r="U654" s="65"/>
      <c r="V654" s="65"/>
    </row>
    <row r="655" spans="1:23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54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71"/>
        <v>2457.7777777777774</v>
      </c>
      <c r="Q655" s="120">
        <f t="shared" si="72"/>
        <v>280</v>
      </c>
      <c r="R655" s="106">
        <f t="shared" si="66"/>
        <v>0.89772727272727271</v>
      </c>
      <c r="S655" s="184"/>
      <c r="T655" s="65"/>
      <c r="U655" s="65"/>
      <c r="V655" s="65"/>
    </row>
    <row r="656" spans="1:23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208</v>
      </c>
      <c r="G656" s="89">
        <v>3</v>
      </c>
      <c r="H656" s="254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71"/>
        <v>32.222222222222221</v>
      </c>
      <c r="Q656" s="120">
        <f t="shared" si="72"/>
        <v>2642.2222222222222</v>
      </c>
      <c r="R656" s="106">
        <f t="shared" si="66"/>
        <v>1.2048192771084338E-2</v>
      </c>
      <c r="S656" s="184"/>
      <c r="T656" s="65"/>
      <c r="U656" s="65"/>
      <c r="V656" s="65"/>
    </row>
    <row r="657" spans="1:23" s="62" customFormat="1">
      <c r="A657" s="134">
        <v>42922</v>
      </c>
      <c r="B657" s="60"/>
      <c r="C657" s="60"/>
      <c r="D657" s="278" t="s">
        <v>17</v>
      </c>
      <c r="E657" s="62">
        <v>3</v>
      </c>
      <c r="F657" s="89">
        <v>224</v>
      </c>
      <c r="G657" s="89">
        <v>2</v>
      </c>
      <c r="H657" s="254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71"/>
        <v>333.33333333333331</v>
      </c>
      <c r="Q657" s="120">
        <f t="shared" si="72"/>
        <v>41.666666666666664</v>
      </c>
      <c r="R657" s="106">
        <f t="shared" si="66"/>
        <v>0.88888888888888884</v>
      </c>
      <c r="S657" s="185" t="str">
        <f>D657</f>
        <v>K-10 Ambient</v>
      </c>
      <c r="T657" s="65"/>
      <c r="U657" s="65"/>
      <c r="V657" s="65"/>
    </row>
    <row r="658" spans="1:23" s="62" customFormat="1">
      <c r="A658" s="134">
        <v>42922</v>
      </c>
      <c r="B658" s="60"/>
      <c r="C658" s="60"/>
      <c r="D658" s="278" t="s">
        <v>17</v>
      </c>
      <c r="E658" s="62">
        <v>3</v>
      </c>
      <c r="F658" s="89">
        <v>180</v>
      </c>
      <c r="G658" s="89">
        <v>2</v>
      </c>
      <c r="H658" s="254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3">(AVERAGE(I658,K658,M658)/G658)*H658</f>
        <v>2416.666666666667</v>
      </c>
      <c r="Q658" s="120">
        <f t="shared" ref="Q658:Q700" si="74">(AVERAGE(J658,L658,N658)/G658)*H658</f>
        <v>0</v>
      </c>
      <c r="R658" s="106">
        <f t="shared" si="66"/>
        <v>1</v>
      </c>
      <c r="S658" s="183">
        <f>(SUM(P657:P660)/(SUM(P657:Q660)))</f>
        <v>0.68303999999999998</v>
      </c>
      <c r="T658" s="65"/>
    </row>
    <row r="659" spans="1:23" s="62" customFormat="1">
      <c r="A659" s="134">
        <v>42922</v>
      </c>
      <c r="B659" s="60"/>
      <c r="C659" s="60"/>
      <c r="D659" s="278" t="s">
        <v>17</v>
      </c>
      <c r="E659" s="62">
        <v>3</v>
      </c>
      <c r="F659" s="89">
        <v>100</v>
      </c>
      <c r="G659" s="89">
        <v>2</v>
      </c>
      <c r="H659" s="254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3"/>
        <v>770</v>
      </c>
      <c r="Q659" s="120">
        <f t="shared" si="74"/>
        <v>146.66666666666666</v>
      </c>
      <c r="R659" s="106">
        <f t="shared" si="66"/>
        <v>0.84000000000000008</v>
      </c>
      <c r="S659" s="184"/>
      <c r="T659" s="65"/>
    </row>
    <row r="660" spans="1:23" s="62" customFormat="1">
      <c r="A660" s="134">
        <v>42922</v>
      </c>
      <c r="B660" s="60"/>
      <c r="C660" s="60"/>
      <c r="D660" s="278" t="s">
        <v>17</v>
      </c>
      <c r="E660" s="62">
        <v>3</v>
      </c>
      <c r="F660" s="89" t="s">
        <v>208</v>
      </c>
      <c r="G660" s="89">
        <v>2</v>
      </c>
      <c r="H660" s="254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3"/>
        <v>37.5</v>
      </c>
      <c r="Q660" s="120">
        <f t="shared" si="74"/>
        <v>1462.5</v>
      </c>
      <c r="R660" s="106">
        <f t="shared" si="66"/>
        <v>2.5000000000000001E-2</v>
      </c>
      <c r="S660" s="184"/>
      <c r="T660" s="65"/>
    </row>
    <row r="661" spans="1:23" s="62" customFormat="1">
      <c r="A661" s="134">
        <v>42922</v>
      </c>
      <c r="B661" s="60"/>
      <c r="C661" s="60"/>
      <c r="D661" s="61" t="s">
        <v>138</v>
      </c>
      <c r="E661" s="62">
        <v>4</v>
      </c>
      <c r="F661" s="89">
        <v>224</v>
      </c>
      <c r="G661" s="89">
        <v>2</v>
      </c>
      <c r="H661" s="254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3"/>
        <v>2083.3333333333335</v>
      </c>
      <c r="Q661" s="120">
        <f t="shared" si="74"/>
        <v>0</v>
      </c>
      <c r="R661" s="106">
        <f t="shared" si="66"/>
        <v>1</v>
      </c>
      <c r="S661" s="182" t="str">
        <f>D661</f>
        <v xml:space="preserve">HL-10 Low </v>
      </c>
      <c r="T661" s="65"/>
    </row>
    <row r="662" spans="1:23" s="62" customFormat="1">
      <c r="A662" s="134">
        <v>42922</v>
      </c>
      <c r="B662" s="60"/>
      <c r="C662" s="60"/>
      <c r="D662" s="61" t="s">
        <v>138</v>
      </c>
      <c r="E662" s="62">
        <v>4</v>
      </c>
      <c r="F662" s="89">
        <v>180</v>
      </c>
      <c r="G662" s="89">
        <v>2</v>
      </c>
      <c r="H662" s="254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3"/>
        <v>16666.666666666668</v>
      </c>
      <c r="Q662" s="120">
        <f t="shared" si="74"/>
        <v>83.333333333333329</v>
      </c>
      <c r="R662" s="106">
        <f t="shared" si="66"/>
        <v>0.99502487562189057</v>
      </c>
      <c r="S662" s="183">
        <f>(SUM(P661:P664)/(SUM(P661:Q664)))</f>
        <v>0.8854495574305089</v>
      </c>
      <c r="T662" s="65"/>
    </row>
    <row r="663" spans="1:23" s="62" customFormat="1">
      <c r="A663" s="134">
        <v>42922</v>
      </c>
      <c r="B663" s="60"/>
      <c r="C663" s="60"/>
      <c r="D663" s="61" t="s">
        <v>138</v>
      </c>
      <c r="E663" s="62">
        <v>4</v>
      </c>
      <c r="F663" s="89">
        <v>100</v>
      </c>
      <c r="G663" s="89">
        <v>2</v>
      </c>
      <c r="H663" s="254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3"/>
        <v>9760</v>
      </c>
      <c r="Q663" s="120">
        <f t="shared" si="74"/>
        <v>80</v>
      </c>
      <c r="R663" s="106">
        <f t="shared" si="66"/>
        <v>0.99186991869918695</v>
      </c>
      <c r="S663" s="181"/>
      <c r="T663" s="65"/>
    </row>
    <row r="664" spans="1:23" s="62" customFormat="1">
      <c r="A664" s="134">
        <v>42922</v>
      </c>
      <c r="B664" s="60"/>
      <c r="C664" s="60"/>
      <c r="D664" s="61" t="s">
        <v>138</v>
      </c>
      <c r="E664" s="62">
        <v>4</v>
      </c>
      <c r="F664" s="89" t="s">
        <v>208</v>
      </c>
      <c r="G664" s="89">
        <v>2</v>
      </c>
      <c r="H664" s="254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4"/>
        <v>3525</v>
      </c>
      <c r="R664" s="106">
        <f t="shared" si="66"/>
        <v>0</v>
      </c>
      <c r="S664" s="184"/>
      <c r="T664" s="65"/>
    </row>
    <row r="665" spans="1:23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54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5">(AVERAGE(I665,K665,M665)/G665)*H665</f>
        <v>625</v>
      </c>
      <c r="Q665" s="120">
        <f t="shared" si="74"/>
        <v>0</v>
      </c>
      <c r="R665" s="106">
        <f t="shared" si="66"/>
        <v>1</v>
      </c>
      <c r="S665" s="185" t="str">
        <f>D665</f>
        <v>HL-10 Ambient</v>
      </c>
      <c r="T665" s="65"/>
    </row>
    <row r="666" spans="1:23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54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5"/>
        <v>5083.333333333333</v>
      </c>
      <c r="Q666" s="120">
        <f t="shared" si="74"/>
        <v>166.66666666666666</v>
      </c>
      <c r="R666" s="106">
        <f t="shared" si="66"/>
        <v>0.96825396825396814</v>
      </c>
      <c r="S666" s="183">
        <f>(SUM(P665:P668)/(SUM(P665:Q668)))</f>
        <v>0.97796122945382169</v>
      </c>
      <c r="T666" s="65"/>
    </row>
    <row r="667" spans="1:23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54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5"/>
        <v>71596.666666666672</v>
      </c>
      <c r="Q667" s="120">
        <f t="shared" si="74"/>
        <v>156.66666666666666</v>
      </c>
      <c r="R667" s="106">
        <f t="shared" si="66"/>
        <v>0.99781659388646282</v>
      </c>
      <c r="S667" s="184"/>
      <c r="T667" s="65"/>
    </row>
    <row r="668" spans="1:23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208</v>
      </c>
      <c r="G668" s="89">
        <v>2</v>
      </c>
      <c r="H668" s="254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5"/>
        <v>91.666666666666657</v>
      </c>
      <c r="Q668" s="120">
        <f t="shared" si="74"/>
        <v>1420.8333333333335</v>
      </c>
      <c r="R668" s="106">
        <f t="shared" si="66"/>
        <v>6.0606060606060594E-2</v>
      </c>
      <c r="S668" s="184"/>
      <c r="T668" s="65"/>
    </row>
    <row r="669" spans="1:23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54"/>
      <c r="P669" s="120">
        <v>8</v>
      </c>
      <c r="Q669" s="120">
        <v>2</v>
      </c>
      <c r="R669" s="106">
        <f t="shared" si="66"/>
        <v>0.8</v>
      </c>
      <c r="S669" s="185" t="str">
        <f>D669</f>
        <v>SN-10 Ambient</v>
      </c>
      <c r="W669" s="62" t="s">
        <v>316</v>
      </c>
    </row>
    <row r="670" spans="1:23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54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5"/>
        <v>27.777777777777775</v>
      </c>
      <c r="Q670" s="120">
        <f t="shared" si="74"/>
        <v>0</v>
      </c>
      <c r="R670" s="106">
        <f t="shared" si="66"/>
        <v>1</v>
      </c>
      <c r="S670" s="183">
        <f>(SUM(P669:P672)/(SUM(P669:Q672)))</f>
        <v>0.18295454545454543</v>
      </c>
    </row>
    <row r="671" spans="1:23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54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5"/>
        <v>0</v>
      </c>
      <c r="Q671" s="120">
        <f t="shared" si="74"/>
        <v>27.777777777777775</v>
      </c>
      <c r="R671" s="106">
        <f t="shared" si="66"/>
        <v>0</v>
      </c>
      <c r="S671" s="184"/>
    </row>
    <row r="672" spans="1:23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208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5"/>
        <v>0</v>
      </c>
      <c r="Q672" s="120">
        <f t="shared" si="74"/>
        <v>130</v>
      </c>
      <c r="R672" s="106">
        <f t="shared" si="66"/>
        <v>0</v>
      </c>
      <c r="S672" s="184"/>
    </row>
    <row r="673" spans="1:23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5"/>
        <v>2900</v>
      </c>
      <c r="Q673" s="120">
        <f t="shared" si="74"/>
        <v>100</v>
      </c>
      <c r="R673" s="106">
        <f t="shared" si="66"/>
        <v>0.96666666666666667</v>
      </c>
      <c r="S673" s="185" t="str">
        <f>D673</f>
        <v>NF-6 Low</v>
      </c>
      <c r="T673" s="65"/>
      <c r="U673" s="65"/>
      <c r="V673" s="65"/>
    </row>
    <row r="674" spans="1:23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5"/>
        <v>14883.333333333334</v>
      </c>
      <c r="Q674" s="120">
        <f t="shared" si="74"/>
        <v>156.66666666666666</v>
      </c>
      <c r="R674" s="106">
        <f t="shared" si="66"/>
        <v>0.98958333333333337</v>
      </c>
      <c r="S674" s="183">
        <f>(SUM(P673:P676)/(SUM(P673:Q676)))</f>
        <v>0.86050724637681153</v>
      </c>
      <c r="T674" s="65"/>
      <c r="U674" s="65"/>
      <c r="V674" s="65"/>
    </row>
    <row r="675" spans="1:23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5"/>
        <v>2800</v>
      </c>
      <c r="Q675" s="120">
        <f t="shared" si="74"/>
        <v>186.66666666666666</v>
      </c>
      <c r="R675" s="106">
        <f t="shared" si="66"/>
        <v>0.9375</v>
      </c>
      <c r="S675" s="184"/>
      <c r="T675" s="65"/>
      <c r="U675" s="65"/>
      <c r="V675" s="65"/>
    </row>
    <row r="676" spans="1:23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208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5"/>
        <v>0</v>
      </c>
      <c r="Q676" s="120">
        <f t="shared" si="74"/>
        <v>2893.3333333333335</v>
      </c>
      <c r="R676" s="106">
        <f t="shared" ref="R676:R700" si="76">P676/(P676+Q676)</f>
        <v>0</v>
      </c>
      <c r="S676" s="184"/>
      <c r="T676" s="65"/>
      <c r="U676" s="65"/>
      <c r="V676" s="65"/>
    </row>
    <row r="677" spans="1:23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5"/>
        <v>650</v>
      </c>
      <c r="Q677" s="120">
        <f t="shared" si="74"/>
        <v>25</v>
      </c>
      <c r="R677" s="106">
        <f t="shared" si="76"/>
        <v>0.96296296296296291</v>
      </c>
      <c r="S677" s="185" t="str">
        <f>D677</f>
        <v>K-6 Ambient</v>
      </c>
      <c r="T677" s="65"/>
      <c r="U677" s="65"/>
      <c r="V677" s="65"/>
    </row>
    <row r="678" spans="1:23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4"/>
        <v>313.33333333333331</v>
      </c>
      <c r="R678" s="106">
        <f t="shared" si="76"/>
        <v>0.96190476190476182</v>
      </c>
      <c r="S678" s="183">
        <f>(SUM(P677:P680)/(SUM(P677:Q680)))</f>
        <v>0.55798934395350086</v>
      </c>
      <c r="T678" s="65"/>
      <c r="U678" s="65"/>
      <c r="V678" s="65"/>
    </row>
    <row r="679" spans="1:23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7">(AVERAGE(I679,K679,M679)/G679)*H679</f>
        <v>4398.333333333333</v>
      </c>
      <c r="Q679" s="120">
        <f t="shared" si="74"/>
        <v>435</v>
      </c>
      <c r="R679" s="106">
        <f t="shared" si="76"/>
        <v>0.91</v>
      </c>
      <c r="S679" s="184"/>
      <c r="T679" s="65"/>
      <c r="U679" s="65"/>
      <c r="V679" s="65"/>
    </row>
    <row r="680" spans="1:23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208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4"/>
        <v>12915</v>
      </c>
      <c r="R680" s="106">
        <f t="shared" si="76"/>
        <v>0.25065274151436029</v>
      </c>
      <c r="S680" s="184"/>
      <c r="T680" s="65"/>
      <c r="U680" s="65"/>
      <c r="V680" s="65"/>
    </row>
    <row r="681" spans="1:23" s="62" customFormat="1">
      <c r="A681" s="134">
        <v>42922</v>
      </c>
      <c r="B681" s="60"/>
      <c r="C681" s="60"/>
      <c r="D681" s="62" t="s">
        <v>105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6"/>
        <v>0.9285714285714286</v>
      </c>
      <c r="S681" s="185" t="str">
        <f>D681</f>
        <v>NF-6 Low</v>
      </c>
      <c r="T681" s="65"/>
      <c r="U681" s="65"/>
      <c r="V681" s="65"/>
      <c r="W681" s="62" t="s">
        <v>316</v>
      </c>
    </row>
    <row r="682" spans="1:23" s="62" customFormat="1">
      <c r="A682" s="134">
        <v>42922</v>
      </c>
      <c r="B682" s="60"/>
      <c r="C682" s="60"/>
      <c r="D682" s="62" t="s">
        <v>105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7"/>
        <v>111.1111111111111</v>
      </c>
      <c r="Q682" s="120">
        <f t="shared" si="74"/>
        <v>27.777777777777775</v>
      </c>
      <c r="R682" s="106">
        <f t="shared" si="76"/>
        <v>0.79999999999999993</v>
      </c>
      <c r="S682" s="183">
        <f>(SUM(P681:P684)/(SUM(P681:Q684)))</f>
        <v>0.54760899785743444</v>
      </c>
      <c r="T682" s="65"/>
      <c r="U682" s="65"/>
      <c r="V682" s="65"/>
    </row>
    <row r="683" spans="1:23" s="62" customFormat="1">
      <c r="A683" s="134">
        <v>42922</v>
      </c>
      <c r="B683" s="60"/>
      <c r="C683" s="60"/>
      <c r="D683" s="62" t="s">
        <v>105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7"/>
        <v>26400</v>
      </c>
      <c r="Q683" s="120">
        <f t="shared" si="74"/>
        <v>6050</v>
      </c>
      <c r="R683" s="106">
        <f t="shared" si="76"/>
        <v>0.81355932203389836</v>
      </c>
      <c r="S683" s="184"/>
      <c r="T683" s="65"/>
      <c r="U683" s="65"/>
      <c r="V683" s="65"/>
    </row>
    <row r="684" spans="1:23" s="62" customFormat="1">
      <c r="A684" s="134">
        <v>42922</v>
      </c>
      <c r="B684" s="60"/>
      <c r="C684" s="60"/>
      <c r="D684" s="62" t="s">
        <v>105</v>
      </c>
      <c r="E684" s="62">
        <v>6</v>
      </c>
      <c r="F684" s="89" t="s">
        <v>208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7"/>
        <v>0</v>
      </c>
      <c r="Q684" s="120">
        <f t="shared" si="74"/>
        <v>15833.333333333334</v>
      </c>
      <c r="R684" s="106">
        <f t="shared" si="76"/>
        <v>0</v>
      </c>
      <c r="S684" s="184"/>
      <c r="T684" s="65"/>
      <c r="U684" s="65"/>
      <c r="V684" s="65"/>
    </row>
    <row r="685" spans="1:23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6"/>
        <v>0.45454545454545453</v>
      </c>
      <c r="S685" s="185" t="str">
        <f>D685</f>
        <v>NF-6 Ambient</v>
      </c>
      <c r="T685" s="65"/>
      <c r="U685" s="65"/>
      <c r="V685" s="65"/>
      <c r="W685" s="62" t="s">
        <v>316</v>
      </c>
    </row>
    <row r="686" spans="1:23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7"/>
        <v>175</v>
      </c>
      <c r="Q686" s="120">
        <f t="shared" si="74"/>
        <v>25</v>
      </c>
      <c r="R686" s="106">
        <f t="shared" si="76"/>
        <v>0.875</v>
      </c>
      <c r="S686" s="183">
        <f>(SUM(P685:P688)/(SUM(P685:Q688)))</f>
        <v>0.35608308605341249</v>
      </c>
      <c r="T686" s="65"/>
      <c r="U686" s="65"/>
      <c r="V686" s="65"/>
    </row>
    <row r="687" spans="1:23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7"/>
        <v>0</v>
      </c>
      <c r="Q687" s="120">
        <f t="shared" si="74"/>
        <v>0</v>
      </c>
      <c r="R687" s="106" t="e">
        <f t="shared" si="76"/>
        <v>#DIV/0!</v>
      </c>
      <c r="S687" s="184"/>
      <c r="T687" s="65"/>
      <c r="U687" s="65"/>
      <c r="V687" s="65"/>
    </row>
    <row r="688" spans="1:23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208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7"/>
        <v>0</v>
      </c>
      <c r="Q688" s="120">
        <f t="shared" si="74"/>
        <v>306.66666666666663</v>
      </c>
      <c r="R688" s="106">
        <f t="shared" si="76"/>
        <v>0</v>
      </c>
      <c r="S688" s="184"/>
      <c r="T688" s="65"/>
      <c r="U688" s="65"/>
      <c r="V688" s="65"/>
    </row>
    <row r="689" spans="1:22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7"/>
        <v>550</v>
      </c>
      <c r="Q689" s="120">
        <f t="shared" si="74"/>
        <v>0</v>
      </c>
      <c r="R689" s="106">
        <f t="shared" si="76"/>
        <v>1</v>
      </c>
      <c r="S689" s="185" t="str">
        <f>D689</f>
        <v>HL-6 Ambient</v>
      </c>
      <c r="T689" s="65"/>
      <c r="U689" s="65"/>
      <c r="V689" s="65"/>
    </row>
    <row r="690" spans="1:22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7"/>
        <v>2600</v>
      </c>
      <c r="Q690" s="120">
        <f t="shared" si="74"/>
        <v>100</v>
      </c>
      <c r="R690" s="106">
        <f t="shared" si="76"/>
        <v>0.96296296296296291</v>
      </c>
      <c r="S690" s="183">
        <f>(SUM(P689:P692)/(SUM(P689:Q692)))</f>
        <v>0.66049999999999998</v>
      </c>
      <c r="T690" s="65"/>
      <c r="U690" s="65"/>
      <c r="V690" s="65"/>
    </row>
    <row r="691" spans="1:22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7"/>
        <v>519.44444444444446</v>
      </c>
      <c r="Q691" s="120">
        <f t="shared" si="74"/>
        <v>61.111111111111107</v>
      </c>
      <c r="R691" s="106">
        <f t="shared" si="76"/>
        <v>0.89473684210526316</v>
      </c>
      <c r="S691" s="184"/>
      <c r="T691" s="65"/>
      <c r="U691" s="65"/>
      <c r="V691" s="65"/>
    </row>
    <row r="692" spans="1:22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208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7"/>
        <v>0</v>
      </c>
      <c r="Q692" s="120">
        <f t="shared" si="74"/>
        <v>1725</v>
      </c>
      <c r="R692" s="106">
        <f t="shared" si="76"/>
        <v>0</v>
      </c>
      <c r="S692" s="184"/>
      <c r="T692" s="65"/>
      <c r="U692" s="65"/>
      <c r="V692" s="65"/>
    </row>
    <row r="693" spans="1:22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7"/>
        <v>1235</v>
      </c>
      <c r="Q693" s="120">
        <f t="shared" si="74"/>
        <v>0</v>
      </c>
      <c r="R693" s="106">
        <f t="shared" si="76"/>
        <v>1</v>
      </c>
      <c r="S693" s="185" t="str">
        <f>D693</f>
        <v>HL-6 Low</v>
      </c>
      <c r="T693" s="65"/>
      <c r="U693" s="65"/>
      <c r="V693" s="65"/>
    </row>
    <row r="694" spans="1:22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7"/>
        <v>14500</v>
      </c>
      <c r="Q694" s="120">
        <f t="shared" si="74"/>
        <v>333.33333333333331</v>
      </c>
      <c r="R694" s="106">
        <f t="shared" si="76"/>
        <v>0.97752808988764039</v>
      </c>
      <c r="S694" s="183">
        <f>(SUM(P693:P696)/(SUM(P693:Q696)))</f>
        <v>0.63876698567123136</v>
      </c>
      <c r="T694" s="65"/>
    </row>
    <row r="695" spans="1:22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7"/>
        <v>4400</v>
      </c>
      <c r="Q695" s="120">
        <f t="shared" si="74"/>
        <v>1300</v>
      </c>
      <c r="R695" s="106">
        <f t="shared" si="76"/>
        <v>0.77192982456140347</v>
      </c>
      <c r="S695" s="184"/>
      <c r="T695" s="65"/>
    </row>
    <row r="696" spans="1:22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208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7"/>
        <v>0</v>
      </c>
      <c r="Q696" s="120">
        <f t="shared" si="74"/>
        <v>9753.3333333333339</v>
      </c>
      <c r="R696" s="106">
        <f t="shared" si="76"/>
        <v>0</v>
      </c>
      <c r="S696" s="184"/>
      <c r="T696" s="65"/>
    </row>
    <row r="697" spans="1:22" s="62" customFormat="1">
      <c r="A697" s="134">
        <v>42922</v>
      </c>
      <c r="B697" s="60"/>
      <c r="C697" s="60"/>
      <c r="D697" s="61" t="s">
        <v>139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6"/>
        <v>0.86764705882352944</v>
      </c>
      <c r="S697" s="185" t="str">
        <f>D697</f>
        <v xml:space="preserve">SN-10 Low </v>
      </c>
      <c r="T697" s="65"/>
    </row>
    <row r="698" spans="1:22" s="62" customFormat="1">
      <c r="A698" s="134">
        <v>42922</v>
      </c>
      <c r="B698" s="60"/>
      <c r="C698" s="60"/>
      <c r="D698" s="61" t="s">
        <v>139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7"/>
        <v>875</v>
      </c>
      <c r="Q698" s="120">
        <f t="shared" si="74"/>
        <v>0</v>
      </c>
      <c r="R698" s="106">
        <f t="shared" si="76"/>
        <v>1</v>
      </c>
      <c r="S698" s="183">
        <f>(SUM(P697:P700)/(SUM(P697:Q700)))</f>
        <v>0.17948458408405368</v>
      </c>
      <c r="T698" s="65"/>
    </row>
    <row r="699" spans="1:22" s="62" customFormat="1">
      <c r="A699" s="134">
        <v>42922</v>
      </c>
      <c r="B699" s="60"/>
      <c r="C699" s="60"/>
      <c r="D699" s="61" t="s">
        <v>139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7"/>
        <v>51.111111111111107</v>
      </c>
      <c r="Q699" s="120">
        <f t="shared" si="74"/>
        <v>204.44444444444443</v>
      </c>
      <c r="R699" s="106">
        <f t="shared" si="76"/>
        <v>0.19999999999999998</v>
      </c>
      <c r="S699" s="184"/>
      <c r="T699" s="65"/>
    </row>
    <row r="700" spans="1:22" s="69" customFormat="1" ht="16" thickBot="1">
      <c r="A700" s="66">
        <v>42922</v>
      </c>
      <c r="B700" s="67"/>
      <c r="C700" s="67"/>
      <c r="D700" s="68" t="s">
        <v>139</v>
      </c>
      <c r="E700" s="69">
        <v>8</v>
      </c>
      <c r="F700" s="150" t="s">
        <v>208</v>
      </c>
      <c r="G700" s="150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51">
        <f t="shared" si="77"/>
        <v>0</v>
      </c>
      <c r="Q700" s="151">
        <f t="shared" si="74"/>
        <v>4290</v>
      </c>
      <c r="R700" s="167">
        <f t="shared" si="76"/>
        <v>0</v>
      </c>
      <c r="S700" s="19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D1:D656 D661:D1048576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3" zoomScale="80" zoomScaleNormal="80" zoomScalePageLayoutView="80" workbookViewId="0">
      <selection activeCell="E28" sqref="E28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138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142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143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144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topLeftCell="A83" workbookViewId="0">
      <selection activeCell="L92" sqref="L92:L107"/>
    </sheetView>
  </sheetViews>
  <sheetFormatPr baseColWidth="10" defaultRowHeight="15" x14ac:dyDescent="0"/>
  <cols>
    <col min="1" max="1" width="19" customWidth="1"/>
    <col min="2" max="2" width="4.1640625" style="17" customWidth="1"/>
    <col min="3" max="4" width="12.6640625" customWidth="1"/>
    <col min="5" max="6" width="11.5" customWidth="1"/>
    <col min="7" max="7" width="16.1640625" customWidth="1"/>
    <col min="8" max="8" width="11.5" customWidth="1"/>
    <col min="9" max="9" width="14" customWidth="1"/>
    <col min="10" max="10" width="13.5" bestFit="1" customWidth="1"/>
    <col min="11" max="11" width="13.1640625" bestFit="1" customWidth="1"/>
    <col min="12" max="12" width="13.1640625" customWidth="1"/>
  </cols>
  <sheetData>
    <row r="1" spans="1:12" ht="72">
      <c r="A1" s="32" t="s">
        <v>221</v>
      </c>
      <c r="C1" s="202" t="s">
        <v>120</v>
      </c>
      <c r="D1" s="202" t="s">
        <v>312</v>
      </c>
      <c r="E1" s="202" t="s">
        <v>122</v>
      </c>
      <c r="F1" s="202" t="s">
        <v>182</v>
      </c>
      <c r="G1" s="202" t="s">
        <v>183</v>
      </c>
      <c r="H1" s="202" t="s">
        <v>215</v>
      </c>
      <c r="I1" s="202" t="s">
        <v>223</v>
      </c>
      <c r="J1" s="204" t="s">
        <v>141</v>
      </c>
      <c r="K1" s="265" t="s">
        <v>222</v>
      </c>
      <c r="L1" s="266" t="s">
        <v>311</v>
      </c>
    </row>
    <row r="2" spans="1:12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5" t="s">
        <v>84</v>
      </c>
      <c r="K2" s="118">
        <f>SUM(C2:C3)</f>
        <v>1116063.3333333333</v>
      </c>
      <c r="L2" s="206">
        <f>SUM(D2:D3)</f>
        <v>5</v>
      </c>
    </row>
    <row r="3" spans="1:12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5" t="s">
        <v>76</v>
      </c>
      <c r="K3" s="118">
        <f>C4+C5</f>
        <v>439841.66666666663</v>
      </c>
      <c r="L3" s="206">
        <f>D4+D5</f>
        <v>4</v>
      </c>
    </row>
    <row r="4" spans="1:12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5" t="s">
        <v>85</v>
      </c>
      <c r="K4" s="118">
        <f>C6+C7</f>
        <v>277708.33333333331</v>
      </c>
      <c r="L4" s="206">
        <f>D6+D7</f>
        <v>4</v>
      </c>
    </row>
    <row r="5" spans="1:12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5" t="s">
        <v>105</v>
      </c>
      <c r="K5" s="118">
        <f>C8+C9</f>
        <v>1426783.888888889</v>
      </c>
      <c r="L5" s="206">
        <f>D8+D9</f>
        <v>9</v>
      </c>
    </row>
    <row r="6" spans="1:12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5" t="s">
        <v>86</v>
      </c>
      <c r="K6" s="118">
        <f>C10+C11</f>
        <v>3421056.666666667</v>
      </c>
      <c r="L6" s="206">
        <f>D10+D11</f>
        <v>13</v>
      </c>
    </row>
    <row r="7" spans="1:12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5" t="s">
        <v>139</v>
      </c>
      <c r="K7" s="118">
        <f>C12+C13</f>
        <v>2373206.666666667</v>
      </c>
      <c r="L7" s="206">
        <f>D12+D13</f>
        <v>9</v>
      </c>
    </row>
    <row r="8" spans="1:12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5" t="s">
        <v>87</v>
      </c>
      <c r="K8" s="118">
        <f>C14+C15</f>
        <v>2178386.6666666665</v>
      </c>
      <c r="L8" s="206">
        <f>D14+D15</f>
        <v>9</v>
      </c>
    </row>
    <row r="9" spans="1:12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5" t="s">
        <v>77</v>
      </c>
      <c r="K9" s="118">
        <f>C16+C17</f>
        <v>2115476.666666667</v>
      </c>
      <c r="L9" s="206">
        <f>D16+D17</f>
        <v>10</v>
      </c>
    </row>
    <row r="10" spans="1:12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5" t="s">
        <v>88</v>
      </c>
      <c r="K10" s="118">
        <f t="shared" ref="K10:L17" si="1">C18</f>
        <v>939467.77777777775</v>
      </c>
      <c r="L10" s="206">
        <f t="shared" si="1"/>
        <v>5</v>
      </c>
    </row>
    <row r="11" spans="1:12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5" t="s">
        <v>138</v>
      </c>
      <c r="K11" s="118">
        <f t="shared" si="1"/>
        <v>705188.33333333337</v>
      </c>
      <c r="L11" s="206">
        <f t="shared" si="1"/>
        <v>6</v>
      </c>
    </row>
    <row r="12" spans="1:12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5" t="s">
        <v>119</v>
      </c>
      <c r="K12" s="118">
        <f t="shared" si="1"/>
        <v>105133.33333333334</v>
      </c>
      <c r="L12" s="206">
        <f t="shared" si="1"/>
        <v>1</v>
      </c>
    </row>
    <row r="13" spans="1:12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5" t="s">
        <v>21</v>
      </c>
      <c r="K13" s="118">
        <f t="shared" si="1"/>
        <v>959265</v>
      </c>
      <c r="L13" s="206">
        <f t="shared" si="1"/>
        <v>3</v>
      </c>
    </row>
    <row r="14" spans="1:12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5" t="s">
        <v>17</v>
      </c>
      <c r="K14" s="118">
        <f t="shared" si="1"/>
        <v>466208.33333333337</v>
      </c>
      <c r="L14" s="206">
        <f t="shared" si="1"/>
        <v>9</v>
      </c>
    </row>
    <row r="15" spans="1:12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5" t="s">
        <v>37</v>
      </c>
      <c r="K15" s="118">
        <f t="shared" si="1"/>
        <v>653356.66666666663</v>
      </c>
      <c r="L15" s="206">
        <f t="shared" si="1"/>
        <v>7</v>
      </c>
    </row>
    <row r="16" spans="1:12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5" t="s">
        <v>38</v>
      </c>
      <c r="K16" s="118">
        <f t="shared" si="1"/>
        <v>517545</v>
      </c>
      <c r="L16" s="206">
        <f t="shared" si="1"/>
        <v>6</v>
      </c>
    </row>
    <row r="17" spans="1:13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7" t="s">
        <v>46</v>
      </c>
      <c r="K17" s="119">
        <f t="shared" si="1"/>
        <v>370073.33333333337</v>
      </c>
      <c r="L17" s="208">
        <f t="shared" si="1"/>
        <v>5</v>
      </c>
    </row>
    <row r="18" spans="1:13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L18" s="53"/>
    </row>
    <row r="19" spans="1:13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</row>
    <row r="20" spans="1:13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</row>
    <row r="21" spans="1:13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</row>
    <row r="22" spans="1:13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310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13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310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13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310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13" s="216" customFormat="1" ht="16" thickBot="1">
      <c r="A25" s="217" t="s">
        <v>46</v>
      </c>
      <c r="B25" s="218"/>
      <c r="C25" s="218">
        <f>SUMIF(Collection!B:B, A25, Collection!J:J)</f>
        <v>370073.33333333337</v>
      </c>
      <c r="D25" s="218">
        <f>COUNTIFS(Collection!B:B, A25, Collection!O:O, "&gt;0", Collection!J:J, "&gt;5,000")</f>
        <v>5</v>
      </c>
      <c r="E25" s="216">
        <v>126</v>
      </c>
      <c r="F25" s="216" t="s">
        <v>310</v>
      </c>
      <c r="H25" s="218">
        <f t="shared" si="0"/>
        <v>2937.0899470899476</v>
      </c>
      <c r="I25" s="218">
        <f>SUMIF(Collection!B:B, 'Total Larvae to Date'!A25, Collection!O:O)</f>
        <v>179716.66666666666</v>
      </c>
    </row>
    <row r="26" spans="1:13" ht="28" customHeight="1" thickTop="1">
      <c r="C26" s="280" t="s">
        <v>228</v>
      </c>
      <c r="D26" s="280"/>
      <c r="E26" s="280"/>
      <c r="F26" s="280"/>
      <c r="G26" s="280"/>
      <c r="H26" s="280"/>
      <c r="I26" s="280"/>
      <c r="J26" s="280"/>
      <c r="K26" s="280"/>
      <c r="L26" s="209"/>
      <c r="M26" s="209"/>
    </row>
    <row r="27" spans="1:13" s="202" customFormat="1" ht="18">
      <c r="A27" s="32" t="s">
        <v>221</v>
      </c>
      <c r="B27" s="203"/>
      <c r="C27" s="209">
        <v>42891</v>
      </c>
      <c r="D27" s="209">
        <v>42895</v>
      </c>
      <c r="E27" s="209">
        <v>42898</v>
      </c>
      <c r="F27" s="209">
        <v>42901</v>
      </c>
      <c r="G27" s="209">
        <v>42905</v>
      </c>
      <c r="H27" s="209">
        <v>42908</v>
      </c>
      <c r="I27" s="209">
        <v>42912</v>
      </c>
      <c r="J27" s="209">
        <v>42915</v>
      </c>
      <c r="K27" s="209">
        <v>42919</v>
      </c>
      <c r="L27" s="209">
        <v>42922</v>
      </c>
    </row>
    <row r="28" spans="1:13">
      <c r="A28" s="14" t="s">
        <v>98</v>
      </c>
      <c r="B28" s="118"/>
      <c r="C28" s="154">
        <f>SUMIFS(Collection!$O:$O, Collection!$B:$B, 'Total Larvae to Date'!$A28, Collection!$A:$A, "&lt;"&amp;'Total Larvae to Date'!C$27)</f>
        <v>136326.66666666669</v>
      </c>
      <c r="D28" s="154">
        <f>SUMIFS(Collection!$O:$O, Collection!$B:$B, 'Total Larvae to Date'!$A28, Collection!$A:$A, "&lt;"&amp;'Total Larvae to Date'!D$27)</f>
        <v>213510.00000000003</v>
      </c>
      <c r="E28" s="154">
        <f>SUMIFS(Collection!$O:$O, Collection!$B:$B, 'Total Larvae to Date'!$A28, Collection!$A:$A, "&lt;"&amp;'Total Larvae to Date'!E$27)</f>
        <v>213510.00000000003</v>
      </c>
      <c r="F28" s="154">
        <f>SUMIFS(Collection!$O:$O, Collection!$B:$B, 'Total Larvae to Date'!$A28, Collection!$A:$A, "&lt;"&amp;'Total Larvae to Date'!F$27)</f>
        <v>213510.00000000003</v>
      </c>
      <c r="G28" s="154">
        <f>SUMIFS(Collection!$O:$O, Collection!$B:$B, 'Total Larvae to Date'!$A28, Collection!$A:$A, "&lt;"&amp;'Total Larvae to Date'!G$27)</f>
        <v>213510.00000000003</v>
      </c>
      <c r="H28" s="154">
        <f>SUMIFS(Collection!$O:$O, Collection!$B:$B, 'Total Larvae to Date'!$A28, Collection!$A:$A, "&lt;"&amp;'Total Larvae to Date'!H$27)</f>
        <v>213510.00000000003</v>
      </c>
      <c r="I28" s="154">
        <f>SUMIFS(Collection!$O:$O, Collection!$B:$B, 'Total Larvae to Date'!$A28, Collection!$A:$A, "&lt;"&amp;'Total Larvae to Date'!I$27)</f>
        <v>213510.00000000003</v>
      </c>
      <c r="J28" s="154">
        <f>SUMIFS(Collection!$O:$O, Collection!$B:$B, 'Total Larvae to Date'!$A28, Collection!$A:$A, "&lt;"&amp;'Total Larvae to Date'!J$27)</f>
        <v>213510.00000000003</v>
      </c>
      <c r="K28" s="154">
        <f>SUMIFS(Collection!$O:$O, Collection!$B:$B, 'Total Larvae to Date'!$A28, Collection!$A:$A, "&lt;"&amp;'Total Larvae to Date'!K$27)</f>
        <v>213510.00000000003</v>
      </c>
      <c r="L28" s="154">
        <f>SUMIFS(Collection!$O:$O, Collection!$B:$B, 'Total Larvae to Date'!$A28, Collection!$A:$A, "&lt;"&amp;'Total Larvae to Date'!L$27)</f>
        <v>213510.00000000003</v>
      </c>
    </row>
    <row r="29" spans="1:13">
      <c r="A29" s="7" t="s">
        <v>31</v>
      </c>
      <c r="B29" s="118"/>
      <c r="C29" s="154">
        <f>SUMIFS(Collection!$O:$O, Collection!$B:$B, 'Total Larvae to Date'!$A29, Collection!$A:$A, "&lt;"&amp;'Total Larvae to Date'!C$27)</f>
        <v>0</v>
      </c>
      <c r="D29" s="154">
        <f>SUMIFS(Collection!$O:$O, Collection!$B:$B, 'Total Larvae to Date'!$A29, Collection!$A:$A, "&lt;"&amp;'Total Larvae to Date'!D$27)</f>
        <v>0</v>
      </c>
      <c r="E29" s="154">
        <f>SUMIFS(Collection!$O:$O, Collection!$B:$B, 'Total Larvae to Date'!$A29, Collection!$A:$A, "&lt;"&amp;'Total Larvae to Date'!E$27)</f>
        <v>0</v>
      </c>
      <c r="F29" s="154">
        <f>SUMIFS(Collection!$O:$O, Collection!$B:$B, 'Total Larvae to Date'!$A29, Collection!$A:$A, "&lt;"&amp;'Total Larvae to Date'!F$27)</f>
        <v>57866.666666666664</v>
      </c>
      <c r="G29" s="154">
        <f>SUMIFS(Collection!$O:$O, Collection!$B:$B, 'Total Larvae to Date'!$A29, Collection!$A:$A, "&lt;"&amp;'Total Larvae to Date'!G$27)</f>
        <v>105766.66666666667</v>
      </c>
      <c r="H29" s="154">
        <f>SUMIFS(Collection!$O:$O, Collection!$B:$B, 'Total Larvae to Date'!$A29, Collection!$A:$A, "&lt;"&amp;'Total Larvae to Date'!H$27)</f>
        <v>105766.66666666667</v>
      </c>
      <c r="I29" s="154">
        <f>SUMIFS(Collection!$O:$O, Collection!$B:$B, 'Total Larvae to Date'!$A29, Collection!$A:$A, "&lt;"&amp;'Total Larvae to Date'!I$27)</f>
        <v>105766.66666666667</v>
      </c>
      <c r="J29" s="154">
        <f>SUMIFS(Collection!$O:$O, Collection!$B:$B, 'Total Larvae to Date'!$A29, Collection!$A:$A, "&lt;"&amp;'Total Larvae to Date'!J$27)</f>
        <v>105766.66666666667</v>
      </c>
      <c r="K29" s="154">
        <f>SUMIFS(Collection!$O:$O, Collection!$B:$B, 'Total Larvae to Date'!$A29, Collection!$A:$A, "&lt;"&amp;'Total Larvae to Date'!K$27)</f>
        <v>105766.66666666667</v>
      </c>
      <c r="L29" s="154">
        <f>SUMIFS(Collection!$O:$O, Collection!$B:$B, 'Total Larvae to Date'!$A29, Collection!$A:$A, "&lt;"&amp;'Total Larvae to Date'!L$27)</f>
        <v>105766.66666666667</v>
      </c>
    </row>
    <row r="30" spans="1:13">
      <c r="A30" s="14" t="s">
        <v>49</v>
      </c>
      <c r="B30" s="118"/>
      <c r="C30" s="154">
        <f>SUMIFS(Collection!$O:$O, Collection!$B:$B, 'Total Larvae to Date'!$A30, Collection!$A:$A, "&lt;"&amp;'Total Larvae to Date'!C$27)</f>
        <v>5183.3333333333339</v>
      </c>
      <c r="D30" s="154">
        <f>SUMIFS(Collection!$O:$O, Collection!$B:$B, 'Total Larvae to Date'!$A30, Collection!$A:$A, "&lt;"&amp;'Total Larvae to Date'!D$27)</f>
        <v>5183.3333333333339</v>
      </c>
      <c r="E30" s="154">
        <f>SUMIFS(Collection!$O:$O, Collection!$B:$B, 'Total Larvae to Date'!$A30, Collection!$A:$A, "&lt;"&amp;'Total Larvae to Date'!E$27)</f>
        <v>5183.3333333333339</v>
      </c>
      <c r="F30" s="154">
        <f>SUMIFS(Collection!$O:$O, Collection!$B:$B, 'Total Larvae to Date'!$A30, Collection!$A:$A, "&lt;"&amp;'Total Larvae to Date'!F$27)</f>
        <v>5183.3333333333339</v>
      </c>
      <c r="G30" s="154">
        <f>SUMIFS(Collection!$O:$O, Collection!$B:$B, 'Total Larvae to Date'!$A30, Collection!$A:$A, "&lt;"&amp;'Total Larvae to Date'!G$27)</f>
        <v>5183.3333333333339</v>
      </c>
      <c r="H30" s="154">
        <f>SUMIFS(Collection!$O:$O, Collection!$B:$B, 'Total Larvae to Date'!$A30, Collection!$A:$A, "&lt;"&amp;'Total Larvae to Date'!H$27)</f>
        <v>5183.3333333333339</v>
      </c>
      <c r="I30" s="154">
        <f>SUMIFS(Collection!$O:$O, Collection!$B:$B, 'Total Larvae to Date'!$A30, Collection!$A:$A, "&lt;"&amp;'Total Larvae to Date'!I$27)</f>
        <v>5183.3333333333339</v>
      </c>
      <c r="J30" s="154">
        <f>SUMIFS(Collection!$O:$O, Collection!$B:$B, 'Total Larvae to Date'!$A30, Collection!$A:$A, "&lt;"&amp;'Total Larvae to Date'!J$27)</f>
        <v>5183.3333333333339</v>
      </c>
      <c r="K30" s="154">
        <f>SUMIFS(Collection!$O:$O, Collection!$B:$B, 'Total Larvae to Date'!$A30, Collection!$A:$A, "&lt;"&amp;'Total Larvae to Date'!K$27)</f>
        <v>5183.3333333333339</v>
      </c>
      <c r="L30" s="154">
        <f>SUMIFS(Collection!$O:$O, Collection!$B:$B, 'Total Larvae to Date'!$A30, Collection!$A:$A, "&lt;"&amp;'Total Larvae to Date'!L$27)</f>
        <v>47141.666666666664</v>
      </c>
    </row>
    <row r="31" spans="1:13">
      <c r="A31" s="7" t="s">
        <v>47</v>
      </c>
      <c r="B31" s="118"/>
      <c r="C31" s="154">
        <f>SUMIFS(Collection!$O:$O, Collection!$B:$B, 'Total Larvae to Date'!$A31, Collection!$A:$A, "&lt;"&amp;'Total Larvae to Date'!C$27)</f>
        <v>164275</v>
      </c>
      <c r="D31" s="154">
        <f>SUMIFS(Collection!$O:$O, Collection!$B:$B, 'Total Larvae to Date'!$A31, Collection!$A:$A, "&lt;"&amp;'Total Larvae to Date'!D$27)</f>
        <v>164275</v>
      </c>
      <c r="E31" s="154">
        <f>SUMIFS(Collection!$O:$O, Collection!$B:$B, 'Total Larvae to Date'!$A31, Collection!$A:$A, "&lt;"&amp;'Total Larvae to Date'!E$27)</f>
        <v>164275</v>
      </c>
      <c r="F31" s="154">
        <f>SUMIFS(Collection!$O:$O, Collection!$B:$B, 'Total Larvae to Date'!$A31, Collection!$A:$A, "&lt;"&amp;'Total Larvae to Date'!F$27)</f>
        <v>164275</v>
      </c>
      <c r="G31" s="154">
        <f>SUMIFS(Collection!$O:$O, Collection!$B:$B, 'Total Larvae to Date'!$A31, Collection!$A:$A, "&lt;"&amp;'Total Larvae to Date'!G$27)</f>
        <v>164275</v>
      </c>
      <c r="H31" s="154">
        <f>SUMIFS(Collection!$O:$O, Collection!$B:$B, 'Total Larvae to Date'!$A31, Collection!$A:$A, "&lt;"&amp;'Total Larvae to Date'!H$27)</f>
        <v>164275</v>
      </c>
      <c r="I31" s="154">
        <f>SUMIFS(Collection!$O:$O, Collection!$B:$B, 'Total Larvae to Date'!$A31, Collection!$A:$A, "&lt;"&amp;'Total Larvae to Date'!I$27)</f>
        <v>164275</v>
      </c>
      <c r="J31" s="154">
        <f>SUMIFS(Collection!$O:$O, Collection!$B:$B, 'Total Larvae to Date'!$A31, Collection!$A:$A, "&lt;"&amp;'Total Larvae to Date'!J$27)</f>
        <v>164275</v>
      </c>
      <c r="K31" s="154">
        <f>SUMIFS(Collection!$O:$O, Collection!$B:$B, 'Total Larvae to Date'!$A31, Collection!$A:$A, "&lt;"&amp;'Total Larvae to Date'!K$27)</f>
        <v>164275</v>
      </c>
      <c r="L31" s="154">
        <f>SUMIFS(Collection!$O:$O, Collection!$B:$B, 'Total Larvae to Date'!$A31, Collection!$A:$A, "&lt;"&amp;'Total Larvae to Date'!L$27)</f>
        <v>164275</v>
      </c>
    </row>
    <row r="32" spans="1:13">
      <c r="A32" s="7" t="s">
        <v>50</v>
      </c>
      <c r="B32" s="118"/>
      <c r="C32" s="154">
        <f>SUMIFS(Collection!$O:$O, Collection!$B:$B, 'Total Larvae to Date'!$A32, Collection!$A:$A, "&lt;"&amp;'Total Larvae to Date'!C$27)</f>
        <v>66675</v>
      </c>
      <c r="D32" s="154">
        <f>SUMIFS(Collection!$O:$O, Collection!$B:$B, 'Total Larvae to Date'!$A32, Collection!$A:$A, "&lt;"&amp;'Total Larvae to Date'!D$27)</f>
        <v>66675</v>
      </c>
      <c r="E32" s="154">
        <f>SUMIFS(Collection!$O:$O, Collection!$B:$B, 'Total Larvae to Date'!$A32, Collection!$A:$A, "&lt;"&amp;'Total Larvae to Date'!E$27)</f>
        <v>66675</v>
      </c>
      <c r="F32" s="154">
        <f>SUMIFS(Collection!$O:$O, Collection!$B:$B, 'Total Larvae to Date'!$A32, Collection!$A:$A, "&lt;"&amp;'Total Larvae to Date'!F$27)</f>
        <v>66675</v>
      </c>
      <c r="G32" s="154">
        <f>SUMIFS(Collection!$O:$O, Collection!$B:$B, 'Total Larvae to Date'!$A32, Collection!$A:$A, "&lt;"&amp;'Total Larvae to Date'!G$27)</f>
        <v>66675</v>
      </c>
      <c r="H32" s="154">
        <f>SUMIFS(Collection!$O:$O, Collection!$B:$B, 'Total Larvae to Date'!$A32, Collection!$A:$A, "&lt;"&amp;'Total Larvae to Date'!H$27)</f>
        <v>66675</v>
      </c>
      <c r="I32" s="154">
        <f>SUMIFS(Collection!$O:$O, Collection!$B:$B, 'Total Larvae to Date'!$A32, Collection!$A:$A, "&lt;"&amp;'Total Larvae to Date'!I$27)</f>
        <v>66708.333333333328</v>
      </c>
      <c r="J32" s="154">
        <f>SUMIFS(Collection!$O:$O, Collection!$B:$B, 'Total Larvae to Date'!$A32, Collection!$A:$A, "&lt;"&amp;'Total Larvae to Date'!J$27)</f>
        <v>66708.333333333328</v>
      </c>
      <c r="K32" s="154">
        <f>SUMIFS(Collection!$O:$O, Collection!$B:$B, 'Total Larvae to Date'!$A32, Collection!$A:$A, "&lt;"&amp;'Total Larvae to Date'!K$27)</f>
        <v>66708.333333333328</v>
      </c>
      <c r="L32" s="154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4">
        <f>SUMIFS(Collection!$O:$O, Collection!$B:$B, 'Total Larvae to Date'!$A33, Collection!$A:$A, "&lt;"&amp;'Total Larvae to Date'!C$27)</f>
        <v>64966.666666666672</v>
      </c>
      <c r="D33" s="154">
        <f>SUMIFS(Collection!$O:$O, Collection!$B:$B, 'Total Larvae to Date'!$A33, Collection!$A:$A, "&lt;"&amp;'Total Larvae to Date'!D$27)</f>
        <v>64966.666666666672</v>
      </c>
      <c r="E33" s="154">
        <f>SUMIFS(Collection!$O:$O, Collection!$B:$B, 'Total Larvae to Date'!$A33, Collection!$A:$A, "&lt;"&amp;'Total Larvae to Date'!E$27)</f>
        <v>64966.666666666672</v>
      </c>
      <c r="F33" s="154">
        <f>SUMIFS(Collection!$O:$O, Collection!$B:$B, 'Total Larvae to Date'!$A33, Collection!$A:$A, "&lt;"&amp;'Total Larvae to Date'!F$27)</f>
        <v>64966.666666666672</v>
      </c>
      <c r="G33" s="154">
        <f>SUMIFS(Collection!$O:$O, Collection!$B:$B, 'Total Larvae to Date'!$A33, Collection!$A:$A, "&lt;"&amp;'Total Larvae to Date'!G$27)</f>
        <v>64966.666666666672</v>
      </c>
      <c r="H33" s="154">
        <f>SUMIFS(Collection!$O:$O, Collection!$B:$B, 'Total Larvae to Date'!$A33, Collection!$A:$A, "&lt;"&amp;'Total Larvae to Date'!H$27)</f>
        <v>64966.666666666672</v>
      </c>
      <c r="I33" s="154">
        <f>SUMIFS(Collection!$O:$O, Collection!$B:$B, 'Total Larvae to Date'!$A33, Collection!$A:$A, "&lt;"&amp;'Total Larvae to Date'!I$27)</f>
        <v>64966.666666666672</v>
      </c>
      <c r="J33" s="154">
        <f>SUMIFS(Collection!$O:$O, Collection!$B:$B, 'Total Larvae to Date'!$A33, Collection!$A:$A, "&lt;"&amp;'Total Larvae to Date'!J$27)</f>
        <v>64966.666666666672</v>
      </c>
      <c r="K33" s="154">
        <f>SUMIFS(Collection!$O:$O, Collection!$B:$B, 'Total Larvae to Date'!$A33, Collection!$A:$A, "&lt;"&amp;'Total Larvae to Date'!K$27)</f>
        <v>64966.666666666672</v>
      </c>
      <c r="L33" s="154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4">
        <f>SUMIFS(Collection!$O:$O, Collection!$B:$B, 'Total Larvae to Date'!$A34, Collection!$A:$A, "&lt;"&amp;'Total Larvae to Date'!C$27)</f>
        <v>0</v>
      </c>
      <c r="D34" s="154">
        <f>SUMIFS(Collection!$O:$O, Collection!$B:$B, 'Total Larvae to Date'!$A34, Collection!$A:$A, "&lt;"&amp;'Total Larvae to Date'!D$27)</f>
        <v>66100</v>
      </c>
      <c r="E34" s="154">
        <f>SUMIFS(Collection!$O:$O, Collection!$B:$B, 'Total Larvae to Date'!$A34, Collection!$A:$A, "&lt;"&amp;'Total Larvae to Date'!E$27)</f>
        <v>127833.33333333334</v>
      </c>
      <c r="F34" s="154">
        <f>SUMIFS(Collection!$O:$O, Collection!$B:$B, 'Total Larvae to Date'!$A34, Collection!$A:$A, "&lt;"&amp;'Total Larvae to Date'!F$27)</f>
        <v>137233.33333333334</v>
      </c>
      <c r="G34" s="154">
        <f>SUMIFS(Collection!$O:$O, Collection!$B:$B, 'Total Larvae to Date'!$A34, Collection!$A:$A, "&lt;"&amp;'Total Larvae to Date'!G$27)</f>
        <v>137233.33333333334</v>
      </c>
      <c r="H34" s="154">
        <f>SUMIFS(Collection!$O:$O, Collection!$B:$B, 'Total Larvae to Date'!$A34, Collection!$A:$A, "&lt;"&amp;'Total Larvae to Date'!H$27)</f>
        <v>196873.33333333334</v>
      </c>
      <c r="I34" s="154">
        <f>SUMIFS(Collection!$O:$O, Collection!$B:$B, 'Total Larvae to Date'!$A34, Collection!$A:$A, "&lt;"&amp;'Total Larvae to Date'!I$27)</f>
        <v>197762.22222222222</v>
      </c>
      <c r="J34" s="154">
        <f>SUMIFS(Collection!$O:$O, Collection!$B:$B, 'Total Larvae to Date'!$A34, Collection!$A:$A, "&lt;"&amp;'Total Larvae to Date'!J$27)</f>
        <v>197762.22222222222</v>
      </c>
      <c r="K34" s="154">
        <f>SUMIFS(Collection!$O:$O, Collection!$B:$B, 'Total Larvae to Date'!$A34, Collection!$A:$A, "&lt;"&amp;'Total Larvae to Date'!K$27)</f>
        <v>197762.22222222222</v>
      </c>
      <c r="L34" s="154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4">
        <f>SUMIFS(Collection!$O:$O, Collection!$B:$B, 'Total Larvae to Date'!$A35, Collection!$A:$A, "&lt;"&amp;'Total Larvae to Date'!C$27)</f>
        <v>120666.66666666667</v>
      </c>
      <c r="D35" s="154">
        <f>SUMIFS(Collection!$O:$O, Collection!$B:$B, 'Total Larvae to Date'!$A35, Collection!$A:$A, "&lt;"&amp;'Total Larvae to Date'!D$27)</f>
        <v>173253.33333333334</v>
      </c>
      <c r="E35" s="154">
        <f>SUMIFS(Collection!$O:$O, Collection!$B:$B, 'Total Larvae to Date'!$A35, Collection!$A:$A, "&lt;"&amp;'Total Larvae to Date'!E$27)</f>
        <v>173253.33333333334</v>
      </c>
      <c r="F35" s="154">
        <f>SUMIFS(Collection!$O:$O, Collection!$B:$B, 'Total Larvae to Date'!$A35, Collection!$A:$A, "&lt;"&amp;'Total Larvae to Date'!F$27)</f>
        <v>173253.33333333334</v>
      </c>
      <c r="G35" s="154">
        <f>SUMIFS(Collection!$O:$O, Collection!$B:$B, 'Total Larvae to Date'!$A35, Collection!$A:$A, "&lt;"&amp;'Total Larvae to Date'!G$27)</f>
        <v>173253.33333333334</v>
      </c>
      <c r="H35" s="154">
        <f>SUMIFS(Collection!$O:$O, Collection!$B:$B, 'Total Larvae to Date'!$A35, Collection!$A:$A, "&lt;"&amp;'Total Larvae to Date'!H$27)</f>
        <v>173253.33333333334</v>
      </c>
      <c r="I35" s="154">
        <f>SUMIFS(Collection!$O:$O, Collection!$B:$B, 'Total Larvae to Date'!$A35, Collection!$A:$A, "&lt;"&amp;'Total Larvae to Date'!I$27)</f>
        <v>173253.33333333334</v>
      </c>
      <c r="J35" s="154">
        <f>SUMIFS(Collection!$O:$O, Collection!$B:$B, 'Total Larvae to Date'!$A35, Collection!$A:$A, "&lt;"&amp;'Total Larvae to Date'!J$27)</f>
        <v>173253.33333333334</v>
      </c>
      <c r="K35" s="154">
        <f>SUMIFS(Collection!$O:$O, Collection!$B:$B, 'Total Larvae to Date'!$A35, Collection!$A:$A, "&lt;"&amp;'Total Larvae to Date'!K$27)</f>
        <v>173253.33333333334</v>
      </c>
      <c r="L35" s="154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4">
        <f>SUMIFS(Collection!$O:$O, Collection!$B:$B, 'Total Larvae to Date'!$A36, Collection!$A:$A, "&lt;"&amp;'Total Larvae to Date'!C$27)</f>
        <v>368626.66666666669</v>
      </c>
      <c r="D36" s="154">
        <f>SUMIFS(Collection!$O:$O, Collection!$B:$B, 'Total Larvae to Date'!$A36, Collection!$A:$A, "&lt;"&amp;'Total Larvae to Date'!D$27)</f>
        <v>368626.66666666669</v>
      </c>
      <c r="E36" s="154">
        <f>SUMIFS(Collection!$O:$O, Collection!$B:$B, 'Total Larvae to Date'!$A36, Collection!$A:$A, "&lt;"&amp;'Total Larvae to Date'!E$27)</f>
        <v>368626.66666666669</v>
      </c>
      <c r="F36" s="154">
        <f>SUMIFS(Collection!$O:$O, Collection!$B:$B, 'Total Larvae to Date'!$A36, Collection!$A:$A, "&lt;"&amp;'Total Larvae to Date'!F$27)</f>
        <v>368626.66666666669</v>
      </c>
      <c r="G36" s="154">
        <f>SUMIFS(Collection!$O:$O, Collection!$B:$B, 'Total Larvae to Date'!$A36, Collection!$A:$A, "&lt;"&amp;'Total Larvae to Date'!G$27)</f>
        <v>368626.66666666669</v>
      </c>
      <c r="H36" s="154">
        <f>SUMIFS(Collection!$O:$O, Collection!$B:$B, 'Total Larvae to Date'!$A36, Collection!$A:$A, "&lt;"&amp;'Total Larvae to Date'!H$27)</f>
        <v>368626.66666666669</v>
      </c>
      <c r="I36" s="154">
        <f>SUMIFS(Collection!$O:$O, Collection!$B:$B, 'Total Larvae to Date'!$A36, Collection!$A:$A, "&lt;"&amp;'Total Larvae to Date'!I$27)</f>
        <v>368626.66666666669</v>
      </c>
      <c r="J36" s="154">
        <f>SUMIFS(Collection!$O:$O, Collection!$B:$B, 'Total Larvae to Date'!$A36, Collection!$A:$A, "&lt;"&amp;'Total Larvae to Date'!J$27)</f>
        <v>368626.66666666669</v>
      </c>
      <c r="K36" s="154">
        <f>SUMIFS(Collection!$O:$O, Collection!$B:$B, 'Total Larvae to Date'!$A36, Collection!$A:$A, "&lt;"&amp;'Total Larvae to Date'!K$27)</f>
        <v>368626.66666666669</v>
      </c>
      <c r="L36" s="154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4">
        <f>SUMIFS(Collection!$O:$O, Collection!$B:$B, 'Total Larvae to Date'!$A37, Collection!$A:$A, "&lt;"&amp;'Total Larvae to Date'!C$27)</f>
        <v>293333.33333333337</v>
      </c>
      <c r="D37" s="154">
        <f>SUMIFS(Collection!$O:$O, Collection!$B:$B, 'Total Larvae to Date'!$A37, Collection!$A:$A, "&lt;"&amp;'Total Larvae to Date'!D$27)</f>
        <v>293333.33333333337</v>
      </c>
      <c r="E37" s="154">
        <f>SUMIFS(Collection!$O:$O, Collection!$B:$B, 'Total Larvae to Date'!$A37, Collection!$A:$A, "&lt;"&amp;'Total Larvae to Date'!E$27)</f>
        <v>293333.33333333337</v>
      </c>
      <c r="F37" s="154">
        <f>SUMIFS(Collection!$O:$O, Collection!$B:$B, 'Total Larvae to Date'!$A37, Collection!$A:$A, "&lt;"&amp;'Total Larvae to Date'!F$27)</f>
        <v>332333.33333333337</v>
      </c>
      <c r="G37" s="154">
        <f>SUMIFS(Collection!$O:$O, Collection!$B:$B, 'Total Larvae to Date'!$A37, Collection!$A:$A, "&lt;"&amp;'Total Larvae to Date'!G$27)</f>
        <v>382166.66666666674</v>
      </c>
      <c r="H37" s="154">
        <f>SUMIFS(Collection!$O:$O, Collection!$B:$B, 'Total Larvae to Date'!$A37, Collection!$A:$A, "&lt;"&amp;'Total Larvae to Date'!H$27)</f>
        <v>382166.66666666674</v>
      </c>
      <c r="I37" s="154">
        <f>SUMIFS(Collection!$O:$O, Collection!$B:$B, 'Total Larvae to Date'!$A37, Collection!$A:$A, "&lt;"&amp;'Total Larvae to Date'!I$27)</f>
        <v>382166.66666666674</v>
      </c>
      <c r="J37" s="154">
        <f>SUMIFS(Collection!$O:$O, Collection!$B:$B, 'Total Larvae to Date'!$A37, Collection!$A:$A, "&lt;"&amp;'Total Larvae to Date'!J$27)</f>
        <v>382166.66666666674</v>
      </c>
      <c r="K37" s="154">
        <f>SUMIFS(Collection!$O:$O, Collection!$B:$B, 'Total Larvae to Date'!$A37, Collection!$A:$A, "&lt;"&amp;'Total Larvae to Date'!K$27)</f>
        <v>382166.66666666674</v>
      </c>
      <c r="L37" s="154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4">
        <f>SUMIFS(Collection!$O:$O, Collection!$B:$B, 'Total Larvae to Date'!$A38, Collection!$A:$A, "&lt;"&amp;'Total Larvae to Date'!C$27)</f>
        <v>250333.33333333334</v>
      </c>
      <c r="D38" s="154">
        <f>SUMIFS(Collection!$O:$O, Collection!$B:$B, 'Total Larvae to Date'!$A38, Collection!$A:$A, "&lt;"&amp;'Total Larvae to Date'!D$27)</f>
        <v>250333.33333333334</v>
      </c>
      <c r="E38" s="154">
        <f>SUMIFS(Collection!$O:$O, Collection!$B:$B, 'Total Larvae to Date'!$A38, Collection!$A:$A, "&lt;"&amp;'Total Larvae to Date'!E$27)</f>
        <v>250333.33333333334</v>
      </c>
      <c r="F38" s="154">
        <f>SUMIFS(Collection!$O:$O, Collection!$B:$B, 'Total Larvae to Date'!$A38, Collection!$A:$A, "&lt;"&amp;'Total Larvae to Date'!F$27)</f>
        <v>250333.33333333334</v>
      </c>
      <c r="G38" s="154">
        <f>SUMIFS(Collection!$O:$O, Collection!$B:$B, 'Total Larvae to Date'!$A38, Collection!$A:$A, "&lt;"&amp;'Total Larvae to Date'!G$27)</f>
        <v>250333.33333333334</v>
      </c>
      <c r="H38" s="154">
        <f>SUMIFS(Collection!$O:$O, Collection!$B:$B, 'Total Larvae to Date'!$A38, Collection!$A:$A, "&lt;"&amp;'Total Larvae to Date'!H$27)</f>
        <v>250333.33333333334</v>
      </c>
      <c r="I38" s="154">
        <f>SUMIFS(Collection!$O:$O, Collection!$B:$B, 'Total Larvae to Date'!$A38, Collection!$A:$A, "&lt;"&amp;'Total Larvae to Date'!I$27)</f>
        <v>327900</v>
      </c>
      <c r="J38" s="154">
        <f>SUMIFS(Collection!$O:$O, Collection!$B:$B, 'Total Larvae to Date'!$A38, Collection!$A:$A, "&lt;"&amp;'Total Larvae to Date'!J$27)</f>
        <v>327900</v>
      </c>
      <c r="K38" s="154">
        <f>SUMIFS(Collection!$O:$O, Collection!$B:$B, 'Total Larvae to Date'!$A38, Collection!$A:$A, "&lt;"&amp;'Total Larvae to Date'!K$27)</f>
        <v>327900</v>
      </c>
      <c r="L38" s="154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4">
        <f>SUMIFS(Collection!$O:$O, Collection!$B:$B, 'Total Larvae to Date'!$A39, Collection!$A:$A, "&lt;"&amp;'Total Larvae to Date'!C$27)</f>
        <v>202250</v>
      </c>
      <c r="D39" s="154">
        <f>SUMIFS(Collection!$O:$O, Collection!$B:$B, 'Total Larvae to Date'!$A39, Collection!$A:$A, "&lt;"&amp;'Total Larvae to Date'!D$27)</f>
        <v>202250</v>
      </c>
      <c r="E39" s="154">
        <f>SUMIFS(Collection!$O:$O, Collection!$B:$B, 'Total Larvae to Date'!$A39, Collection!$A:$A, "&lt;"&amp;'Total Larvae to Date'!E$27)</f>
        <v>202250</v>
      </c>
      <c r="F39" s="154">
        <f>SUMIFS(Collection!$O:$O, Collection!$B:$B, 'Total Larvae to Date'!$A39, Collection!$A:$A, "&lt;"&amp;'Total Larvae to Date'!F$27)</f>
        <v>281816.66666666669</v>
      </c>
      <c r="G39" s="154">
        <f>SUMIFS(Collection!$O:$O, Collection!$B:$B, 'Total Larvae to Date'!$A39, Collection!$A:$A, "&lt;"&amp;'Total Larvae to Date'!G$27)</f>
        <v>331683.33333333337</v>
      </c>
      <c r="H39" s="154">
        <f>SUMIFS(Collection!$O:$O, Collection!$B:$B, 'Total Larvae to Date'!$A39, Collection!$A:$A, "&lt;"&amp;'Total Larvae to Date'!H$27)</f>
        <v>331683.33333333337</v>
      </c>
      <c r="I39" s="154">
        <f>SUMIFS(Collection!$O:$O, Collection!$B:$B, 'Total Larvae to Date'!$A39, Collection!$A:$A, "&lt;"&amp;'Total Larvae to Date'!I$27)</f>
        <v>332550.00000000006</v>
      </c>
      <c r="J39" s="154">
        <f>SUMIFS(Collection!$O:$O, Collection!$B:$B, 'Total Larvae to Date'!$A39, Collection!$A:$A, "&lt;"&amp;'Total Larvae to Date'!J$27)</f>
        <v>332550.00000000006</v>
      </c>
      <c r="K39" s="154">
        <f>SUMIFS(Collection!$O:$O, Collection!$B:$B, 'Total Larvae to Date'!$A39, Collection!$A:$A, "&lt;"&amp;'Total Larvae to Date'!K$27)</f>
        <v>332550.00000000006</v>
      </c>
      <c r="L39" s="154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4">
        <f>SUMIFS(Collection!$O:$O, Collection!$B:$B, 'Total Larvae to Date'!$A40, Collection!$A:$A, "&lt;"&amp;'Total Larvae to Date'!C$27)</f>
        <v>1400</v>
      </c>
      <c r="D40" s="154">
        <f>SUMIFS(Collection!$O:$O, Collection!$B:$B, 'Total Larvae to Date'!$A40, Collection!$A:$A, "&lt;"&amp;'Total Larvae to Date'!D$27)</f>
        <v>1400</v>
      </c>
      <c r="E40" s="154">
        <f>SUMIFS(Collection!$O:$O, Collection!$B:$B, 'Total Larvae to Date'!$A40, Collection!$A:$A, "&lt;"&amp;'Total Larvae to Date'!E$27)</f>
        <v>1400</v>
      </c>
      <c r="F40" s="154">
        <f>SUMIFS(Collection!$O:$O, Collection!$B:$B, 'Total Larvae to Date'!$A40, Collection!$A:$A, "&lt;"&amp;'Total Larvae to Date'!F$27)</f>
        <v>1400</v>
      </c>
      <c r="G40" s="154">
        <f>SUMIFS(Collection!$O:$O, Collection!$B:$B, 'Total Larvae to Date'!$A40, Collection!$A:$A, "&lt;"&amp;'Total Larvae to Date'!G$27)</f>
        <v>1400</v>
      </c>
      <c r="H40" s="154">
        <f>SUMIFS(Collection!$O:$O, Collection!$B:$B, 'Total Larvae to Date'!$A40, Collection!$A:$A, "&lt;"&amp;'Total Larvae to Date'!H$27)</f>
        <v>57500</v>
      </c>
      <c r="I40" s="154">
        <f>SUMIFS(Collection!$O:$O, Collection!$B:$B, 'Total Larvae to Date'!$A40, Collection!$A:$A, "&lt;"&amp;'Total Larvae to Date'!I$27)</f>
        <v>57500</v>
      </c>
      <c r="J40" s="154">
        <f>SUMIFS(Collection!$O:$O, Collection!$B:$B, 'Total Larvae to Date'!$A40, Collection!$A:$A, "&lt;"&amp;'Total Larvae to Date'!J$27)</f>
        <v>57500</v>
      </c>
      <c r="K40" s="154">
        <f>SUMIFS(Collection!$O:$O, Collection!$B:$B, 'Total Larvae to Date'!$A40, Collection!$A:$A, "&lt;"&amp;'Total Larvae to Date'!K$27)</f>
        <v>57500</v>
      </c>
      <c r="L40" s="154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4">
        <f>SUMIFS(Collection!$O:$O, Collection!$B:$B, 'Total Larvae to Date'!$A41, Collection!$A:$A, "&lt;"&amp;'Total Larvae to Date'!C$27)</f>
        <v>159916.66666666666</v>
      </c>
      <c r="D41" s="154">
        <f>SUMIFS(Collection!$O:$O, Collection!$B:$B, 'Total Larvae to Date'!$A41, Collection!$A:$A, "&lt;"&amp;'Total Larvae to Date'!D$27)</f>
        <v>265850</v>
      </c>
      <c r="E41" s="154">
        <f>SUMIFS(Collection!$O:$O, Collection!$B:$B, 'Total Larvae to Date'!$A41, Collection!$A:$A, "&lt;"&amp;'Total Larvae to Date'!E$27)</f>
        <v>265850</v>
      </c>
      <c r="F41" s="154">
        <f>SUMIFS(Collection!$O:$O, Collection!$B:$B, 'Total Larvae to Date'!$A41, Collection!$A:$A, "&lt;"&amp;'Total Larvae to Date'!F$27)</f>
        <v>265850</v>
      </c>
      <c r="G41" s="154">
        <f>SUMIFS(Collection!$O:$O, Collection!$B:$B, 'Total Larvae to Date'!$A41, Collection!$A:$A, "&lt;"&amp;'Total Larvae to Date'!G$27)</f>
        <v>389983.33333333331</v>
      </c>
      <c r="H41" s="154">
        <f>SUMIFS(Collection!$O:$O, Collection!$B:$B, 'Total Larvae to Date'!$A41, Collection!$A:$A, "&lt;"&amp;'Total Larvae to Date'!H$27)</f>
        <v>419903.33333333331</v>
      </c>
      <c r="I41" s="154">
        <f>SUMIFS(Collection!$O:$O, Collection!$B:$B, 'Total Larvae to Date'!$A41, Collection!$A:$A, "&lt;"&amp;'Total Larvae to Date'!I$27)</f>
        <v>419903.33333333331</v>
      </c>
      <c r="J41" s="154">
        <f>SUMIFS(Collection!$O:$O, Collection!$B:$B, 'Total Larvae to Date'!$A41, Collection!$A:$A, "&lt;"&amp;'Total Larvae to Date'!J$27)</f>
        <v>419903.33333333331</v>
      </c>
      <c r="K41" s="154">
        <f>SUMIFS(Collection!$O:$O, Collection!$B:$B, 'Total Larvae to Date'!$A41, Collection!$A:$A, "&lt;"&amp;'Total Larvae to Date'!K$27)</f>
        <v>419903.33333333331</v>
      </c>
      <c r="L41" s="154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4">
        <f>SUMIFS(Collection!$O:$O, Collection!$B:$B, 'Total Larvae to Date'!$A42, Collection!$A:$A, "&lt;"&amp;'Total Larvae to Date'!C$27)</f>
        <v>152583.33333333334</v>
      </c>
      <c r="D42" s="154">
        <f>SUMIFS(Collection!$O:$O, Collection!$B:$B, 'Total Larvae to Date'!$A42, Collection!$A:$A, "&lt;"&amp;'Total Larvae to Date'!D$27)</f>
        <v>152583.33333333334</v>
      </c>
      <c r="E42" s="154">
        <f>SUMIFS(Collection!$O:$O, Collection!$B:$B, 'Total Larvae to Date'!$A42, Collection!$A:$A, "&lt;"&amp;'Total Larvae to Date'!E$27)</f>
        <v>152583.33333333334</v>
      </c>
      <c r="F42" s="154">
        <f>SUMIFS(Collection!$O:$O, Collection!$B:$B, 'Total Larvae to Date'!$A42, Collection!$A:$A, "&lt;"&amp;'Total Larvae to Date'!F$27)</f>
        <v>152583.33333333334</v>
      </c>
      <c r="G42" s="154">
        <f>SUMIFS(Collection!$O:$O, Collection!$B:$B, 'Total Larvae to Date'!$A42, Collection!$A:$A, "&lt;"&amp;'Total Larvae to Date'!G$27)</f>
        <v>210583.33333333334</v>
      </c>
      <c r="H42" s="154">
        <f>SUMIFS(Collection!$O:$O, Collection!$B:$B, 'Total Larvae to Date'!$A42, Collection!$A:$A, "&lt;"&amp;'Total Larvae to Date'!H$27)</f>
        <v>210583.33333333334</v>
      </c>
      <c r="I42" s="154">
        <f>SUMIFS(Collection!$O:$O, Collection!$B:$B, 'Total Larvae to Date'!$A42, Collection!$A:$A, "&lt;"&amp;'Total Larvae to Date'!I$27)</f>
        <v>210583.33333333334</v>
      </c>
      <c r="J42" s="154">
        <f>SUMIFS(Collection!$O:$O, Collection!$B:$B, 'Total Larvae to Date'!$A42, Collection!$A:$A, "&lt;"&amp;'Total Larvae to Date'!J$27)</f>
        <v>210583.33333333334</v>
      </c>
      <c r="K42" s="154">
        <f>SUMIFS(Collection!$O:$O, Collection!$B:$B, 'Total Larvae to Date'!$A42, Collection!$A:$A, "&lt;"&amp;'Total Larvae to Date'!K$27)</f>
        <v>210583.33333333334</v>
      </c>
      <c r="L42" s="154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4">
        <f>SUMIFS(Collection!$O:$O, Collection!$B:$B, 'Total Larvae to Date'!$A43, Collection!$A:$A, "&lt;"&amp;'Total Larvae to Date'!C$27)</f>
        <v>138400</v>
      </c>
      <c r="D43" s="154">
        <f>SUMIFS(Collection!$O:$O, Collection!$B:$B, 'Total Larvae to Date'!$A43, Collection!$A:$A, "&lt;"&amp;'Total Larvae to Date'!D$27)</f>
        <v>138400</v>
      </c>
      <c r="E43" s="154">
        <f>SUMIFS(Collection!$O:$O, Collection!$B:$B, 'Total Larvae to Date'!$A43, Collection!$A:$A, "&lt;"&amp;'Total Larvae to Date'!E$27)</f>
        <v>138400</v>
      </c>
      <c r="F43" s="154">
        <f>SUMIFS(Collection!$O:$O, Collection!$B:$B, 'Total Larvae to Date'!$A43, Collection!$A:$A, "&lt;"&amp;'Total Larvae to Date'!F$27)</f>
        <v>274600</v>
      </c>
      <c r="G43" s="154">
        <f>SUMIFS(Collection!$O:$O, Collection!$B:$B, 'Total Larvae to Date'!$A43, Collection!$A:$A, "&lt;"&amp;'Total Larvae to Date'!G$27)</f>
        <v>321833.33333333331</v>
      </c>
      <c r="H43" s="154">
        <f>SUMIFS(Collection!$O:$O, Collection!$B:$B, 'Total Larvae to Date'!$A43, Collection!$A:$A, "&lt;"&amp;'Total Larvae to Date'!H$27)</f>
        <v>321833.33333333331</v>
      </c>
      <c r="I43" s="154">
        <f>SUMIFS(Collection!$O:$O, Collection!$B:$B, 'Total Larvae to Date'!$A43, Collection!$A:$A, "&lt;"&amp;'Total Larvae to Date'!I$27)</f>
        <v>321833.33333333331</v>
      </c>
      <c r="J43" s="154">
        <f>SUMIFS(Collection!$O:$O, Collection!$B:$B, 'Total Larvae to Date'!$A43, Collection!$A:$A, "&lt;"&amp;'Total Larvae to Date'!J$27)</f>
        <v>321833.33333333331</v>
      </c>
      <c r="K43" s="154">
        <f>SUMIFS(Collection!$O:$O, Collection!$B:$B, 'Total Larvae to Date'!$A43, Collection!$A:$A, "&lt;"&amp;'Total Larvae to Date'!K$27)</f>
        <v>321833.33333333331</v>
      </c>
      <c r="L43" s="154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4">
        <f>SUMIFS(Collection!$O:$O, Collection!$B:$B, 'Total Larvae to Date'!$A44, Collection!$A:$A, "&lt;"&amp;'Total Larvae to Date'!C$27)</f>
        <v>153386.66666666666</v>
      </c>
      <c r="D44" s="154">
        <f>SUMIFS(Collection!$O:$O, Collection!$B:$B, 'Total Larvae to Date'!$A44, Collection!$A:$A, "&lt;"&amp;'Total Larvae to Date'!D$27)</f>
        <v>153386.66666666666</v>
      </c>
      <c r="E44" s="154">
        <f>SUMIFS(Collection!$O:$O, Collection!$B:$B, 'Total Larvae to Date'!$A44, Collection!$A:$A, "&lt;"&amp;'Total Larvae to Date'!E$27)</f>
        <v>153386.66666666666</v>
      </c>
      <c r="F44" s="154">
        <f>SUMIFS(Collection!$O:$O, Collection!$B:$B, 'Total Larvae to Date'!$A44, Collection!$A:$A, "&lt;"&amp;'Total Larvae to Date'!F$27)</f>
        <v>153386.66666666666</v>
      </c>
      <c r="G44" s="154">
        <f>SUMIFS(Collection!$O:$O, Collection!$B:$B, 'Total Larvae to Date'!$A44, Collection!$A:$A, "&lt;"&amp;'Total Larvae to Date'!G$27)</f>
        <v>153386.66666666666</v>
      </c>
      <c r="H44" s="154">
        <f>SUMIFS(Collection!$O:$O, Collection!$B:$B, 'Total Larvae to Date'!$A44, Collection!$A:$A, "&lt;"&amp;'Total Larvae to Date'!H$27)</f>
        <v>206843.33333333331</v>
      </c>
      <c r="I44" s="154">
        <f>SUMIFS(Collection!$O:$O, Collection!$B:$B, 'Total Larvae to Date'!$A44, Collection!$A:$A, "&lt;"&amp;'Total Larvae to Date'!I$27)</f>
        <v>208407.77777777775</v>
      </c>
      <c r="J44" s="154">
        <f>SUMIFS(Collection!$O:$O, Collection!$B:$B, 'Total Larvae to Date'!$A44, Collection!$A:$A, "&lt;"&amp;'Total Larvae to Date'!J$27)</f>
        <v>208407.77777777775</v>
      </c>
      <c r="K44" s="154">
        <f>SUMIFS(Collection!$O:$O, Collection!$B:$B, 'Total Larvae to Date'!$A44, Collection!$A:$A, "&lt;"&amp;'Total Larvae to Date'!K$27)</f>
        <v>283857.77777777775</v>
      </c>
      <c r="L44" s="154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4">
        <f>SUMIFS(Collection!$O:$O, Collection!$B:$B, 'Total Larvae to Date'!$A45, Collection!$A:$A, "&lt;"&amp;'Total Larvae to Date'!C$27)</f>
        <v>162066.66666666669</v>
      </c>
      <c r="D45" s="154">
        <f>SUMIFS(Collection!$O:$O, Collection!$B:$B, 'Total Larvae to Date'!$A45, Collection!$A:$A, "&lt;"&amp;'Total Larvae to Date'!D$27)</f>
        <v>162066.66666666669</v>
      </c>
      <c r="E45" s="154">
        <f>SUMIFS(Collection!$O:$O, Collection!$B:$B, 'Total Larvae to Date'!$A45, Collection!$A:$A, "&lt;"&amp;'Total Larvae to Date'!E$27)</f>
        <v>216266.66666666669</v>
      </c>
      <c r="F45" s="154">
        <f>SUMIFS(Collection!$O:$O, Collection!$B:$B, 'Total Larvae to Date'!$A45, Collection!$A:$A, "&lt;"&amp;'Total Larvae to Date'!F$27)</f>
        <v>269600</v>
      </c>
      <c r="G45" s="154">
        <f>SUMIFS(Collection!$O:$O, Collection!$B:$B, 'Total Larvae to Date'!$A45, Collection!$A:$A, "&lt;"&amp;'Total Larvae to Date'!G$27)</f>
        <v>300750</v>
      </c>
      <c r="H45" s="154">
        <f>SUMIFS(Collection!$O:$O, Collection!$B:$B, 'Total Larvae to Date'!$A45, Collection!$A:$A, "&lt;"&amp;'Total Larvae to Date'!H$27)</f>
        <v>300875</v>
      </c>
      <c r="I45" s="154">
        <f>SUMIFS(Collection!$O:$O, Collection!$B:$B, 'Total Larvae to Date'!$A45, Collection!$A:$A, "&lt;"&amp;'Total Larvae to Date'!I$27)</f>
        <v>310875</v>
      </c>
      <c r="J45" s="154">
        <f>SUMIFS(Collection!$O:$O, Collection!$B:$B, 'Total Larvae to Date'!$A45, Collection!$A:$A, "&lt;"&amp;'Total Larvae to Date'!J$27)</f>
        <v>310875</v>
      </c>
      <c r="K45" s="154">
        <f>SUMIFS(Collection!$O:$O, Collection!$B:$B, 'Total Larvae to Date'!$A45, Collection!$A:$A, "&lt;"&amp;'Total Larvae to Date'!K$27)</f>
        <v>310875</v>
      </c>
      <c r="L45" s="154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4">
        <f>SUMIFS(Collection!$O:$O, Collection!$B:$B, 'Total Larvae to Date'!$A46, Collection!$A:$A, "&lt;"&amp;'Total Larvae to Date'!C$27)</f>
        <v>0</v>
      </c>
      <c r="D46" s="154">
        <f>SUMIFS(Collection!$O:$O, Collection!$B:$B, 'Total Larvae to Date'!$A46, Collection!$A:$A, "&lt;"&amp;'Total Larvae to Date'!D$27)</f>
        <v>0</v>
      </c>
      <c r="E46" s="154">
        <f>SUMIFS(Collection!$O:$O, Collection!$B:$B, 'Total Larvae to Date'!$A46, Collection!$A:$A, "&lt;"&amp;'Total Larvae to Date'!E$27)</f>
        <v>0</v>
      </c>
      <c r="F46" s="154">
        <f>SUMIFS(Collection!$O:$O, Collection!$B:$B, 'Total Larvae to Date'!$A46, Collection!$A:$A, "&lt;"&amp;'Total Larvae to Date'!F$27)</f>
        <v>65666.666666666672</v>
      </c>
      <c r="G46" s="154">
        <f>SUMIFS(Collection!$O:$O, Collection!$B:$B, 'Total Larvae to Date'!$A46, Collection!$A:$A, "&lt;"&amp;'Total Larvae to Date'!G$27)</f>
        <v>65666.666666666672</v>
      </c>
      <c r="H46" s="154">
        <f>SUMIFS(Collection!$O:$O, Collection!$B:$B, 'Total Larvae to Date'!$A46, Collection!$A:$A, "&lt;"&amp;'Total Larvae to Date'!H$27)</f>
        <v>65666.666666666672</v>
      </c>
      <c r="I46" s="154">
        <f>SUMIFS(Collection!$O:$O, Collection!$B:$B, 'Total Larvae to Date'!$A46, Collection!$A:$A, "&lt;"&amp;'Total Larvae to Date'!I$27)</f>
        <v>65666.666666666672</v>
      </c>
      <c r="J46" s="154">
        <f>SUMIFS(Collection!$O:$O, Collection!$B:$B, 'Total Larvae to Date'!$A46, Collection!$A:$A, "&lt;"&amp;'Total Larvae to Date'!J$27)</f>
        <v>65666.666666666672</v>
      </c>
      <c r="K46" s="154">
        <f>SUMIFS(Collection!$O:$O, Collection!$B:$B, 'Total Larvae to Date'!$A46, Collection!$A:$A, "&lt;"&amp;'Total Larvae to Date'!K$27)</f>
        <v>65666.666666666672</v>
      </c>
      <c r="L46" s="154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4">
        <f>SUMIFS(Collection!$O:$O, Collection!$B:$B, 'Total Larvae to Date'!$A47, Collection!$A:$A, "&lt;"&amp;'Total Larvae to Date'!C$27)</f>
        <v>0</v>
      </c>
      <c r="D47" s="154">
        <f>SUMIFS(Collection!$O:$O, Collection!$B:$B, 'Total Larvae to Date'!$A47, Collection!$A:$A, "&lt;"&amp;'Total Larvae to Date'!D$27)</f>
        <v>92558.333333333343</v>
      </c>
      <c r="E47" s="154">
        <f>SUMIFS(Collection!$O:$O, Collection!$B:$B, 'Total Larvae to Date'!$A47, Collection!$A:$A, "&lt;"&amp;'Total Larvae to Date'!E$27)</f>
        <v>92558.333333333343</v>
      </c>
      <c r="F47" s="154">
        <f>SUMIFS(Collection!$O:$O, Collection!$B:$B, 'Total Larvae to Date'!$A47, Collection!$A:$A, "&lt;"&amp;'Total Larvae to Date'!F$27)</f>
        <v>92558.333333333343</v>
      </c>
      <c r="G47" s="154">
        <f>SUMIFS(Collection!$O:$O, Collection!$B:$B, 'Total Larvae to Date'!$A47, Collection!$A:$A, "&lt;"&amp;'Total Larvae to Date'!G$27)</f>
        <v>204375</v>
      </c>
      <c r="H47" s="154">
        <f>SUMIFS(Collection!$O:$O, Collection!$B:$B, 'Total Larvae to Date'!$A47, Collection!$A:$A, "&lt;"&amp;'Total Larvae to Date'!H$27)</f>
        <v>254375</v>
      </c>
      <c r="I47" s="154">
        <f>SUMIFS(Collection!$O:$O, Collection!$B:$B, 'Total Larvae to Date'!$A47, Collection!$A:$A, "&lt;"&amp;'Total Larvae to Date'!I$27)</f>
        <v>255370.55555555556</v>
      </c>
      <c r="J47" s="154">
        <f>SUMIFS(Collection!$O:$O, Collection!$B:$B, 'Total Larvae to Date'!$A47, Collection!$A:$A, "&lt;"&amp;'Total Larvae to Date'!J$27)</f>
        <v>255370.55555555556</v>
      </c>
      <c r="K47" s="154">
        <f>SUMIFS(Collection!$O:$O, Collection!$B:$B, 'Total Larvae to Date'!$A47, Collection!$A:$A, "&lt;"&amp;'Total Larvae to Date'!K$27)</f>
        <v>255370.55555555556</v>
      </c>
      <c r="L47" s="154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4">
        <f>SUMIFS(Collection!$O:$O, Collection!$B:$B, 'Total Larvae to Date'!$A48, Collection!$A:$A, "&lt;"&amp;'Total Larvae to Date'!C$27)</f>
        <v>268031.66666666669</v>
      </c>
      <c r="D48" s="154">
        <f>SUMIFS(Collection!$O:$O, Collection!$B:$B, 'Total Larvae to Date'!$A48, Collection!$A:$A, "&lt;"&amp;'Total Larvae to Date'!D$27)</f>
        <v>293198.33333333337</v>
      </c>
      <c r="E48" s="154">
        <f>SUMIFS(Collection!$O:$O, Collection!$B:$B, 'Total Larvae to Date'!$A48, Collection!$A:$A, "&lt;"&amp;'Total Larvae to Date'!E$27)</f>
        <v>293198.33333333337</v>
      </c>
      <c r="F48" s="154">
        <f>SUMIFS(Collection!$O:$O, Collection!$B:$B, 'Total Larvae to Date'!$A48, Collection!$A:$A, "&lt;"&amp;'Total Larvae to Date'!F$27)</f>
        <v>293198.33333333337</v>
      </c>
      <c r="G48" s="154">
        <f>SUMIFS(Collection!$O:$O, Collection!$B:$B, 'Total Larvae to Date'!$A48, Collection!$A:$A, "&lt;"&amp;'Total Larvae to Date'!G$27)</f>
        <v>324165.00000000006</v>
      </c>
      <c r="H48" s="154">
        <f>SUMIFS(Collection!$O:$O, Collection!$B:$B, 'Total Larvae to Date'!$A48, Collection!$A:$A, "&lt;"&amp;'Total Larvae to Date'!H$27)</f>
        <v>324165.00000000006</v>
      </c>
      <c r="I48" s="154">
        <f>SUMIFS(Collection!$O:$O, Collection!$B:$B, 'Total Larvae to Date'!$A48, Collection!$A:$A, "&lt;"&amp;'Total Larvae to Date'!I$27)</f>
        <v>324165.00000000006</v>
      </c>
      <c r="J48" s="154">
        <f>SUMIFS(Collection!$O:$O, Collection!$B:$B, 'Total Larvae to Date'!$A48, Collection!$A:$A, "&lt;"&amp;'Total Larvae to Date'!J$27)</f>
        <v>324165.00000000006</v>
      </c>
      <c r="K48" s="154">
        <f>SUMIFS(Collection!$O:$O, Collection!$B:$B, 'Total Larvae to Date'!$A48, Collection!$A:$A, "&lt;"&amp;'Total Larvae to Date'!K$27)</f>
        <v>324165.00000000006</v>
      </c>
      <c r="L48" s="154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4">
        <f>SUMIFS(Collection!$O:$O, Collection!$B:$B, 'Total Larvae to Date'!$A49, Collection!$A:$A, "&lt;"&amp;'Total Larvae to Date'!C$27)</f>
        <v>195566.66666666666</v>
      </c>
      <c r="D49" s="154">
        <f>SUMIFS(Collection!$O:$O, Collection!$B:$B, 'Total Larvae to Date'!$A49, Collection!$A:$A, "&lt;"&amp;'Total Larvae to Date'!D$27)</f>
        <v>212873.33333333331</v>
      </c>
      <c r="E49" s="154">
        <f>SUMIFS(Collection!$O:$O, Collection!$B:$B, 'Total Larvae to Date'!$A49, Collection!$A:$A, "&lt;"&amp;'Total Larvae to Date'!E$27)</f>
        <v>212873.33333333331</v>
      </c>
      <c r="F49" s="154">
        <f>SUMIFS(Collection!$O:$O, Collection!$B:$B, 'Total Larvae to Date'!$A49, Collection!$A:$A, "&lt;"&amp;'Total Larvae to Date'!F$27)</f>
        <v>212873.33333333331</v>
      </c>
      <c r="G49" s="154">
        <f>SUMIFS(Collection!$O:$O, Collection!$B:$B, 'Total Larvae to Date'!$A49, Collection!$A:$A, "&lt;"&amp;'Total Larvae to Date'!G$27)</f>
        <v>212873.33333333331</v>
      </c>
      <c r="H49" s="154">
        <f>SUMIFS(Collection!$O:$O, Collection!$B:$B, 'Total Larvae to Date'!$A49, Collection!$A:$A, "&lt;"&amp;'Total Larvae to Date'!H$27)</f>
        <v>225873.33333333331</v>
      </c>
      <c r="I49" s="154">
        <f>SUMIFS(Collection!$O:$O, Collection!$B:$B, 'Total Larvae to Date'!$A49, Collection!$A:$A, "&lt;"&amp;'Total Larvae to Date'!I$27)</f>
        <v>225873.33333333331</v>
      </c>
      <c r="J49" s="154">
        <f>SUMIFS(Collection!$O:$O, Collection!$B:$B, 'Total Larvae to Date'!$A49, Collection!$A:$A, "&lt;"&amp;'Total Larvae to Date'!J$27)</f>
        <v>225873.33333333331</v>
      </c>
      <c r="K49" s="154">
        <f>SUMIFS(Collection!$O:$O, Collection!$B:$B, 'Total Larvae to Date'!$A49, Collection!$A:$A, "&lt;"&amp;'Total Larvae to Date'!K$27)</f>
        <v>225873.33333333331</v>
      </c>
      <c r="L49" s="154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4">
        <f>SUMIFS(Collection!$O:$O, Collection!$B:$B, 'Total Larvae to Date'!$A50, Collection!$A:$A, "&lt;"&amp;'Total Larvae to Date'!C$27)</f>
        <v>194225</v>
      </c>
      <c r="D50" s="154">
        <f>SUMIFS(Collection!$O:$O, Collection!$B:$B, 'Total Larvae to Date'!$A50, Collection!$A:$A, "&lt;"&amp;'Total Larvae to Date'!D$27)</f>
        <v>194225</v>
      </c>
      <c r="E50" s="154">
        <f>SUMIFS(Collection!$O:$O, Collection!$B:$B, 'Total Larvae to Date'!$A50, Collection!$A:$A, "&lt;"&amp;'Total Larvae to Date'!E$27)</f>
        <v>245691.66666666666</v>
      </c>
      <c r="F50" s="154">
        <f>SUMIFS(Collection!$O:$O, Collection!$B:$B, 'Total Larvae to Date'!$A50, Collection!$A:$A, "&lt;"&amp;'Total Larvae to Date'!F$27)</f>
        <v>249891.66666666666</v>
      </c>
      <c r="G50" s="154">
        <f>SUMIFS(Collection!$O:$O, Collection!$B:$B, 'Total Larvae to Date'!$A50, Collection!$A:$A, "&lt;"&amp;'Total Larvae to Date'!G$27)</f>
        <v>249891.66666666666</v>
      </c>
      <c r="H50" s="154">
        <f>SUMIFS(Collection!$O:$O, Collection!$B:$B, 'Total Larvae to Date'!$A50, Collection!$A:$A, "&lt;"&amp;'Total Larvae to Date'!H$27)</f>
        <v>353574.99999999994</v>
      </c>
      <c r="I50" s="154">
        <f>SUMIFS(Collection!$O:$O, Collection!$B:$B, 'Total Larvae to Date'!$A50, Collection!$A:$A, "&lt;"&amp;'Total Larvae to Date'!I$27)</f>
        <v>353768.33333333326</v>
      </c>
      <c r="J50" s="154">
        <f>SUMIFS(Collection!$O:$O, Collection!$B:$B, 'Total Larvae to Date'!$A50, Collection!$A:$A, "&lt;"&amp;'Total Larvae to Date'!J$27)</f>
        <v>353768.33333333326</v>
      </c>
      <c r="K50" s="154">
        <f>SUMIFS(Collection!$O:$O, Collection!$B:$B, 'Total Larvae to Date'!$A50, Collection!$A:$A, "&lt;"&amp;'Total Larvae to Date'!K$27)</f>
        <v>353768.33333333326</v>
      </c>
      <c r="L50" s="154">
        <f>SUMIFS(Collection!$O:$O, Collection!$B:$B, 'Total Larvae to Date'!$A50, Collection!$A:$A, "&lt;"&amp;'Total Larvae to Date'!L$27)</f>
        <v>353768.33333333326</v>
      </c>
    </row>
    <row r="51" spans="1:12" s="216" customFormat="1" ht="16" thickBot="1">
      <c r="A51" s="217" t="s">
        <v>46</v>
      </c>
      <c r="B51" s="218"/>
      <c r="C51" s="154">
        <f>SUMIFS(Collection!$O:$O, Collection!$B:$B, 'Total Larvae to Date'!$A51, Collection!$A:$A, "&lt;"&amp;'Total Larvae to Date'!C$27)</f>
        <v>131900</v>
      </c>
      <c r="D51" s="154">
        <f>SUMIFS(Collection!$O:$O, Collection!$B:$B, 'Total Larvae to Date'!$A51, Collection!$A:$A, "&lt;"&amp;'Total Larvae to Date'!D$27)</f>
        <v>179716.66666666666</v>
      </c>
      <c r="E51" s="154">
        <f>SUMIFS(Collection!$O:$O, Collection!$B:$B, 'Total Larvae to Date'!$A51, Collection!$A:$A, "&lt;"&amp;'Total Larvae to Date'!E$27)</f>
        <v>179716.66666666666</v>
      </c>
      <c r="F51" s="154">
        <f>SUMIFS(Collection!$O:$O, Collection!$B:$B, 'Total Larvae to Date'!$A51, Collection!$A:$A, "&lt;"&amp;'Total Larvae to Date'!F$27)</f>
        <v>179716.66666666666</v>
      </c>
      <c r="G51" s="154">
        <f>SUMIFS(Collection!$O:$O, Collection!$B:$B, 'Total Larvae to Date'!$A51, Collection!$A:$A, "&lt;"&amp;'Total Larvae to Date'!G$27)</f>
        <v>179716.66666666666</v>
      </c>
      <c r="H51" s="154">
        <f>SUMIFS(Collection!$O:$O, Collection!$B:$B, 'Total Larvae to Date'!$A51, Collection!$A:$A, "&lt;"&amp;'Total Larvae to Date'!H$27)</f>
        <v>179716.66666666666</v>
      </c>
      <c r="I51" s="154">
        <f>SUMIFS(Collection!$O:$O, Collection!$B:$B, 'Total Larvae to Date'!$A51, Collection!$A:$A, "&lt;"&amp;'Total Larvae to Date'!I$27)</f>
        <v>179716.66666666666</v>
      </c>
      <c r="J51" s="154">
        <f>SUMIFS(Collection!$O:$O, Collection!$B:$B, 'Total Larvae to Date'!$A51, Collection!$A:$A, "&lt;"&amp;'Total Larvae to Date'!J$27)</f>
        <v>179716.66666666666</v>
      </c>
      <c r="K51" s="154">
        <f>SUMIFS(Collection!$O:$O, Collection!$B:$B, 'Total Larvae to Date'!$A51, Collection!$A:$A, "&lt;"&amp;'Total Larvae to Date'!K$27)</f>
        <v>179716.66666666666</v>
      </c>
      <c r="L51" s="154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279" t="s">
        <v>225</v>
      </c>
      <c r="D52" s="279"/>
      <c r="E52" s="279"/>
      <c r="F52" s="279"/>
      <c r="G52" s="279"/>
      <c r="H52" s="279"/>
      <c r="I52" s="279"/>
      <c r="J52" s="279"/>
      <c r="K52" s="279"/>
    </row>
    <row r="53" spans="1:12" ht="18">
      <c r="A53" s="202" t="s">
        <v>141</v>
      </c>
      <c r="B53" s="118"/>
      <c r="C53" s="221">
        <f t="shared" ref="C53:L53" si="2">C27</f>
        <v>42891</v>
      </c>
      <c r="D53" s="221">
        <f t="shared" si="2"/>
        <v>42895</v>
      </c>
      <c r="E53" s="221">
        <f t="shared" si="2"/>
        <v>42898</v>
      </c>
      <c r="F53" s="221">
        <f t="shared" si="2"/>
        <v>42901</v>
      </c>
      <c r="G53" s="221">
        <f t="shared" si="2"/>
        <v>42905</v>
      </c>
      <c r="H53" s="221">
        <f t="shared" si="2"/>
        <v>42908</v>
      </c>
      <c r="I53" s="221">
        <f t="shared" si="2"/>
        <v>42912</v>
      </c>
      <c r="J53" s="221">
        <f t="shared" si="2"/>
        <v>42915</v>
      </c>
      <c r="K53" s="221">
        <f t="shared" si="2"/>
        <v>42919</v>
      </c>
      <c r="L53" s="221">
        <f t="shared" si="2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58806.666666666672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47863.333333333328</v>
      </c>
      <c r="D55" s="118">
        <f>(SUMIFS('Bucket Counts'!$P:$P, 'Bucket Counts'!$D:$D, 'Total Larvae to Date'!$A55, 'Bucket Counts'!$A:$A, "="&amp;D$27))</f>
        <v>58570</v>
      </c>
      <c r="E55" s="118">
        <f>(SUMIFS('Bucket Counts'!$P:$P, 'Bucket Counts'!$D:$D, 'Total Larvae to Date'!$A55, 'Bucket Counts'!$A:$A, "="&amp;E$27))</f>
        <v>47646.666666666672</v>
      </c>
      <c r="F55" s="118">
        <f>(SUMIFS('Bucket Counts'!$P:$P, 'Bucket Counts'!$D:$D, 'Total Larvae to Date'!$A55, 'Bucket Counts'!$A:$A, "="&amp;F$27))</f>
        <v>22633.333333333336</v>
      </c>
      <c r="G55" s="118">
        <f>(SUMIFS('Bucket Counts'!$P:$P, 'Bucket Counts'!$D:$D, 'Total Larvae to Date'!$A55, 'Bucket Counts'!$A:$A, "="&amp;G$27))</f>
        <v>1210</v>
      </c>
      <c r="H55" s="118">
        <f>(SUMIFS('Bucket Counts'!$P:$P, 'Bucket Counts'!$D:$D, 'Total Larvae to Date'!$A55, 'Bucket Counts'!$A:$A, "="&amp;H$27))</f>
        <v>383.33333333333331</v>
      </c>
      <c r="I55" s="118">
        <f>(SUMIFS('Bucket Counts'!$P:$P, 'Bucket Counts'!$D:$D, 'Total Larvae to Date'!$A55, 'Bucket Counts'!$A:$A, "="&amp;I$27))</f>
        <v>246.66666666666666</v>
      </c>
      <c r="J55" s="118">
        <f>(SUMIFS('Bucket Counts'!$P:$P, 'Bucket Counts'!$D:$D, 'Total Larvae to Date'!$A55, 'Bucket Counts'!$A:$A, "="&amp;J$27))</f>
        <v>161.66666666666666</v>
      </c>
      <c r="K55" s="118">
        <f>(SUMIFS('Bucket Counts'!$P:$P, 'Bucket Counts'!$D:$D, 'Total Larvae to Date'!$A55, 'Bucket Counts'!$A:$A, "="&amp;K$27))</f>
        <v>97.555555555555557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47107.444444444445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179479.99999999997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139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48686.666666666664</v>
      </c>
      <c r="E59" s="118">
        <f>(SUMIFS('Bucket Counts'!$P:$P, 'Bucket Counts'!$D:$D, 'Total Larvae to Date'!$A59, 'Bucket Counts'!$A:$A, "="&amp;E$27))</f>
        <v>39976.666666666672</v>
      </c>
      <c r="F59" s="118">
        <f>(SUMIFS('Bucket Counts'!$P:$P, 'Bucket Counts'!$D:$D, 'Total Larvae to Date'!$A59, 'Bucket Counts'!$A:$A, "="&amp;F$27))</f>
        <v>113333.33333333334</v>
      </c>
      <c r="G59" s="118">
        <f>(SUMIFS('Bucket Counts'!$P:$P, 'Bucket Counts'!$D:$D, 'Total Larvae to Date'!$A59, 'Bucket Counts'!$A:$A, "="&amp;G$27))</f>
        <v>53800</v>
      </c>
      <c r="H59" s="118">
        <f>(SUMIFS('Bucket Counts'!$P:$P, 'Bucket Counts'!$D:$D, 'Total Larvae to Date'!$A59, 'Bucket Counts'!$A:$A, "="&amp;H$27))</f>
        <v>53366.666666666672</v>
      </c>
      <c r="I59" s="118">
        <f>(SUMIFS('Bucket Counts'!$P:$P, 'Bucket Counts'!$D:$D, 'Total Larvae to Date'!$A59, 'Bucket Counts'!$A:$A, "="&amp;I$27))</f>
        <v>34806.666666666664</v>
      </c>
      <c r="J59" s="118">
        <f>(SUMIFS('Bucket Counts'!$P:$P, 'Bucket Counts'!$D:$D, 'Total Larvae to Date'!$A59, 'Bucket Counts'!$A:$A, "="&amp;J$27))</f>
        <v>25712.5</v>
      </c>
      <c r="K59" s="118">
        <f>(SUMIFS('Bucket Counts'!$P:$P, 'Bucket Counts'!$D:$D, 'Total Larvae to Date'!$A59, 'Bucket Counts'!$A:$A, "="&amp;K$27))</f>
        <v>3897.7777777777774</v>
      </c>
      <c r="L59" s="118">
        <f>(SUMIFS('Bucket Counts'!$P:$P, 'Bucket Counts'!$D:$D, 'Total Larvae to Date'!$A59, 'Bucket Counts'!$A:$A, "="&amp;L$27))</f>
        <v>985.11111111111109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138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56509.166666666664</v>
      </c>
      <c r="E63" s="118">
        <f>(SUMIFS('Bucket Counts'!$P:$P, 'Bucket Counts'!$D:$D, 'Total Larvae to Date'!$A63, 'Bucket Counts'!$A:$A, "="&amp;E$27))</f>
        <v>86451.666666666672</v>
      </c>
      <c r="F63" s="118">
        <f>(SUMIFS('Bucket Counts'!$P:$P, 'Bucket Counts'!$D:$D, 'Total Larvae to Date'!$A63, 'Bucket Counts'!$A:$A, "="&amp;F$27))</f>
        <v>132258.33333333334</v>
      </c>
      <c r="G63" s="118">
        <f>(SUMIFS('Bucket Counts'!$P:$P, 'Bucket Counts'!$D:$D, 'Total Larvae to Date'!$A63, 'Bucket Counts'!$A:$A, "="&amp;G$27))</f>
        <v>99826.666666666657</v>
      </c>
      <c r="H63" s="118">
        <f>(SUMIFS('Bucket Counts'!$P:$P, 'Bucket Counts'!$D:$D, 'Total Larvae to Date'!$A63, 'Bucket Counts'!$A:$A, "="&amp;H$27))</f>
        <v>76741.666666666672</v>
      </c>
      <c r="I63" s="118">
        <f>(SUMIFS('Bucket Counts'!$P:$P, 'Bucket Counts'!$D:$D, 'Total Larvae to Date'!$A63, 'Bucket Counts'!$A:$A, "="&amp;I$27))</f>
        <v>46803.333333333328</v>
      </c>
      <c r="J63" s="118">
        <f>(SUMIFS('Bucket Counts'!$P:$P, 'Bucket Counts'!$D:$D, 'Total Larvae to Date'!$A63, 'Bucket Counts'!$A:$A, "="&amp;J$27))</f>
        <v>12756.666666666666</v>
      </c>
      <c r="K63" s="118">
        <f>(SUMIFS('Bucket Counts'!$P:$P, 'Bucket Counts'!$D:$D, 'Total Larvae to Date'!$A63, 'Bucket Counts'!$A:$A, "="&amp;K$27))</f>
        <v>35798.333333333336</v>
      </c>
      <c r="L63" s="118">
        <f>(SUMIFS('Bucket Counts'!$P:$P, 'Bucket Counts'!$D:$D, 'Total Larvae to Date'!$A63, 'Bucket Counts'!$A:$A, "="&amp;L$27))</f>
        <v>28510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2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2">
      <c r="A66" s="24" t="s">
        <v>17</v>
      </c>
      <c r="B66" s="118"/>
      <c r="C66" s="118">
        <f>(SUMIFS('Bucket Counts'!$P:$P, 'Bucket Counts'!$D:$D, 'Total Larvae to Date'!$A66, 'Bucket Counts'!$A:$A, "="&amp;C$27))</f>
        <v>89473.333333333328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2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19559.999999999996</v>
      </c>
      <c r="E67" s="118">
        <f>(SUMIFS('Bucket Counts'!$P:$P, 'Bucket Counts'!$D:$D, 'Total Larvae to Date'!$A67, 'Bucket Counts'!$A:$A, "="&amp;E$27))</f>
        <v>24153.333333333336</v>
      </c>
      <c r="F67" s="118">
        <f>(SUMIFS('Bucket Counts'!$P:$P, 'Bucket Counts'!$D:$D, 'Total Larvae to Date'!$A67, 'Bucket Counts'!$A:$A, "="&amp;F$27))</f>
        <v>3858.333333333333</v>
      </c>
      <c r="G67" s="118">
        <f>(SUMIFS('Bucket Counts'!$P:$P, 'Bucket Counts'!$D:$D, 'Total Larvae to Date'!$A67, 'Bucket Counts'!$A:$A, "="&amp;G$27))</f>
        <v>1266.6666666666665</v>
      </c>
      <c r="H67" s="118">
        <f>(SUMIFS('Bucket Counts'!$P:$P, 'Bucket Counts'!$D:$D, 'Total Larvae to Date'!$A67, 'Bucket Counts'!$A:$A, "="&amp;H$27))</f>
        <v>8206.6666666666679</v>
      </c>
      <c r="I67" s="118">
        <f>(SUMIFS('Bucket Counts'!$P:$P, 'Bucket Counts'!$D:$D, 'Total Larvae to Date'!$A67, 'Bucket Counts'!$A:$A, "="&amp;I$27))</f>
        <v>6763.333333333333</v>
      </c>
      <c r="J67" s="118">
        <f>(SUMIFS('Bucket Counts'!$P:$P, 'Bucket Counts'!$D:$D, 'Total Larvae to Date'!$A67, 'Bucket Counts'!$A:$A, "="&amp;J$27))</f>
        <v>2718.333333333333</v>
      </c>
      <c r="K67" s="118">
        <f>(SUMIFS('Bucket Counts'!$P:$P, 'Bucket Counts'!$D:$D, 'Total Larvae to Date'!$A67, 'Bucket Counts'!$A:$A, "="&amp;K$27))</f>
        <v>3119.4444444444443</v>
      </c>
      <c r="L67" s="118">
        <f>(SUMIFS('Bucket Counts'!$P:$P, 'Bucket Counts'!$D:$D, 'Total Larvae to Date'!$A67, 'Bucket Counts'!$A:$A, "="&amp;L$27))</f>
        <v>1550</v>
      </c>
    </row>
    <row r="68" spans="1:12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2" s="216" customFormat="1" ht="16" thickBot="1">
      <c r="A69" s="219" t="s">
        <v>46</v>
      </c>
      <c r="B69" s="218"/>
      <c r="C69" s="218">
        <f>(SUMIFS('Bucket Counts'!$P:$P, 'Bucket Counts'!$D:$D, 'Total Larvae to Date'!$A69, 'Bucket Counts'!$A:$A, "="&amp;C$27))</f>
        <v>2175</v>
      </c>
      <c r="D69" s="218">
        <f>(SUMIFS('Bucket Counts'!$P:$P, 'Bucket Counts'!$D:$D, 'Total Larvae to Date'!$A69, 'Bucket Counts'!$A:$A, "="&amp;D$27))</f>
        <v>56316.666666666672</v>
      </c>
      <c r="E69" s="218">
        <f>(SUMIFS('Bucket Counts'!$P:$P, 'Bucket Counts'!$D:$D, 'Total Larvae to Date'!$A69, 'Bucket Counts'!$A:$A, "="&amp;E$27))</f>
        <v>49492.5</v>
      </c>
      <c r="F69" s="218">
        <f>(SUMIFS('Bucket Counts'!$P:$P, 'Bucket Counts'!$D:$D, 'Total Larvae to Date'!$A69, 'Bucket Counts'!$A:$A, "="&amp;F$27))</f>
        <v>33256.666666666672</v>
      </c>
      <c r="G69" s="218">
        <f>(SUMIFS('Bucket Counts'!$P:$P, 'Bucket Counts'!$D:$D, 'Total Larvae to Date'!$A69, 'Bucket Counts'!$A:$A, "="&amp;G$27))</f>
        <v>35316.666666666664</v>
      </c>
      <c r="H69" s="218">
        <f>(SUMIFS('Bucket Counts'!$P:$P, 'Bucket Counts'!$D:$D, 'Total Larvae to Date'!$A69, 'Bucket Counts'!$A:$A, "="&amp;H$27))</f>
        <v>29233.333333333336</v>
      </c>
      <c r="I69" s="218">
        <f>(SUMIFS('Bucket Counts'!$P:$P, 'Bucket Counts'!$D:$D, 'Total Larvae to Date'!$A69, 'Bucket Counts'!$A:$A, "="&amp;I$27))</f>
        <v>20500</v>
      </c>
      <c r="J69" s="218">
        <f>(SUMIFS('Bucket Counts'!$P:$P, 'Bucket Counts'!$D:$D, 'Total Larvae to Date'!$A69, 'Bucket Counts'!$A:$A, "="&amp;J$27))</f>
        <v>23533.333333333332</v>
      </c>
      <c r="K69" s="218">
        <f>(SUMIFS('Bucket Counts'!$P:$P, 'Bucket Counts'!$D:$D, 'Total Larvae to Date'!$A69, 'Bucket Counts'!$A:$A, "="&amp;K$27))</f>
        <v>16425</v>
      </c>
      <c r="L69" s="218">
        <f>(SUMIFS('Bucket Counts'!$P:$P, 'Bucket Counts'!$D:$D, 'Total Larvae to Date'!$A69, 'Bucket Counts'!$A:$A, "="&amp;L$27))</f>
        <v>7193.3333333333339</v>
      </c>
    </row>
    <row r="70" spans="1:12" s="23" customFormat="1" ht="21" thickTop="1">
      <c r="A70" s="118"/>
      <c r="B70" s="118"/>
      <c r="C70" s="281" t="s">
        <v>226</v>
      </c>
      <c r="D70" s="281"/>
      <c r="E70" s="281"/>
      <c r="F70" s="281"/>
      <c r="G70" s="281"/>
      <c r="H70" s="281"/>
      <c r="I70" s="281"/>
      <c r="J70" s="281"/>
      <c r="K70" s="281"/>
    </row>
    <row r="71" spans="1:12" s="214" customFormat="1" ht="18">
      <c r="A71" s="215"/>
      <c r="B71" s="215"/>
      <c r="C71" s="220">
        <f>C27-1</f>
        <v>42890</v>
      </c>
      <c r="D71" s="220">
        <f t="shared" ref="D71:L71" si="3">D27-1</f>
        <v>42894</v>
      </c>
      <c r="E71" s="220">
        <f t="shared" si="3"/>
        <v>42897</v>
      </c>
      <c r="F71" s="220">
        <f t="shared" si="3"/>
        <v>42900</v>
      </c>
      <c r="G71" s="220">
        <f t="shared" si="3"/>
        <v>42904</v>
      </c>
      <c r="H71" s="220">
        <f t="shared" si="3"/>
        <v>42907</v>
      </c>
      <c r="I71" s="220">
        <f t="shared" si="3"/>
        <v>42911</v>
      </c>
      <c r="J71" s="220">
        <f t="shared" si="3"/>
        <v>42914</v>
      </c>
      <c r="K71" s="220">
        <f t="shared" si="3"/>
        <v>42918</v>
      </c>
      <c r="L71" s="220">
        <f t="shared" si="3"/>
        <v>42921</v>
      </c>
    </row>
    <row r="72" spans="1:12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</row>
    <row r="73" spans="1:12">
      <c r="A73" s="24" t="s">
        <v>76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</row>
    <row r="74" spans="1:12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</row>
    <row r="75" spans="1:12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</row>
    <row r="76" spans="1:12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5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5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5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5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5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5">
        <f>SUMIFS('Bucket Counts'!$P:$P, 'Bucket Counts'!$F:$F, "224", 'Bucket Counts'!$D:$D, 'Total Larvae to Date'!$A76, 'Bucket Counts'!$A:$A, "&lt;="&amp;'Total Larvae to Date'!L$71)-'Bucket Counts'!$P$261</f>
        <v>21611.333333333332</v>
      </c>
    </row>
    <row r="77" spans="1:12">
      <c r="A77" s="24" t="s">
        <v>139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</row>
    <row r="78" spans="1:12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</row>
    <row r="79" spans="1:12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5">
        <f>SUMIFS('Bucket Counts'!$P:$P, 'Bucket Counts'!$F:$F, "224", 'Bucket Counts'!$D:$D, 'Total Larvae to Date'!$A79, 'Bucket Counts'!$A:$A, "&lt;="&amp;'Total Larvae to Date'!G$71)</f>
        <v>2787.2222222222222</v>
      </c>
      <c r="H79" s="235">
        <f>SUMIFS('Bucket Counts'!$P:$P, 'Bucket Counts'!$F:$F, "224", 'Bucket Counts'!$D:$D, 'Total Larvae to Date'!$A79, 'Bucket Counts'!$A:$A, "&lt;="&amp;'Total Larvae to Date'!H$71)</f>
        <v>5040.5555555555547</v>
      </c>
      <c r="I79" s="235">
        <f>SUMIFS('Bucket Counts'!$P:$P, 'Bucket Counts'!$F:$F, "224", 'Bucket Counts'!$D:$D, 'Total Larvae to Date'!$A79, 'Bucket Counts'!$A:$A, "&lt;="&amp;'Total Larvae to Date'!I$71)</f>
        <v>5440.5555555555547</v>
      </c>
      <c r="J79" s="235">
        <f>SUMIFS('Bucket Counts'!$P:$P, 'Bucket Counts'!$F:$F, "224", 'Bucket Counts'!$D:$D, 'Total Larvae to Date'!$A79, 'Bucket Counts'!$A:$A, "&lt;="&amp;'Total Larvae to Date'!J$71)</f>
        <v>5590.5555555555547</v>
      </c>
      <c r="K79" s="235">
        <f>SUMIFS('Bucket Counts'!$P:$P, 'Bucket Counts'!$F:$F, "224", 'Bucket Counts'!$D:$D, 'Total Larvae to Date'!$A79, 'Bucket Counts'!$A:$A, "&lt;="&amp;'Total Larvae to Date'!K$71)</f>
        <v>5632.2222222222217</v>
      </c>
      <c r="L79" s="235">
        <f>SUMIFS('Bucket Counts'!$P:$P, 'Bucket Counts'!$F:$F, "224", 'Bucket Counts'!$D:$D, 'Total Larvae to Date'!$A79, 'Bucket Counts'!$A:$A, "&lt;="&amp;'Total Larvae to Date'!L$71)</f>
        <v>5954.4444444444443</v>
      </c>
    </row>
    <row r="80" spans="1:12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</row>
    <row r="81" spans="1:14">
      <c r="A81" s="24" t="s">
        <v>138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</row>
    <row r="82" spans="1:14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</row>
    <row r="83" spans="1:14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</row>
    <row r="84" spans="1:14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</row>
    <row r="85" spans="1:14">
      <c r="A85" s="24" t="s">
        <v>37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940</v>
      </c>
      <c r="E85" s="118">
        <f>SUMIFS('Bucket Counts'!$P:$P, 'Bucket Counts'!$F:$F, "224", 'Bucket Counts'!$D:$D, 'Total Larvae to Date'!$A85, 'Bucket Counts'!$A:$A, "&lt;="&amp;'Total Larvae to Date'!E$71)</f>
        <v>2340</v>
      </c>
      <c r="F85" s="118">
        <f>SUMIFS('Bucket Counts'!$P:$P, 'Bucket Counts'!$F:$F, "224", 'Bucket Counts'!$D:$D, 'Total Larvae to Date'!$A85, 'Bucket Counts'!$A:$A, "&lt;="&amp;'Total Larvae to Date'!F$71)</f>
        <v>2340</v>
      </c>
      <c r="G85" s="118">
        <f>SUMIFS('Bucket Counts'!$P:$P, 'Bucket Counts'!$F:$F, "224", 'Bucket Counts'!$D:$D, 'Total Larvae to Date'!$A85, 'Bucket Counts'!$A:$A, "&lt;="&amp;'Total Larvae to Date'!G$71)</f>
        <v>2340</v>
      </c>
      <c r="H85" s="118">
        <f>SUMIFS('Bucket Counts'!$P:$P, 'Bucket Counts'!$F:$F, "224", 'Bucket Counts'!$D:$D, 'Total Larvae to Date'!$A85, 'Bucket Counts'!$A:$A, "&lt;="&amp;'Total Larvae to Date'!H$71)</f>
        <v>2440</v>
      </c>
      <c r="I85" s="118">
        <f>SUMIFS('Bucket Counts'!$P:$P, 'Bucket Counts'!$F:$F, "224", 'Bucket Counts'!$D:$D, 'Total Larvae to Date'!$A85, 'Bucket Counts'!$A:$A, "&lt;="&amp;'Total Larvae to Date'!I$71)</f>
        <v>2440</v>
      </c>
      <c r="J85" s="118">
        <f>SUMIFS('Bucket Counts'!$P:$P, 'Bucket Counts'!$F:$F, "224", 'Bucket Counts'!$D:$D, 'Total Larvae to Date'!$A85, 'Bucket Counts'!$A:$A, "&lt;="&amp;'Total Larvae to Date'!J$71)</f>
        <v>2565</v>
      </c>
      <c r="K85" s="118">
        <f>SUMIFS('Bucket Counts'!$P:$P, 'Bucket Counts'!$F:$F, "224", 'Bucket Counts'!$D:$D, 'Total Larvae to Date'!$A85, 'Bucket Counts'!$A:$A, "&lt;="&amp;'Total Larvae to Date'!K$71)</f>
        <v>2700</v>
      </c>
      <c r="L85" s="118">
        <f>SUMIFS('Bucket Counts'!$P:$P, 'Bucket Counts'!$F:$F, "224", 'Bucket Counts'!$D:$D, 'Total Larvae to Date'!$A85, 'Bucket Counts'!$A:$A, "&lt;="&amp;'Total Larvae to Date'!L$71)</f>
        <v>2761.1111111111113</v>
      </c>
    </row>
    <row r="86" spans="1:14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</row>
    <row r="87" spans="1:14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</row>
    <row r="88" spans="1:14" s="23" customFormat="1">
      <c r="A88" s="236" t="s">
        <v>255</v>
      </c>
      <c r="B88" s="237"/>
      <c r="C88" s="237">
        <f>SUMIFS('Bucket Counts'!$P:$P, 'Bucket Counts'!$F:$F, "224", 'Bucket Counts'!$D:$D, 'Total Larvae to Date'!$A88, 'Bucket Counts'!$A:$A, "&lt;="&amp;'Total Larvae to Date'!C$71)</f>
        <v>0</v>
      </c>
      <c r="D88" s="237">
        <f>'Bucket Counts'!P83</f>
        <v>115.83333333333333</v>
      </c>
      <c r="E88" s="237">
        <f>D88+'Bucket Counts'!P151</f>
        <v>442.49999999999994</v>
      </c>
      <c r="F88" s="237">
        <f>E88+'Bucket Counts'!P209</f>
        <v>4192.5</v>
      </c>
      <c r="G88" s="237"/>
      <c r="H88" s="118"/>
      <c r="I88" s="118"/>
      <c r="J88" s="118"/>
      <c r="K88" s="118"/>
    </row>
    <row r="89" spans="1:14" s="216" customFormat="1" ht="16" thickBot="1">
      <c r="A89" s="238" t="s">
        <v>254</v>
      </c>
      <c r="B89" s="239"/>
      <c r="C89" s="239">
        <f>SUMIFS('Bucket Counts'!$P:$P, 'Bucket Counts'!$F:$F, "224", 'Bucket Counts'!$D:$D, 'Total Larvae to Date'!$A89, 'Bucket Counts'!$A:$A, "&lt;="&amp;'Total Larvae to Date'!C$71)</f>
        <v>0</v>
      </c>
      <c r="D89" s="239">
        <f>SUMIFS('Bucket Counts'!$P:$P, 'Bucket Counts'!$F:$F, "224", 'Bucket Counts'!$D:$D, 'Total Larvae to Date'!$A89, 'Bucket Counts'!$A:$A, "&lt;="&amp;'Total Larvae to Date'!D$71)</f>
        <v>0</v>
      </c>
      <c r="E89" s="239">
        <f>SUMIFS('Bucket Counts'!$P:$P, 'Bucket Counts'!$F:$F, "224", 'Bucket Counts'!$D:$D, 'Total Larvae to Date'!$A89, 'Bucket Counts'!$A:$A, "&lt;="&amp;'Total Larvae to Date'!E$71)</f>
        <v>0</v>
      </c>
      <c r="F89" s="239">
        <f>SUMIFS('Bucket Counts'!$P:$P, 'Bucket Counts'!$F:$F, "224", 'Bucket Counts'!$D:$D, 'Total Larvae to Date'!$A89, 'Bucket Counts'!$A:$A, "&lt;="&amp;'Total Larvae to Date'!F$71)</f>
        <v>0</v>
      </c>
      <c r="G89" s="239">
        <f>'Bucket Counts'!P261</f>
        <v>30333.333333333332</v>
      </c>
      <c r="H89" s="218">
        <f>SUMIFS('Bucket Counts'!$P:$P, 'Bucket Counts'!$F:$F, "224", 'Bucket Counts'!$D:$D, 'Total Larvae to Date'!$A89, 'Bucket Counts'!$A:$A, "&lt;="&amp;'Total Larvae to Date'!H$71)</f>
        <v>0</v>
      </c>
      <c r="I89" s="218"/>
      <c r="J89" s="218"/>
      <c r="K89" s="218"/>
    </row>
    <row r="90" spans="1:14" s="23" customFormat="1" ht="21" thickTop="1">
      <c r="A90" s="24"/>
      <c r="B90" s="118"/>
      <c r="C90" s="281" t="s">
        <v>227</v>
      </c>
      <c r="D90" s="281"/>
      <c r="E90" s="281"/>
      <c r="F90" s="281"/>
      <c r="G90" s="281"/>
      <c r="H90" s="281"/>
      <c r="I90" s="281"/>
      <c r="J90" s="281"/>
      <c r="K90" s="281"/>
      <c r="L90" s="281"/>
    </row>
    <row r="91" spans="1:14" s="211" customFormat="1" ht="18">
      <c r="B91" s="212"/>
      <c r="C91" s="213">
        <f>C27</f>
        <v>42891</v>
      </c>
      <c r="D91" s="213">
        <f t="shared" ref="D91:L91" si="4">D27</f>
        <v>42895</v>
      </c>
      <c r="E91" s="213">
        <f t="shared" si="4"/>
        <v>42898</v>
      </c>
      <c r="F91" s="213">
        <f t="shared" si="4"/>
        <v>42901</v>
      </c>
      <c r="G91" s="213">
        <f t="shared" si="4"/>
        <v>42905</v>
      </c>
      <c r="H91" s="213">
        <f t="shared" si="4"/>
        <v>42908</v>
      </c>
      <c r="I91" s="213">
        <f t="shared" si="4"/>
        <v>42912</v>
      </c>
      <c r="J91" s="213">
        <f t="shared" si="4"/>
        <v>42915</v>
      </c>
      <c r="K91" s="213">
        <f t="shared" si="4"/>
        <v>42919</v>
      </c>
      <c r="L91" s="213">
        <f t="shared" si="4"/>
        <v>42922</v>
      </c>
      <c r="M91" s="213">
        <v>42926</v>
      </c>
      <c r="N91" s="213">
        <v>42929</v>
      </c>
    </row>
    <row r="92" spans="1:14">
      <c r="A92" s="24" t="s">
        <v>84</v>
      </c>
      <c r="C92" s="105">
        <f t="shared" ref="C92:K92" si="5">(C72+C54)/(C28+C29)</f>
        <v>0.43136583696024255</v>
      </c>
      <c r="D92" s="105">
        <f t="shared" si="5"/>
        <v>0.40889575820024043</v>
      </c>
      <c r="E92" s="105">
        <f t="shared" si="5"/>
        <v>0.39314317830546575</v>
      </c>
      <c r="F92" s="105">
        <f t="shared" si="5"/>
        <v>0.35009150872710748</v>
      </c>
      <c r="G92" s="105">
        <f t="shared" si="5"/>
        <v>0.2356054832277126</v>
      </c>
      <c r="H92" s="105">
        <f t="shared" si="5"/>
        <v>8.2880051783719447E-2</v>
      </c>
      <c r="I92" s="105">
        <f t="shared" si="5"/>
        <v>4.0805779731267547E-2</v>
      </c>
      <c r="J92" s="105">
        <f t="shared" si="5"/>
        <v>7.8714385642546153E-2</v>
      </c>
      <c r="K92" s="105">
        <f t="shared" si="5"/>
        <v>1.5028762932879528E-2</v>
      </c>
      <c r="L92" s="105">
        <f t="shared" ref="L92" si="6">(L72+L54)/(L28+L29)</f>
        <v>1.2698495557666807E-2</v>
      </c>
    </row>
    <row r="93" spans="1:14">
      <c r="A93" s="24" t="s">
        <v>76</v>
      </c>
      <c r="C93" s="105">
        <f t="shared" ref="C93:F93" si="7">(C73+C55)/(C30+C31)</f>
        <v>0.28244897959183668</v>
      </c>
      <c r="D93" s="105">
        <f t="shared" si="7"/>
        <v>0.3461617900172117</v>
      </c>
      <c r="E93" s="105">
        <f t="shared" si="7"/>
        <v>0.28254733218588646</v>
      </c>
      <c r="F93" s="105">
        <f t="shared" si="7"/>
        <v>0.13671010572903861</v>
      </c>
      <c r="G93" s="105">
        <f t="shared" ref="G93:I93" si="8">(G73+G55)/(G30+G31)</f>
        <v>2.13031718711581E-2</v>
      </c>
      <c r="H93" s="105">
        <f t="shared" si="8"/>
        <v>1.7428079665601181E-2</v>
      </c>
      <c r="I93" s="105">
        <f t="shared" si="8"/>
        <v>1.7900172117039585E-2</v>
      </c>
      <c r="J93" s="105">
        <f>(J73+J55)/(J30+J31)</f>
        <v>1.7398573887386276E-2</v>
      </c>
      <c r="K93" s="105">
        <f t="shared" ref="K93:L93" si="9">(K73+K55)/(K30+K31)</f>
        <v>1.7020244242275221E-2</v>
      </c>
      <c r="L93" s="105">
        <f t="shared" si="9"/>
        <v>1.3190382341348049E-2</v>
      </c>
    </row>
    <row r="94" spans="1:14">
      <c r="A94" s="24" t="s">
        <v>85</v>
      </c>
      <c r="C94" s="105">
        <f t="shared" ref="C94:F94" si="10">(C74+C56)/(C32+C33)</f>
        <v>0.40495030702032025</v>
      </c>
      <c r="D94" s="105">
        <f t="shared" si="10"/>
        <v>0.38146483509527118</v>
      </c>
      <c r="E94" s="105">
        <f t="shared" si="10"/>
        <v>0.35556118250300689</v>
      </c>
      <c r="F94" s="105">
        <f t="shared" si="10"/>
        <v>0.21140722922073807</v>
      </c>
      <c r="G94" s="105">
        <f t="shared" ref="G94:I94" si="11">(G74+G56)/(G32+G33)</f>
        <v>0.1843894410331075</v>
      </c>
      <c r="H94" s="105">
        <f t="shared" si="11"/>
        <v>0.12002278913717793</v>
      </c>
      <c r="I94" s="105">
        <f t="shared" si="11"/>
        <v>0.10685399658249478</v>
      </c>
      <c r="J94" s="105">
        <f>(J74+J56)/(J32+J33)</f>
        <v>9.8095057274856012E-2</v>
      </c>
      <c r="K94" s="105">
        <f t="shared" ref="K94:L94" si="12">(K74+K56)/(K32+K33)</f>
        <v>9.0635613779718571E-2</v>
      </c>
      <c r="L94" s="105">
        <f t="shared" si="12"/>
        <v>8.5623272788642055E-2</v>
      </c>
    </row>
    <row r="95" spans="1:14">
      <c r="A95" s="24" t="s">
        <v>105</v>
      </c>
      <c r="C95" s="105">
        <f t="shared" ref="C95:F95" si="13">(C75+C57)/(C35+C34)</f>
        <v>6.5543278084714551E-2</v>
      </c>
      <c r="D95" s="105">
        <f t="shared" si="13"/>
        <v>0.16358892943022402</v>
      </c>
      <c r="E95" s="105">
        <f t="shared" si="13"/>
        <v>0.23265726368930317</v>
      </c>
      <c r="F95" s="105">
        <f t="shared" si="13"/>
        <v>0.22549188013083402</v>
      </c>
      <c r="G95" s="105">
        <f t="shared" ref="G95:I95" si="14">(G75+G57)/(G35+G34)</f>
        <v>0.21139573000093045</v>
      </c>
      <c r="H95" s="105">
        <f t="shared" si="14"/>
        <v>0.17699045972249736</v>
      </c>
      <c r="I95" s="105">
        <f t="shared" si="14"/>
        <v>0.13469935372580966</v>
      </c>
      <c r="J95" s="105">
        <f>(J75+J57)/(J35+J34)</f>
        <v>9.5033451727091406E-2</v>
      </c>
      <c r="K95" s="105">
        <f t="shared" ref="K95:L95" si="15">(K75+K57)/(K35+K34)</f>
        <v>8.6669022562695777E-2</v>
      </c>
      <c r="L95" s="105">
        <f t="shared" si="15"/>
        <v>0.14253580263181537</v>
      </c>
    </row>
    <row r="96" spans="1:14">
      <c r="A96" s="24" t="s">
        <v>86</v>
      </c>
      <c r="C96" s="105">
        <f t="shared" ref="C96:F96" si="16">(C76+C58)/(C36+C37)</f>
        <v>0.27113420750498513</v>
      </c>
      <c r="D96" s="105">
        <f t="shared" si="16"/>
        <v>0.22284830906197758</v>
      </c>
      <c r="E96" s="105">
        <f t="shared" si="16"/>
        <v>0.16930781316091606</v>
      </c>
      <c r="F96" s="105">
        <f t="shared" si="16"/>
        <v>0.18696026401886937</v>
      </c>
      <c r="G96" s="105">
        <f t="shared" ref="G96:I96" si="17">(G76+G58)/(G36+G37)</f>
        <v>0.13898409682202822</v>
      </c>
      <c r="H96" s="105">
        <f t="shared" si="17"/>
        <v>6.286683419316455E-2</v>
      </c>
      <c r="I96" s="105">
        <f t="shared" si="17"/>
        <v>2.9380033564496214E-2</v>
      </c>
      <c r="J96" s="105">
        <f>(J76+J58)/(J36+J37)</f>
        <v>3.1293565028991548E-2</v>
      </c>
      <c r="K96" s="105">
        <f t="shared" ref="K96:L96" si="18">(K76+K58)/(K36+K37)</f>
        <v>2.9210879158934097E-2</v>
      </c>
      <c r="L96" s="105">
        <f t="shared" si="18"/>
        <v>2.8832316631000682E-2</v>
      </c>
    </row>
    <row r="97" spans="1:12">
      <c r="A97" s="24" t="s">
        <v>139</v>
      </c>
      <c r="C97" s="105" t="e">
        <f t="shared" ref="C97:F97" si="19">(C77+C59)/(C39+C38)</f>
        <v>#VALUE!</v>
      </c>
      <c r="D97" s="105" t="e">
        <f t="shared" si="19"/>
        <v>#VALUE!</v>
      </c>
      <c r="E97" s="105" t="e">
        <f t="shared" si="19"/>
        <v>#VALUE!</v>
      </c>
      <c r="F97" s="105" t="e">
        <f t="shared" si="19"/>
        <v>#VALUE!</v>
      </c>
      <c r="G97" s="105">
        <f t="shared" ref="G97:I97" si="20">(G77+G59)/(G39+G38)</f>
        <v>9.2437215429111416E-2</v>
      </c>
      <c r="H97" s="105">
        <f t="shared" si="20"/>
        <v>9.1979038400962165E-2</v>
      </c>
      <c r="I97" s="105">
        <f t="shared" si="20"/>
        <v>5.3256617962500308E-2</v>
      </c>
      <c r="J97" s="105">
        <f>(J77+J59)/(J39+J38)</f>
        <v>4.5634289751936813E-2</v>
      </c>
      <c r="K97" s="105">
        <f t="shared" ref="K97:L97" si="21">(K77+K59)/(K39+K38)</f>
        <v>1.2774539245127482E-2</v>
      </c>
      <c r="L97" s="105">
        <f t="shared" si="21"/>
        <v>8.4418031476855022E-3</v>
      </c>
    </row>
    <row r="98" spans="1:12">
      <c r="A98" s="24" t="s">
        <v>87</v>
      </c>
      <c r="C98" s="105">
        <f t="shared" ref="C98:F98" si="22">(C78+C60)/(C40+C41)</f>
        <v>0.2423597479078417</v>
      </c>
      <c r="D98" s="105">
        <f t="shared" si="22"/>
        <v>0.12269410664172123</v>
      </c>
      <c r="E98" s="105">
        <f t="shared" si="22"/>
        <v>0.14321172435297788</v>
      </c>
      <c r="F98" s="105">
        <f t="shared" si="22"/>
        <v>8.2126598066729006E-2</v>
      </c>
      <c r="G98" s="105">
        <f t="shared" ref="G98:I98" si="23">(G78+G60)/(G40+G41)</f>
        <v>0.14327811608397567</v>
      </c>
      <c r="H98" s="105">
        <f t="shared" si="23"/>
        <v>0.1938437798926135</v>
      </c>
      <c r="I98" s="105">
        <f t="shared" si="23"/>
        <v>0.11110102568757375</v>
      </c>
      <c r="J98" s="105">
        <f>(J78+J60)/(J40+J41)</f>
        <v>4.0252476941230679E-2</v>
      </c>
      <c r="K98" s="105">
        <f t="shared" ref="K98:L98" si="24">(K78+K60)/(K40+K41)</f>
        <v>3.0277217260969647E-2</v>
      </c>
      <c r="L98" s="105">
        <f t="shared" si="24"/>
        <v>2.7199456318091158E-2</v>
      </c>
    </row>
    <row r="99" spans="1:12">
      <c r="A99" s="24" t="s">
        <v>77</v>
      </c>
      <c r="C99" s="105">
        <f t="shared" ref="C99:F99" si="25">(C79+C61)/(C43+C42)</f>
        <v>0.32767245164862435</v>
      </c>
      <c r="D99" s="105">
        <f t="shared" si="25"/>
        <v>0.14689462932203065</v>
      </c>
      <c r="E99" s="105">
        <f t="shared" si="25"/>
        <v>0.18947438761288346</v>
      </c>
      <c r="F99" s="105">
        <f t="shared" si="25"/>
        <v>0.23285994823976172</v>
      </c>
      <c r="G99" s="105">
        <f t="shared" ref="G99:I99" si="26">(G79+G61)/(G43+G42)</f>
        <v>9.4400793029686458E-2</v>
      </c>
      <c r="H99" s="105">
        <f t="shared" si="26"/>
        <v>5.4219230969896177E-2</v>
      </c>
      <c r="I99" s="105">
        <f t="shared" si="26"/>
        <v>2.1882402045181822E-2</v>
      </c>
      <c r="J99" s="105">
        <f>(J79+J61)/(J43+J42)</f>
        <v>1.5512078050816508E-2</v>
      </c>
      <c r="K99" s="105">
        <f t="shared" ref="K99:L99" si="27">(K79+K61)/(K43+K42)</f>
        <v>1.2820994417488392E-2</v>
      </c>
      <c r="L99" s="105">
        <f t="shared" si="27"/>
        <v>1.1927583868106642E-2</v>
      </c>
    </row>
    <row r="100" spans="1:12">
      <c r="A100" s="24" t="s">
        <v>88</v>
      </c>
      <c r="C100" s="105">
        <f t="shared" ref="C100:F100" si="28">(C80+C62)/(C44)</f>
        <v>0.57519123783032</v>
      </c>
      <c r="D100" s="105">
        <f t="shared" si="28"/>
        <v>0.60955247450162264</v>
      </c>
      <c r="E100" s="105">
        <f t="shared" si="28"/>
        <v>0.5041760836810385</v>
      </c>
      <c r="F100" s="105">
        <f t="shared" si="28"/>
        <v>0.35059906699119148</v>
      </c>
      <c r="G100" s="105">
        <f t="shared" ref="G100:I100" si="29">(G80+G62)/(G44)</f>
        <v>0.19056777352804818</v>
      </c>
      <c r="H100" s="105">
        <f t="shared" si="29"/>
        <v>0.23729983508721042</v>
      </c>
      <c r="I100" s="105">
        <f t="shared" si="29"/>
        <v>0.18444875697750676</v>
      </c>
      <c r="J100" s="105">
        <f t="shared" ref="J100:J107" si="30">(J80+J62)/(J44)</f>
        <v>0.11369004142519742</v>
      </c>
      <c r="K100" s="105">
        <f t="shared" ref="K100:L100" si="31">(K80+K62)/(K44)</f>
        <v>0.30195481305191962</v>
      </c>
      <c r="L100" s="105">
        <f t="shared" si="31"/>
        <v>0.31535354167971447</v>
      </c>
    </row>
    <row r="101" spans="1:12">
      <c r="A101" s="24" t="s">
        <v>138</v>
      </c>
      <c r="C101" s="105">
        <f t="shared" ref="C101:F101" si="32">(C81+C63)/(C45)</f>
        <v>0.43539695598519118</v>
      </c>
      <c r="D101" s="105">
        <f t="shared" si="32"/>
        <v>0.34867852735499788</v>
      </c>
      <c r="E101" s="105">
        <f t="shared" si="32"/>
        <v>0.4001502774352651</v>
      </c>
      <c r="F101" s="105">
        <f t="shared" si="32"/>
        <v>0.50354537586547976</v>
      </c>
      <c r="G101" s="105">
        <f t="shared" ref="G101:I101" si="33">(G81+G63)/(G45)</f>
        <v>0.36217511776115263</v>
      </c>
      <c r="H101" s="105">
        <f t="shared" si="33"/>
        <v>0.28806813460739511</v>
      </c>
      <c r="I101" s="105">
        <f t="shared" si="33"/>
        <v>0.18563463342715453</v>
      </c>
      <c r="J101" s="105">
        <f t="shared" si="30"/>
        <v>7.8217397131751784E-2</v>
      </c>
      <c r="K101" s="105">
        <f t="shared" ref="K101:L101" si="34">(K81+K63)/(K45)</f>
        <v>0.15304382790510657</v>
      </c>
      <c r="L101" s="105">
        <f t="shared" si="34"/>
        <v>0.1320761292052004</v>
      </c>
    </row>
    <row r="102" spans="1:12">
      <c r="A102" s="24" t="s">
        <v>119</v>
      </c>
      <c r="C102" s="105" t="e">
        <f t="shared" ref="C102:F102" si="35">(C82+C64)/(C46)</f>
        <v>#DIV/0!</v>
      </c>
      <c r="D102" s="105" t="e">
        <f t="shared" si="35"/>
        <v>#DIV/0!</v>
      </c>
      <c r="E102" s="105" t="e">
        <f t="shared" si="35"/>
        <v>#DIV/0!</v>
      </c>
      <c r="F102" s="105">
        <f t="shared" si="35"/>
        <v>0.97868020304568526</v>
      </c>
      <c r="G102" s="105">
        <f t="shared" ref="G102:I102" si="36">(G82+G64)/(G46)</f>
        <v>0.57208121827411174</v>
      </c>
      <c r="H102" s="105">
        <f t="shared" si="36"/>
        <v>0.4291370558375634</v>
      </c>
      <c r="I102" s="105">
        <f t="shared" si="36"/>
        <v>0.42335025380710656</v>
      </c>
      <c r="J102" s="105">
        <f t="shared" si="30"/>
        <v>0.29111675126903552</v>
      </c>
      <c r="K102" s="255">
        <f t="shared" ref="K102:L102" si="37">(K82+K64)/(K46)</f>
        <v>8.6294416243654817E-2</v>
      </c>
      <c r="L102" s="255">
        <f t="shared" si="37"/>
        <v>6.0956006768189505E-2</v>
      </c>
    </row>
    <row r="103" spans="1:12">
      <c r="A103" s="24" t="s">
        <v>21</v>
      </c>
      <c r="C103" s="105" t="e">
        <f t="shared" ref="C103:F103" si="38">(C83+C65)/(C47)</f>
        <v>#DIV/0!</v>
      </c>
      <c r="D103" s="105">
        <f t="shared" si="38"/>
        <v>0.69721797064914015</v>
      </c>
      <c r="E103" s="105">
        <f t="shared" si="38"/>
        <v>0.76856036733591415</v>
      </c>
      <c r="F103" s="105">
        <f t="shared" si="38"/>
        <v>0.30611326190690552</v>
      </c>
      <c r="G103" s="105">
        <f t="shared" ref="G103:I103" si="39">(G83+G65)/(G47)</f>
        <v>0.50316004077471976</v>
      </c>
      <c r="H103" s="105">
        <f t="shared" si="39"/>
        <v>0.34840950040950042</v>
      </c>
      <c r="I103" s="105">
        <f t="shared" si="39"/>
        <v>0.10689694931330723</v>
      </c>
      <c r="J103" s="105">
        <f t="shared" si="30"/>
        <v>0.17776781887757878</v>
      </c>
      <c r="K103" s="105">
        <f t="shared" ref="K103:L103" si="40">(K83+K65)/(K47)</f>
        <v>8.8551059788934142E-2</v>
      </c>
      <c r="L103" s="105">
        <f t="shared" si="40"/>
        <v>0.10711884907987738</v>
      </c>
    </row>
    <row r="104" spans="1:12">
      <c r="A104" s="24" t="s">
        <v>17</v>
      </c>
      <c r="C104" s="105">
        <f t="shared" ref="C104:F104" si="41">(C84+C66)/(C48)</f>
        <v>0.3338162779273593</v>
      </c>
      <c r="D104" s="105">
        <f t="shared" si="41"/>
        <v>0.30656154252809525</v>
      </c>
      <c r="E104" s="105">
        <f t="shared" si="41"/>
        <v>0.23876897890506424</v>
      </c>
      <c r="F104" s="105">
        <f t="shared" si="41"/>
        <v>0.20748185244345405</v>
      </c>
      <c r="G104" s="105">
        <f t="shared" ref="G104:I104" si="42">(G84+G66)/(G48)</f>
        <v>0.13676162859449145</v>
      </c>
      <c r="H104" s="105">
        <f t="shared" si="42"/>
        <v>0.1196921320932241</v>
      </c>
      <c r="I104" s="105">
        <f t="shared" si="42"/>
        <v>7.4828148216700321E-2</v>
      </c>
      <c r="J104" s="105">
        <f t="shared" si="30"/>
        <v>6.1275379307862754E-2</v>
      </c>
      <c r="K104" s="105">
        <f t="shared" ref="K104:L104" si="43">(K84+K66)/(K48)</f>
        <v>5.5421878775726352E-2</v>
      </c>
      <c r="L104" s="105">
        <f t="shared" si="43"/>
        <v>5.1131368284669833E-2</v>
      </c>
    </row>
    <row r="105" spans="1:12">
      <c r="A105" s="24" t="s">
        <v>37</v>
      </c>
      <c r="C105" s="105">
        <f t="shared" ref="C105:F105" si="44">(C85+C67)/(C49)</f>
        <v>0.49575592295892273</v>
      </c>
      <c r="D105" s="105">
        <f t="shared" si="44"/>
        <v>9.6301399893520392E-2</v>
      </c>
      <c r="E105" s="105">
        <f t="shared" si="44"/>
        <v>0.1244558579436911</v>
      </c>
      <c r="F105" s="105">
        <f t="shared" si="44"/>
        <v>2.9117472049105884E-2</v>
      </c>
      <c r="G105" s="105">
        <f t="shared" ref="G105:I105" si="45">(G85+G67)/(G49)</f>
        <v>1.6942782875575459E-2</v>
      </c>
      <c r="H105" s="105">
        <f t="shared" si="45"/>
        <v>4.713556270476079E-2</v>
      </c>
      <c r="I105" s="105">
        <f t="shared" si="45"/>
        <v>4.0745550603583126E-2</v>
      </c>
      <c r="J105" s="105">
        <f t="shared" si="30"/>
        <v>2.3390690947728818E-2</v>
      </c>
      <c r="K105" s="105">
        <f t="shared" ref="K105:L105" si="46">(K85+K67)/(K49)</f>
        <v>2.5764194287850616E-2</v>
      </c>
      <c r="L105" s="105">
        <f t="shared" si="46"/>
        <v>1.9086410279114157E-2</v>
      </c>
    </row>
    <row r="106" spans="1:12">
      <c r="A106" s="24" t="s">
        <v>38</v>
      </c>
      <c r="C106" s="105">
        <f t="shared" ref="C106:F106" si="47">(C86+C68)/(C50)</f>
        <v>0.33093348207262485</v>
      </c>
      <c r="D106" s="105">
        <f t="shared" si="47"/>
        <v>0.24483059452811029</v>
      </c>
      <c r="E106" s="105">
        <f t="shared" si="47"/>
        <v>0.38267023934696837</v>
      </c>
      <c r="F106" s="105">
        <f t="shared" si="47"/>
        <v>0.31044341436844852</v>
      </c>
      <c r="G106" s="105">
        <f t="shared" ref="G106:I106" si="48">(G86+G68)/(G50)</f>
        <v>0.19049810473427375</v>
      </c>
      <c r="H106" s="105">
        <f t="shared" si="48"/>
        <v>0.25294177724355205</v>
      </c>
      <c r="I106" s="105">
        <f t="shared" si="48"/>
        <v>0.17147913810513163</v>
      </c>
      <c r="J106" s="105">
        <f t="shared" si="30"/>
        <v>0.18998465725372699</v>
      </c>
      <c r="K106" s="105">
        <f t="shared" ref="K106:L106" si="49">(K86+K68)/(K50)</f>
        <v>0.1301903474181943</v>
      </c>
      <c r="L106" s="105">
        <f t="shared" si="49"/>
        <v>0.10838700153741544</v>
      </c>
    </row>
    <row r="107" spans="1:12" s="216" customFormat="1" ht="16" thickBot="1">
      <c r="A107" s="219" t="s">
        <v>46</v>
      </c>
      <c r="B107" s="218"/>
      <c r="C107" s="222">
        <f t="shared" ref="C107:E107" si="50">(C89+C69)/(C51)</f>
        <v>1.6489764973464747E-2</v>
      </c>
      <c r="D107" s="222">
        <f t="shared" si="50"/>
        <v>0.31336362793285732</v>
      </c>
      <c r="E107" s="222">
        <f t="shared" si="50"/>
        <v>0.27539182045812854</v>
      </c>
      <c r="F107" s="222">
        <f>(F87+F69)/(F51)</f>
        <v>0.19059167207641664</v>
      </c>
      <c r="G107" s="222">
        <f>(G87+G69)/(G51)</f>
        <v>0.20427988500417324</v>
      </c>
      <c r="H107" s="222">
        <f>(H87+H69)/(H51)</f>
        <v>0.17043030696466663</v>
      </c>
      <c r="I107" s="222">
        <f>(I87+I69)/(I51)</f>
        <v>0.12610127051840861</v>
      </c>
      <c r="J107" s="222">
        <f t="shared" si="30"/>
        <v>0.15410831864972643</v>
      </c>
      <c r="K107" s="222">
        <f>(K87+K69)/(K51)</f>
        <v>0.12568394695353799</v>
      </c>
      <c r="L107" s="222">
        <f>(L87+L69)/(L51)</f>
        <v>8.2106092924047122E-2</v>
      </c>
    </row>
    <row r="108" spans="1:12" ht="16" thickTop="1"/>
  </sheetData>
  <sortState ref="A41:A44">
    <sortCondition ref="A15"/>
  </sortState>
  <mergeCells count="4">
    <mergeCell ref="C52:K52"/>
    <mergeCell ref="C26:K26"/>
    <mergeCell ref="C70:K70"/>
    <mergeCell ref="C90:L90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opLeftCell="AI1" zoomScale="80" zoomScaleNormal="80" zoomScalePageLayoutView="80" workbookViewId="0">
      <selection activeCell="AL66" sqref="AL66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3.5" style="30" customWidth="1"/>
    <col min="31" max="16384" width="10.83203125" style="30"/>
  </cols>
  <sheetData>
    <row r="1" spans="1:30">
      <c r="A1" s="30" t="s">
        <v>123</v>
      </c>
    </row>
    <row r="2" spans="1:30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AA2" s="31" t="s">
        <v>124</v>
      </c>
      <c r="AB2" s="31" t="s">
        <v>125</v>
      </c>
      <c r="AC2" s="31" t="s">
        <v>126</v>
      </c>
      <c r="AD2" s="31" t="s">
        <v>127</v>
      </c>
    </row>
    <row r="3" spans="1:30">
      <c r="A3" s="34">
        <v>42866</v>
      </c>
      <c r="B3" s="49">
        <f>SUMIFS(Collection!$J:$J, Collection!$A:$A, $A3, Collection!$B:$B, B$2)</f>
        <v>0</v>
      </c>
      <c r="C3" s="49">
        <f>SUMIFS(Collection!$J:$J, Collection!$A:$A, $A3, Collection!$B:$B, C$2)</f>
        <v>0</v>
      </c>
      <c r="D3" s="49">
        <f>SUMIFS(Collection!$J:$J, Collection!$A:$A, $A3, Collection!$B:$B, D$2)</f>
        <v>0</v>
      </c>
      <c r="E3" s="49">
        <f>SUMIFS(Collection!$J:$J, Collection!$A:$A, $A3, Collection!$B:$B, E$2)</f>
        <v>0</v>
      </c>
      <c r="F3" s="49">
        <f>SUMIFS(Collection!$J:$J, Collection!$A:$A, $A3, Collection!$B:$B, F$2)</f>
        <v>0</v>
      </c>
      <c r="G3" s="49">
        <f>SUMIFS(Collection!$J:$J, Collection!$A:$A, $A3, Collection!$B:$B, G$2)</f>
        <v>0</v>
      </c>
      <c r="H3" s="49">
        <f>SUMIFS(Collection!$J:$J, Collection!$A:$A, $A3, Collection!$B:$B, H$2)</f>
        <v>0</v>
      </c>
      <c r="I3" s="49">
        <f>SUMIFS(Collection!$J:$J, Collection!$A:$A, $A3, Collection!$B:$B, I$2)</f>
        <v>0</v>
      </c>
      <c r="J3" s="49">
        <f>SUMIFS(Collection!$J:$J, Collection!$A:$A, $A3, Collection!$B:$B, J$2)</f>
        <v>37200</v>
      </c>
      <c r="K3" s="49">
        <f>SUMIFS(Collection!$J:$J, Collection!$A:$A, $A3, Collection!$B:$B, K$2)</f>
        <v>0</v>
      </c>
      <c r="L3" s="49">
        <f>SUMIFS(Collection!$J:$J, Collection!$A:$A, $A3, Collection!$B:$B, L$2)</f>
        <v>0</v>
      </c>
      <c r="M3" s="49">
        <f>SUMIFS(Collection!$J:$J, Collection!$A:$A, $A3, Collection!$B:$B, M$2)</f>
        <v>0</v>
      </c>
      <c r="N3" s="49">
        <f>SUMIFS(Collection!$J:$J, Collection!$A:$A, $A3, Collection!$B:$B, N$2)</f>
        <v>0</v>
      </c>
      <c r="O3" s="49">
        <f>SUMIFS(Collection!$J:$J, Collection!$A:$A, $A3, Collection!$B:$B, O$2)</f>
        <v>47400</v>
      </c>
      <c r="P3" s="49">
        <f>SUMIFS(Collection!$J:$J, Collection!$A:$A, $A3, Collection!$B:$B, P$2)</f>
        <v>0</v>
      </c>
      <c r="Q3" s="49">
        <f>SUMIFS(Collection!$J:$J, Collection!$A:$A, $A3, Collection!$B:$B, Q$2)</f>
        <v>0</v>
      </c>
      <c r="R3" s="49">
        <f>SUMIFS(Collection!$J:$J, Collection!$A:$A, $A3, Collection!$B:$B, R$2)</f>
        <v>0</v>
      </c>
      <c r="S3" s="49">
        <f>SUMIFS(Collection!$J:$J, Collection!$A:$A, $A3, Collection!$B:$B, S$2)</f>
        <v>0</v>
      </c>
      <c r="T3" s="49">
        <f>SUMIFS(Collection!$J:$J, Collection!$A:$A, $A3, Collection!$B:$B, T$2)</f>
        <v>0</v>
      </c>
      <c r="U3" s="49">
        <f>SUMIFS(Collection!$J:$J, Collection!$A:$A, $A3, Collection!$B:$B, U$2)</f>
        <v>0</v>
      </c>
      <c r="V3" s="49">
        <f>SUMIFS(Collection!$J:$J, Collection!$A:$A, $A3, Collection!$B:$B, V$2)</f>
        <v>0</v>
      </c>
      <c r="W3" s="49">
        <f>SUMIFS(Collection!$J:$J, Collection!$A:$A, $A3, Collection!$B:$B, W$2)</f>
        <v>0</v>
      </c>
      <c r="X3" s="49">
        <f>SUMIFS(Collection!$J:$J, Collection!$A:$A, $A3, Collection!$B:$B, X$2)</f>
        <v>0</v>
      </c>
      <c r="Y3" s="49">
        <f>SUMIFS(Collection!$J:$J, Collection!$A:$A, $A3, Collection!$B:$B, Y$2)</f>
        <v>0</v>
      </c>
    </row>
    <row r="4" spans="1:30">
      <c r="A4" s="34">
        <f>1+A3</f>
        <v>42867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</row>
    <row r="5" spans="1:30">
      <c r="A5" s="34">
        <f t="shared" ref="A5:A70" si="0">1+A4</f>
        <v>42868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3483.3333333333335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</row>
    <row r="6" spans="1:30">
      <c r="A6" s="34">
        <f t="shared" si="0"/>
        <v>42869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69066.666666666657</v>
      </c>
      <c r="E6" s="49">
        <f>SUMIFS(Collection!$J:$J, Collection!$A:$A, $A6, Collection!$B:$B, E$2)</f>
        <v>0</v>
      </c>
      <c r="F6" s="49">
        <f>SUMIFS(Collection!$J:$J, Collection!$A:$A, $A6, Collection!$B:$B, F$2)</f>
        <v>80666.666666666657</v>
      </c>
      <c r="G6" s="49">
        <f>SUMIFS(Collection!$J:$J, Collection!$A:$A, $A6, Collection!$B:$B, G$2)</f>
        <v>0</v>
      </c>
      <c r="H6" s="49">
        <f>SUMIFS(Collection!$J:$J, Collection!$A:$A, $A6, Collection!$B:$B, H$2)</f>
        <v>98000</v>
      </c>
      <c r="I6" s="49">
        <f>SUMIFS(Collection!$J:$J, Collection!$A:$A, $A6, Collection!$B:$B, I$2)</f>
        <v>0</v>
      </c>
      <c r="J6" s="49">
        <f>SUMIFS(Collection!$J:$J, Collection!$A:$A, $A6, Collection!$B:$B, J$2)</f>
        <v>52266.666666666657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66800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3844.4444444444443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</row>
    <row r="7" spans="1:30">
      <c r="A7" s="34">
        <f t="shared" si="0"/>
        <v>42870</v>
      </c>
      <c r="B7" s="49">
        <f>SUMIFS(Collection!$J:$J, Collection!$A:$A, $A7, Collection!$B:$B, B$2)</f>
        <v>554500</v>
      </c>
      <c r="C7" s="49">
        <f>SUMIFS(Collection!$J:$J, Collection!$A:$A, $A7, Collection!$B:$B, C$2)</f>
        <v>0</v>
      </c>
      <c r="D7" s="49">
        <f>SUMIFS(Collection!$J:$J, Collection!$A:$A, $A7, Collection!$B:$B, D$2)</f>
        <v>461500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77250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</row>
    <row r="8" spans="1:30">
      <c r="A8" s="34">
        <f t="shared" si="0"/>
        <v>42871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</row>
    <row r="9" spans="1:30">
      <c r="A9" s="34">
        <f t="shared" si="0"/>
        <v>42872</v>
      </c>
      <c r="B9" s="49">
        <f>SUMIFS(Collection!$J:$J, Collection!$A:$A, $A9, Collection!$B:$B, B$2)</f>
        <v>53000</v>
      </c>
      <c r="C9" s="49">
        <f>SUMIFS(Collection!$J:$J, Collection!$A:$A, $A9, Collection!$B:$B, C$2)</f>
        <v>404466.66666666669</v>
      </c>
      <c r="D9" s="49">
        <f>SUMIFS(Collection!$J:$J, Collection!$A:$A, $A9, Collection!$B:$B, D$2)</f>
        <v>1416.6666666666667</v>
      </c>
      <c r="E9" s="49">
        <f>SUMIFS(Collection!$J:$J, Collection!$A:$A, $A9, Collection!$B:$B, E$2)</f>
        <v>0</v>
      </c>
      <c r="F9" s="49">
        <f>SUMIFS(Collection!$J:$J, Collection!$A:$A, $A9, Collection!$B:$B, F$2)</f>
        <v>9400</v>
      </c>
      <c r="G9" s="49">
        <f>SUMIFS(Collection!$J:$J, Collection!$A:$A, $A9, Collection!$B:$B, G$2)</f>
        <v>218033.33333333331</v>
      </c>
      <c r="H9" s="49">
        <f>SUMIFS(Collection!$J:$J, Collection!$A:$A, $A9, Collection!$B:$B, H$2)</f>
        <v>2666.6666666666665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245666.66666666666</v>
      </c>
      <c r="R9" s="49">
        <f>SUMIFS(Collection!$J:$J, Collection!$A:$A, $A9, Collection!$B:$B, R$2)</f>
        <v>0</v>
      </c>
      <c r="S9" s="49">
        <f>SUMIFS(Collection!$J:$J, Collection!$A:$A, $A9, Collection!$B:$B, S$2)</f>
        <v>142666.66666666666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</row>
    <row r="10" spans="1:30" s="52" customFormat="1" ht="16" thickBot="1">
      <c r="A10" s="50">
        <f t="shared" si="0"/>
        <v>42873</v>
      </c>
      <c r="B10" s="51">
        <f>SUMIFS(Collection!$J:$J, Collection!$A:$A, $A10, Collection!$B:$B, B$2)</f>
        <v>250</v>
      </c>
      <c r="C10" s="51">
        <f>SUMIFS(Collection!$J:$J, Collection!$A:$A, $A10, Collection!$B:$B, C$2)</f>
        <v>11200</v>
      </c>
      <c r="D10" s="51">
        <f>SUMIFS(Collection!$J:$J, Collection!$A:$A, $A10, Collection!$B:$B, D$2)</f>
        <v>0</v>
      </c>
      <c r="E10" s="51">
        <f>SUMIFS(Collection!$J:$J, Collection!$A:$A, $A10, Collection!$B:$B, E$2)</f>
        <v>0</v>
      </c>
      <c r="F10" s="51">
        <f>SUMIFS(Collection!$J:$J, Collection!$A:$A, $A10, Collection!$B:$B, F$2)</f>
        <v>5750</v>
      </c>
      <c r="G10" s="51">
        <f>SUMIFS(Collection!$J:$J, Collection!$A:$A, $A10, Collection!$B:$B, G$2)</f>
        <v>3583.3333333333335</v>
      </c>
      <c r="H10" s="51">
        <f>SUMIFS(Collection!$J:$J, Collection!$A:$A, $A10, Collection!$B:$B, H$2)</f>
        <v>200</v>
      </c>
      <c r="I10" s="51">
        <f>SUMIFS(Collection!$J:$J, Collection!$A:$A, $A10, Collection!$B:$B, I$2)</f>
        <v>0</v>
      </c>
      <c r="J10" s="51">
        <f>SUMIFS(Collection!$J:$J, Collection!$A:$A, $A10, Collection!$B:$B, J$2)</f>
        <v>0</v>
      </c>
      <c r="K10" s="51">
        <f>SUMIFS(Collection!$J:$J, Collection!$A:$A, $A10, Collection!$B:$B, K$2)</f>
        <v>0</v>
      </c>
      <c r="L10" s="51">
        <f>SUMIFS(Collection!$J:$J, Collection!$A:$A, $A10, Collection!$B:$B, L$2)</f>
        <v>0</v>
      </c>
      <c r="M10" s="51">
        <f>SUMIFS(Collection!$J:$J, Collection!$A:$A, $A10, Collection!$B:$B, M$2)</f>
        <v>0</v>
      </c>
      <c r="N10" s="51">
        <f>SUMIFS(Collection!$J:$J, Collection!$A:$A, $A10, Collection!$B:$B, N$2)</f>
        <v>0</v>
      </c>
      <c r="O10" s="51">
        <f>SUMIFS(Collection!$J:$J, Collection!$A:$A, $A10, Collection!$B:$B, O$2)</f>
        <v>0</v>
      </c>
      <c r="P10" s="51">
        <f>SUMIFS(Collection!$J:$J, Collection!$A:$A, $A10, Collection!$B:$B, P$2)</f>
        <v>0</v>
      </c>
      <c r="Q10" s="51">
        <f>SUMIFS(Collection!$J:$J, Collection!$A:$A, $A10, Collection!$B:$B, Q$2)</f>
        <v>1000</v>
      </c>
      <c r="R10" s="51">
        <f>SUMIFS(Collection!$J:$J, Collection!$A:$A, $A10, Collection!$B:$B, R$2)</f>
        <v>0</v>
      </c>
      <c r="S10" s="51">
        <f>SUMIFS(Collection!$J:$J, Collection!$A:$A, $A10, Collection!$B:$B, S$2)</f>
        <v>0</v>
      </c>
      <c r="T10" s="51">
        <f>SUMIFS(Collection!$J:$J, Collection!$A:$A, $A10, Collection!$B:$B, T$2)</f>
        <v>0</v>
      </c>
      <c r="U10" s="51">
        <f>SUMIFS(Collection!$J:$J, Collection!$A:$A, $A10, Collection!$B:$B, U$2)</f>
        <v>0</v>
      </c>
      <c r="V10" s="51">
        <f>SUMIFS(Collection!$J:$J, Collection!$A:$A, $A10, Collection!$B:$B, V$2)</f>
        <v>0</v>
      </c>
      <c r="W10" s="51">
        <f>SUMIFS(Collection!$J:$J, Collection!$A:$A, $A10, Collection!$B:$B, W$2)</f>
        <v>0</v>
      </c>
      <c r="X10" s="51">
        <f>SUMIFS(Collection!$J:$J, Collection!$A:$A, $A10, Collection!$B:$B, X$2)</f>
        <v>0</v>
      </c>
      <c r="Y10" s="51">
        <f>SUMIFS(Collection!$J:$J, Collection!$A:$A, $A10, Collection!$B:$B, Y$2)</f>
        <v>0</v>
      </c>
    </row>
    <row r="11" spans="1:30" ht="16" thickTop="1">
      <c r="A11" s="34">
        <f t="shared" si="0"/>
        <v>42874</v>
      </c>
      <c r="B11" s="49">
        <f>SUMIFS(Collection!$J:$J, Collection!$A:$A, $A11, Collection!$B:$B, B$2)</f>
        <v>0</v>
      </c>
      <c r="C11" s="49">
        <f>SUMIFS(Collection!$J:$J, Collection!$A:$A, $A11, Collection!$B:$B, C$2)</f>
        <v>0</v>
      </c>
      <c r="D11" s="49">
        <f>SUMIFS(Collection!$J:$J, Collection!$A:$A, $A11, Collection!$B:$B, D$2)</f>
        <v>0</v>
      </c>
      <c r="E11" s="49">
        <f>SUMIFS(Collection!$J:$J, Collection!$A:$A, $A11, Collection!$B:$B, E$2)</f>
        <v>0</v>
      </c>
      <c r="F11" s="49">
        <f>SUMIFS(Collection!$J:$J, Collection!$A:$A, $A11, Collection!$B:$B, F$2)</f>
        <v>201600</v>
      </c>
      <c r="G11" s="49">
        <f>SUMIFS(Collection!$J:$J, Collection!$A:$A, $A11, Collection!$B:$B, G$2)</f>
        <v>0</v>
      </c>
      <c r="H11" s="49">
        <f>SUMIFS(Collection!$J:$J, Collection!$A:$A, $A11, Collection!$B:$B, H$2)</f>
        <v>0</v>
      </c>
      <c r="I11" s="49">
        <f>SUMIFS(Collection!$J:$J, Collection!$A:$A, $A11, Collection!$B:$B, I$2)</f>
        <v>0</v>
      </c>
      <c r="J11" s="49">
        <f>SUMIFS(Collection!$J:$J, Collection!$A:$A, $A11, Collection!$B:$B, J$2)</f>
        <v>0</v>
      </c>
      <c r="K11" s="49">
        <f>SUMIFS(Collection!$J:$J, Collection!$A:$A, $A11, Collection!$B:$B, K$2)</f>
        <v>0</v>
      </c>
      <c r="L11" s="49">
        <f>SUMIFS(Collection!$J:$J, Collection!$A:$A, $A11, Collection!$B:$B, L$2)</f>
        <v>0</v>
      </c>
      <c r="M11" s="49">
        <f>SUMIFS(Collection!$J:$J, Collection!$A:$A, $A11, Collection!$B:$B, M$2)</f>
        <v>0</v>
      </c>
      <c r="N11" s="49">
        <f>SUMIFS(Collection!$J:$J, Collection!$A:$A, $A11, Collection!$B:$B, N$2)</f>
        <v>0</v>
      </c>
      <c r="O11" s="49">
        <f>SUMIFS(Collection!$J:$J, Collection!$A:$A, $A11, Collection!$B:$B, O$2)</f>
        <v>0</v>
      </c>
      <c r="P11" s="49">
        <f>SUMIFS(Collection!$J:$J, Collection!$A:$A, $A11, Collection!$B:$B, P$2)</f>
        <v>0</v>
      </c>
      <c r="Q11" s="49">
        <f>SUMIFS(Collection!$J:$J, Collection!$A:$A, $A11, Collection!$B:$B, Q$2)</f>
        <v>0</v>
      </c>
      <c r="R11" s="49">
        <f>SUMIFS(Collection!$J:$J, Collection!$A:$A, $A11, Collection!$B:$B, R$2)</f>
        <v>0</v>
      </c>
      <c r="S11" s="49">
        <f>SUMIFS(Collection!$J:$J, Collection!$A:$A, $A11, Collection!$B:$B, S$2)</f>
        <v>0</v>
      </c>
      <c r="T11" s="49">
        <f>SUMIFS(Collection!$J:$J, Collection!$A:$A, $A11, Collection!$B:$B, T$2)</f>
        <v>350</v>
      </c>
      <c r="U11" s="49">
        <f>SUMIFS(Collection!$J:$J, Collection!$A:$A, $A11, Collection!$B:$B, U$2)</f>
        <v>2041.6666666666665</v>
      </c>
      <c r="V11" s="49">
        <f>SUMIFS(Collection!$J:$J, Collection!$A:$A, $A11, Collection!$B:$B, V$2)</f>
        <v>0</v>
      </c>
      <c r="W11" s="49">
        <f>SUMIFS(Collection!$J:$J, Collection!$A:$A, $A11, Collection!$B:$B, W$2)</f>
        <v>0</v>
      </c>
      <c r="X11" s="49">
        <f>SUMIFS(Collection!$J:$J, Collection!$A:$A, $A11, Collection!$B:$B, X$2)</f>
        <v>0</v>
      </c>
      <c r="Y11" s="49">
        <f>SUMIFS(Collection!$J:$J, Collection!$A:$A, $A11, Collection!$B:$B, Y$2)</f>
        <v>0</v>
      </c>
    </row>
    <row r="12" spans="1:30">
      <c r="A12" s="34">
        <f t="shared" si="0"/>
        <v>42875</v>
      </c>
      <c r="B12" s="49">
        <f>SUMIFS(Collection!$J:$J, Collection!$A:$A, $A12, Collection!$B:$B, B$2)</f>
        <v>309333.33333333337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8960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281000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11866.666666666668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108000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0</v>
      </c>
      <c r="U12" s="49">
        <f>SUMIFS(Collection!$J:$J, Collection!$A:$A, $A12, Collection!$B:$B, U$2)</f>
        <v>89666.666666666672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</row>
    <row r="13" spans="1:30">
      <c r="A13" s="34">
        <f t="shared" si="0"/>
        <v>42876</v>
      </c>
      <c r="B13" s="49">
        <f>SUMIFS(Collection!$J:$J, Collection!$A:$A, $A13, Collection!$B:$B, B$2)</f>
        <v>447466.66666666669</v>
      </c>
      <c r="C13" s="49">
        <f>SUMIFS(Collection!$J:$J, Collection!$A:$A, $A13, Collection!$B:$B, C$2)</f>
        <v>172266.66666666669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194666.66666666669</v>
      </c>
      <c r="G13" s="49">
        <f>SUMIFS(Collection!$J:$J, Collection!$A:$A, $A13, Collection!$B:$B, G$2)</f>
        <v>8166.6666666666661</v>
      </c>
      <c r="H13" s="49">
        <f>SUMIFS(Collection!$J:$J, Collection!$A:$A, $A13, Collection!$B:$B, H$2)</f>
        <v>0</v>
      </c>
      <c r="I13" s="49">
        <f>SUMIFS(Collection!$J:$J, Collection!$A:$A, $A13, Collection!$B:$B, I$2)</f>
        <v>210133.33333333334</v>
      </c>
      <c r="J13" s="49">
        <f>SUMIFS(Collection!$J:$J, Collection!$A:$A, $A13, Collection!$B:$B, J$2)</f>
        <v>0</v>
      </c>
      <c r="K13" s="49">
        <f>SUMIFS(Collection!$J:$J, Collection!$A:$A, $A13, Collection!$B:$B, K$2)</f>
        <v>250133.33333333334</v>
      </c>
      <c r="L13" s="49">
        <f>SUMIFS(Collection!$J:$J, Collection!$A:$A, $A13, Collection!$B:$B, L$2)</f>
        <v>0</v>
      </c>
      <c r="M13" s="49">
        <f>SUMIFS(Collection!$J:$J, Collection!$A:$A, $A13, Collection!$B:$B, M$2)</f>
        <v>126400</v>
      </c>
      <c r="N13" s="49">
        <f>SUMIFS(Collection!$J:$J, Collection!$A:$A, $A13, Collection!$B:$B, N$2)</f>
        <v>123200</v>
      </c>
      <c r="O13" s="49">
        <f>SUMIFS(Collection!$J:$J, Collection!$A:$A, $A13, Collection!$B:$B, O$2)</f>
        <v>13250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0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</row>
    <row r="14" spans="1:30">
      <c r="A14" s="34">
        <f t="shared" si="0"/>
        <v>42877</v>
      </c>
      <c r="B14" s="49">
        <f>SUMIFS(Collection!$J:$J, Collection!$A:$A, $A14, Collection!$B:$B, B$2)</f>
        <v>0</v>
      </c>
      <c r="C14" s="49">
        <f>SUMIFS(Collection!$J:$J, Collection!$A:$A, $A14, Collection!$B:$B, C$2)</f>
        <v>0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3400</v>
      </c>
      <c r="G14" s="49">
        <f>SUMIFS(Collection!$J:$J, Collection!$A:$A, $A14, Collection!$B:$B, G$2)</f>
        <v>24500</v>
      </c>
      <c r="H14" s="49">
        <f>SUMIFS(Collection!$J:$J, Collection!$A:$A, $A14, Collection!$B:$B, H$2)</f>
        <v>0</v>
      </c>
      <c r="I14" s="49">
        <f>SUMIFS(Collection!$J:$J, Collection!$A:$A, $A14, Collection!$B:$B, I$2)</f>
        <v>0</v>
      </c>
      <c r="J14" s="49">
        <f>SUMIFS(Collection!$J:$J, Collection!$A:$A, $A14, Collection!$B:$B, J$2)</f>
        <v>0</v>
      </c>
      <c r="K14" s="49">
        <f>SUMIFS(Collection!$J:$J, Collection!$A:$A, $A14, Collection!$B:$B, K$2)</f>
        <v>136000</v>
      </c>
      <c r="L14" s="49">
        <f>SUMIFS(Collection!$J:$J, Collection!$A:$A, $A14, Collection!$B:$B, L$2)</f>
        <v>0</v>
      </c>
      <c r="M14" s="49">
        <f>SUMIFS(Collection!$J:$J, Collection!$A:$A, $A14, Collection!$B:$B, M$2)</f>
        <v>0</v>
      </c>
      <c r="N14" s="49">
        <f>SUMIFS(Collection!$J:$J, Collection!$A:$A, $A14, Collection!$B:$B, N$2)</f>
        <v>1800</v>
      </c>
      <c r="O14" s="49">
        <f>SUMIFS(Collection!$J:$J, Collection!$A:$A, $A14, Collection!$B:$B, O$2)</f>
        <v>625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466.66666666666663</v>
      </c>
      <c r="W14" s="49">
        <f>SUMIFS(Collection!$J:$J, Collection!$A:$A, $A14, Collection!$B:$B, W$2)</f>
        <v>583.33333333333337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</row>
    <row r="15" spans="1:30">
      <c r="A15" s="34">
        <f t="shared" si="0"/>
        <v>42878</v>
      </c>
      <c r="B15" s="49">
        <f>SUMIFS(Collection!$J:$J, Collection!$A:$A, $A15, Collection!$B:$B, B$2)</f>
        <v>38266.666666666664</v>
      </c>
      <c r="C15" s="49">
        <f>SUMIFS(Collection!$J:$J, Collection!$A:$A, $A15, Collection!$B:$B, C$2)</f>
        <v>67600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0</v>
      </c>
      <c r="G15" s="49">
        <f>SUMIFS(Collection!$J:$J, Collection!$A:$A, $A15, Collection!$B:$B, G$2)</f>
        <v>209066.66666666669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241066.66666666666</v>
      </c>
      <c r="K15" s="49">
        <f>SUMIFS(Collection!$J:$J, Collection!$A:$A, $A15, Collection!$B:$B, K$2)</f>
        <v>1000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130933.33333333333</v>
      </c>
      <c r="O15" s="49">
        <f>SUMIFS(Collection!$J:$J, Collection!$A:$A, $A15, Collection!$B:$B, O$2)</f>
        <v>0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0</v>
      </c>
      <c r="W15" s="49">
        <f>SUMIFS(Collection!$J:$J, Collection!$A:$A, $A15, Collection!$B:$B, W$2)</f>
        <v>2266.666666666667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</row>
    <row r="16" spans="1:30">
      <c r="A16" s="34">
        <f t="shared" si="0"/>
        <v>42879</v>
      </c>
      <c r="B16" s="49">
        <f>SUMIFS(Collection!$J:$J, Collection!$A:$A, $A16, Collection!$B:$B, B$2)</f>
        <v>0</v>
      </c>
      <c r="C16" s="49">
        <f>SUMIFS(Collection!$J:$J, Collection!$A:$A, $A16, Collection!$B:$B, C$2)</f>
        <v>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4500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66666.666666666672</v>
      </c>
      <c r="K16" s="49">
        <f>SUMIFS(Collection!$J:$J, Collection!$A:$A, $A16, Collection!$B:$B, K$2)</f>
        <v>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186133.33333333331</v>
      </c>
      <c r="N16" s="49">
        <f>SUMIFS(Collection!$J:$J, Collection!$A:$A, $A16, Collection!$B:$B, N$2)</f>
        <v>48406.666666666664</v>
      </c>
      <c r="O16" s="49">
        <f>SUMIFS(Collection!$J:$J, Collection!$A:$A, $A16, Collection!$B:$B, O$2)</f>
        <v>37566.666666666664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205866.66666666666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0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</row>
    <row r="17" spans="1:25">
      <c r="A17" s="34">
        <f t="shared" si="0"/>
        <v>42880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307800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3400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0</v>
      </c>
      <c r="N17" s="49">
        <f>SUMIFS(Collection!$J:$J, Collection!$A:$A, $A17, Collection!$B:$B, N$2)</f>
        <v>0</v>
      </c>
      <c r="O17" s="49">
        <f>SUMIFS(Collection!$J:$J, Collection!$A:$A, $A17, Collection!$B:$B, O$2)</f>
        <v>31206.666666666668</v>
      </c>
      <c r="P17" s="49">
        <f>SUMIFS(Collection!$J:$J, Collection!$A:$A, $A17, Collection!$B:$B, P$2)</f>
        <v>248000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26320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10800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</row>
    <row r="18" spans="1:25">
      <c r="A18" s="34">
        <f t="shared" si="0"/>
        <v>42881</v>
      </c>
      <c r="B18" s="49">
        <f>SUMIFS(Collection!$J:$J, Collection!$A:$A, $A18, Collection!$B:$B, B$2)</f>
        <v>0</v>
      </c>
      <c r="C18" s="49">
        <f>SUMIFS(Collection!$J:$J, Collection!$A:$A, $A18, Collection!$B:$B, C$2)</f>
        <v>115733.33333333333</v>
      </c>
      <c r="D18" s="49">
        <f>SUMIFS(Collection!$J:$J, Collection!$A:$A, $A18, Collection!$B:$B, D$2)</f>
        <v>0</v>
      </c>
      <c r="E18" s="49">
        <f>SUMIFS(Collection!$J:$J, Collection!$A:$A, $A18, Collection!$B:$B, E$2)</f>
        <v>190400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10000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54400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4266.6666666666661</v>
      </c>
      <c r="O18" s="49">
        <f>SUMIFS(Collection!$J:$J, Collection!$A:$A, $A18, Collection!$B:$B, O$2)</f>
        <v>0</v>
      </c>
      <c r="P18" s="49">
        <f>SUMIFS(Collection!$J:$J, Collection!$A:$A, $A18, Collection!$B:$B, P$2)</f>
        <v>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2800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139800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</row>
    <row r="19" spans="1:25">
      <c r="A19" s="34">
        <f t="shared" si="0"/>
        <v>42882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156750</v>
      </c>
      <c r="D19" s="49">
        <f>SUMIFS(Collection!$J:$J, Collection!$A:$A, $A19, Collection!$B:$B, D$2)</f>
        <v>1400</v>
      </c>
      <c r="E19" s="49">
        <f>SUMIFS(Collection!$J:$J, Collection!$A:$A, $A19, Collection!$B:$B, E$2)</f>
        <v>8016.666666666667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245660</v>
      </c>
      <c r="J19" s="49">
        <f>SUMIFS(Collection!$J:$J, Collection!$A:$A, $A19, Collection!$B:$B, J$2)</f>
        <v>21600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268146.66666666669</v>
      </c>
      <c r="M19" s="49">
        <f>SUMIFS(Collection!$J:$J, Collection!$A:$A, $A19, Collection!$B:$B, M$2)</f>
        <v>2625</v>
      </c>
      <c r="N19" s="49">
        <f>SUMIFS(Collection!$J:$J, Collection!$A:$A, $A19, Collection!$B:$B, N$2)</f>
        <v>0</v>
      </c>
      <c r="O19" s="49">
        <f>SUMIFS(Collection!$J:$J, Collection!$A:$A, $A19, Collection!$B:$B, O$2)</f>
        <v>0</v>
      </c>
      <c r="P19" s="49">
        <f>SUMIFS(Collection!$J:$J, Collection!$A:$A, $A19, Collection!$B:$B, P$2)</f>
        <v>4916.666666666667</v>
      </c>
      <c r="Q19" s="49">
        <f>SUMIFS(Collection!$J:$J, Collection!$A:$A, $A19, Collection!$B:$B, Q$2)</f>
        <v>0</v>
      </c>
      <c r="R19" s="49">
        <f>SUMIFS(Collection!$J:$J, Collection!$A:$A, $A19, Collection!$B:$B, R$2)</f>
        <v>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7050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3575</v>
      </c>
      <c r="W19" s="49">
        <f>SUMIFS(Collection!$J:$J, Collection!$A:$A, $A19, Collection!$B:$B, W$2)</f>
        <v>2333.333333333333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</row>
    <row r="20" spans="1:25">
      <c r="A20" s="34">
        <f t="shared" si="0"/>
        <v>42883</v>
      </c>
      <c r="B20" s="49">
        <f>SUMIFS(Collection!$J:$J, Collection!$A:$A, $A20, Collection!$B:$B, B$2)</f>
        <v>0</v>
      </c>
      <c r="C20" s="49">
        <f>SUMIFS(Collection!$J:$J, Collection!$A:$A, $A20, Collection!$B:$B, C$2)</f>
        <v>0</v>
      </c>
      <c r="D20" s="49">
        <f>SUMIFS(Collection!$J:$J, Collection!$A:$A, $A20, Collection!$B:$B, D$2)</f>
        <v>0</v>
      </c>
      <c r="E20" s="49">
        <f>SUMIFS(Collection!$J:$J, Collection!$A:$A, $A20, Collection!$B:$B, E$2)</f>
        <v>0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0</v>
      </c>
      <c r="J20" s="49">
        <f>SUMIFS(Collection!$J:$J, Collection!$A:$A, $A20, Collection!$B:$B, J$2)</f>
        <v>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0</v>
      </c>
      <c r="M20" s="49">
        <f>SUMIFS(Collection!$J:$J, Collection!$A:$A, $A20, Collection!$B:$B, M$2)</f>
        <v>0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0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0</v>
      </c>
      <c r="W20" s="49">
        <f>SUMIFS(Collection!$J:$J, Collection!$A:$A, $A20, Collection!$B:$B, W$2)</f>
        <v>0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</row>
    <row r="21" spans="1:25">
      <c r="A21" s="34">
        <f t="shared" si="0"/>
        <v>42884</v>
      </c>
      <c r="B21" s="49">
        <f>SUMIFS(Collection!$J:$J, Collection!$A:$A, $A21, Collection!$B:$B, B$2)</f>
        <v>0</v>
      </c>
      <c r="C21" s="49">
        <f>SUMIFS(Collection!$J:$J, Collection!$A:$A, $A21, Collection!$B:$B, C$2)</f>
        <v>4500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7900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3200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111099.99999999999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</row>
    <row r="22" spans="1:25">
      <c r="A22" s="34">
        <f t="shared" si="0"/>
        <v>42885</v>
      </c>
      <c r="B22" s="49">
        <f>SUMIFS(Collection!$J:$J, Collection!$A:$A, $A22, Collection!$B:$B, B$2)</f>
        <v>0</v>
      </c>
      <c r="C22" s="49">
        <f>SUMIFS(Collection!$J:$J, Collection!$A:$A, $A22, Collection!$B:$B, C$2)</f>
        <v>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0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</row>
    <row r="23" spans="1:25">
      <c r="A23" s="34">
        <f t="shared" si="0"/>
        <v>42886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378000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164266.66666666669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436800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1333.3333333333335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</row>
    <row r="24" spans="1:25">
      <c r="A24" s="34">
        <f t="shared" si="0"/>
        <v>42887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406800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750</v>
      </c>
      <c r="L24" s="49">
        <f>SUMIFS(Collection!$J:$J, Collection!$A:$A, $A24, Collection!$B:$B, L$2)</f>
        <v>0</v>
      </c>
      <c r="M24" s="49">
        <f>SUMIFS(Collection!$J:$J, Collection!$A:$A, $A24, Collection!$B:$B, M$2)</f>
        <v>1466.6666666666665</v>
      </c>
      <c r="N24" s="49">
        <f>SUMIFS(Collection!$J:$J, Collection!$A:$A, $A24, Collection!$B:$B, N$2)</f>
        <v>0</v>
      </c>
      <c r="O24" s="49">
        <f>SUMIFS(Collection!$J:$J, Collection!$A:$A, $A24, Collection!$B:$B, O$2)</f>
        <v>40533.333333333328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99733.333333333343</v>
      </c>
      <c r="V24" s="49">
        <f>SUMIFS(Collection!$J:$J, Collection!$A:$A, $A24, Collection!$B:$B, V$2)</f>
        <v>0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</row>
    <row r="25" spans="1:25">
      <c r="A25" s="34">
        <f t="shared" si="0"/>
        <v>42888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0</v>
      </c>
      <c r="N25" s="49">
        <f>SUMIFS(Collection!$J:$J, Collection!$A:$A, $A25, Collection!$B:$B, N$2)</f>
        <v>0</v>
      </c>
      <c r="O25" s="49">
        <f>SUMIFS(Collection!$J:$J, Collection!$A:$A, $A25, Collection!$B:$B, O$2)</f>
        <v>0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0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</row>
    <row r="26" spans="1:25">
      <c r="A26" s="34">
        <f t="shared" si="0"/>
        <v>42889</v>
      </c>
      <c r="B26" s="49">
        <f>SUMIFS(Collection!$J:$J, Collection!$A:$A, $A26, Collection!$B:$B, B$2)</f>
        <v>326906.66666666669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177173.33333333334</v>
      </c>
      <c r="G26" s="49">
        <f>SUMIFS(Collection!$J:$J, Collection!$A:$A, $A26, Collection!$B:$B, G$2)</f>
        <v>150166.66666666666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74666.666666666657</v>
      </c>
      <c r="N26" s="49">
        <f>SUMIFS(Collection!$J:$J, Collection!$A:$A, $A26, Collection!$B:$B, N$2)</f>
        <v>0</v>
      </c>
      <c r="O26" s="49">
        <f>SUMIFS(Collection!$J:$J, Collection!$A:$A, $A26, Collection!$B:$B, O$2)</f>
        <v>63413.333333333328</v>
      </c>
      <c r="P26" s="49">
        <f>SUMIFS(Collection!$J:$J, Collection!$A:$A, $A26, Collection!$B:$B, P$2)</f>
        <v>214480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132840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</row>
    <row r="27" spans="1:25">
      <c r="A27" s="34">
        <f t="shared" si="0"/>
        <v>42890</v>
      </c>
      <c r="B27" s="49">
        <f>SUMIFS(Collection!$J:$J, Collection!$A:$A, $A27, Collection!$B:$B, B$2)</f>
        <v>182050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0</v>
      </c>
      <c r="G27" s="49">
        <f>SUMIFS(Collection!$J:$J, Collection!$A:$A, $A27, Collection!$B:$B, G$2)</f>
        <v>0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190850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1200</v>
      </c>
      <c r="N27" s="49">
        <f>SUMIFS(Collection!$J:$J, Collection!$A:$A, $A27, Collection!$B:$B, N$2)</f>
        <v>0</v>
      </c>
      <c r="O27" s="49">
        <f>SUMIFS(Collection!$J:$J, Collection!$A:$A, $A27, Collection!$B:$B, O$2)</f>
        <v>0</v>
      </c>
      <c r="P27" s="49">
        <f>SUMIFS(Collection!$J:$J, Collection!$A:$A, $A27, Collection!$B:$B, P$2)</f>
        <v>2933.333333333333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</row>
    <row r="28" spans="1:25">
      <c r="A28" s="34">
        <f t="shared" si="0"/>
        <v>42891</v>
      </c>
      <c r="B28" s="49">
        <f>SUMIFS(Collection!$J:$J, Collection!$A:$A, $A28, Collection!$B:$B, B$2)</f>
        <v>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81600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484266.66666666669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17306.666666666668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0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88200</v>
      </c>
      <c r="Y28" s="49">
        <f>SUMIFS(Collection!$J:$J, Collection!$A:$A, $A28, Collection!$B:$B, Y$2)</f>
        <v>0</v>
      </c>
    </row>
    <row r="29" spans="1:25">
      <c r="A29" s="34">
        <f t="shared" si="0"/>
        <v>42892</v>
      </c>
      <c r="B29" s="49">
        <f>SUMIFS(Collection!$J:$J, Collection!$A:$A, $A29, Collection!$B:$B, B$2)</f>
        <v>6300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1586.6666666666667</v>
      </c>
      <c r="F29" s="49">
        <f>SUMIFS(Collection!$J:$J, Collection!$A:$A, $A29, Collection!$B:$B, F$2)</f>
        <v>0</v>
      </c>
      <c r="G29" s="49">
        <f>SUMIFS(Collection!$J:$J, Collection!$A:$A, $A29, Collection!$B:$B, G$2)</f>
        <v>9866.6666666666679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0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47025</v>
      </c>
      <c r="Y29" s="49">
        <f>SUMIFS(Collection!$J:$J, Collection!$A:$A, $A29, Collection!$B:$B, Y$2)</f>
        <v>0</v>
      </c>
    </row>
    <row r="30" spans="1:25">
      <c r="A30" s="34">
        <f t="shared" si="0"/>
        <v>42893</v>
      </c>
      <c r="B30" s="49">
        <f>SUMIFS(Collection!$J:$J, Collection!$A:$A, $A30, Collection!$B:$B, B$2)</f>
        <v>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0</v>
      </c>
      <c r="F30" s="49">
        <f>SUMIFS(Collection!$J:$J, Collection!$A:$A, $A30, Collection!$B:$B, F$2)</f>
        <v>0</v>
      </c>
      <c r="G30" s="49">
        <f>SUMIFS(Collection!$J:$J, Collection!$A:$A, $A30, Collection!$B:$B, G$2)</f>
        <v>0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49600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224533.33333333334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282133.33333333337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0</v>
      </c>
      <c r="Y30" s="49">
        <f>SUMIFS(Collection!$J:$J, Collection!$A:$A, $A30, Collection!$B:$B, Y$2)</f>
        <v>0</v>
      </c>
    </row>
    <row r="31" spans="1:25">
      <c r="A31" s="34">
        <f t="shared" si="0"/>
        <v>42894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9066.6666666666679</v>
      </c>
      <c r="O31" s="49">
        <f>SUMIFS(Collection!$J:$J, Collection!$A:$A, $A31, Collection!$B:$B, O$2)</f>
        <v>25166.666666666668</v>
      </c>
      <c r="P31" s="49">
        <f>SUMIFS(Collection!$J:$J, Collection!$A:$A, $A31, Collection!$B:$B, P$2)</f>
        <v>0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4391.666666666667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</row>
    <row r="32" spans="1:25">
      <c r="A32" s="34">
        <f t="shared" si="0"/>
        <v>42895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0</v>
      </c>
      <c r="O32" s="49">
        <f>SUMIFS(Collection!$J:$J, Collection!$A:$A, $A32, Collection!$B:$B, O$2)</f>
        <v>0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0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</row>
    <row r="33" spans="1:25">
      <c r="A33" s="34">
        <f t="shared" si="0"/>
        <v>42896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149050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2800</v>
      </c>
      <c r="O33" s="49">
        <f>SUMIFS(Collection!$J:$J, Collection!$A:$A, $A33, Collection!$B:$B, O$2)</f>
        <v>1280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72053.333333333328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246933.33333333334</v>
      </c>
      <c r="Y33" s="49">
        <f>SUMIFS(Collection!$J:$J, Collection!$A:$A, $A33, Collection!$B:$B, Y$2)</f>
        <v>0</v>
      </c>
    </row>
    <row r="34" spans="1:25">
      <c r="A34" s="34">
        <f t="shared" si="0"/>
        <v>42897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0</v>
      </c>
      <c r="O34" s="49">
        <f>SUMIFS(Collection!$J:$J, Collection!$A:$A, $A34, Collection!$B:$B, O$2)</f>
        <v>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0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0</v>
      </c>
      <c r="Y34" s="49">
        <f>SUMIFS(Collection!$J:$J, Collection!$A:$A, $A34, Collection!$B:$B, Y$2)</f>
        <v>0</v>
      </c>
    </row>
    <row r="35" spans="1:25">
      <c r="A35" s="34">
        <f t="shared" si="0"/>
        <v>42898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1400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176000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4200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9400</v>
      </c>
      <c r="Y35" s="49">
        <f>SUMIFS(Collection!$J:$J, Collection!$A:$A, $A35, Collection!$B:$B, Y$2)</f>
        <v>105066.66666666667</v>
      </c>
    </row>
    <row r="36" spans="1:25">
      <c r="A36" s="34">
        <f t="shared" si="0"/>
        <v>42899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0</v>
      </c>
      <c r="Y36" s="49">
        <f>SUMIFS(Collection!$J:$J, Collection!$A:$A, $A36, Collection!$B:$B, Y$2)</f>
        <v>0</v>
      </c>
    </row>
    <row r="37" spans="1:25">
      <c r="A37" s="34">
        <f t="shared" si="0"/>
        <v>42900</v>
      </c>
      <c r="B37" s="49">
        <f>SUMIFS(Collection!$J:$J, Collection!$A:$A, $A37, Collection!$B:$B, B$2)</f>
        <v>0</v>
      </c>
      <c r="C37" s="49">
        <f>SUMIFS(Collection!$J:$J, Collection!$A:$A, $A37, Collection!$B:$B, C$2)</f>
        <v>377373.33333333337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68250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808800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115733.33333333333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</row>
    <row r="38" spans="1:25">
      <c r="A38" s="34">
        <f t="shared" si="0"/>
        <v>42901</v>
      </c>
      <c r="B38" s="49">
        <f>SUMIFS(Collection!$J:$J, Collection!$A:$A, $A38, Collection!$B:$B, B$2)</f>
        <v>0</v>
      </c>
      <c r="C38" s="49">
        <f>SUMIFS(Collection!$J:$J, Collection!$A:$A, $A38, Collection!$B:$B, C$2)</f>
        <v>128000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77866.666666666657</v>
      </c>
      <c r="G38" s="49">
        <f>SUMIFS(Collection!$J:$J, Collection!$A:$A, $A38, Collection!$B:$B, G$2)</f>
        <v>235200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121066.66666666667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18166.666666666668</v>
      </c>
      <c r="P38" s="49">
        <f>SUMIFS(Collection!$J:$J, Collection!$A:$A, $A38, Collection!$B:$B, P$2)</f>
        <v>0</v>
      </c>
      <c r="Q38" s="49">
        <f>SUMIFS(Collection!$J:$J, Collection!$A:$A, $A38, Collection!$B:$B, Q$2)</f>
        <v>58133.333333333336</v>
      </c>
      <c r="R38" s="49">
        <f>SUMIFS(Collection!$J:$J, Collection!$A:$A, $A38, Collection!$B:$B, R$2)</f>
        <v>0</v>
      </c>
      <c r="S38" s="49">
        <f>SUMIFS(Collection!$J:$J, Collection!$A:$A, $A38, Collection!$B:$B, S$2)</f>
        <v>483.33333333333337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</row>
    <row r="39" spans="1:25">
      <c r="A39" s="34">
        <f t="shared" si="0"/>
        <v>42902</v>
      </c>
      <c r="B39" s="49">
        <f>SUMIFS(Collection!$J:$J, Collection!$A:$A, $A39, Collection!$B:$B, B$2)</f>
        <v>0</v>
      </c>
      <c r="C39" s="49">
        <f>SUMIFS(Collection!$J:$J, Collection!$A:$A, $A39, Collection!$B:$B, C$2)</f>
        <v>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0</v>
      </c>
      <c r="G39" s="49">
        <f>SUMIFS(Collection!$J:$J, Collection!$A:$A, $A39, Collection!$B:$B, G$2)</f>
        <v>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0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0</v>
      </c>
      <c r="P39" s="49">
        <f>SUMIFS(Collection!$J:$J, Collection!$A:$A, $A39, Collection!$B:$B, P$2)</f>
        <v>0</v>
      </c>
      <c r="Q39" s="49">
        <f>SUMIFS(Collection!$J:$J, Collection!$A:$A, $A39, Collection!$B:$B, Q$2)</f>
        <v>0</v>
      </c>
      <c r="R39" s="49">
        <f>SUMIFS(Collection!$J:$J, Collection!$A:$A, $A39, Collection!$B:$B, R$2)</f>
        <v>0</v>
      </c>
      <c r="S39" s="49">
        <f>SUMIFS(Collection!$J:$J, Collection!$A:$A, $A39, Collection!$B:$B, S$2)</f>
        <v>0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</row>
    <row r="40" spans="1:25">
      <c r="A40" s="34">
        <f t="shared" si="0"/>
        <v>42903</v>
      </c>
      <c r="B40" s="49">
        <f>SUMIFS(Collection!$J:$J, Collection!$A:$A, $A40, Collection!$B:$B, B$2)</f>
        <v>0</v>
      </c>
      <c r="C40" s="49">
        <f>SUMIFS(Collection!$J:$J, Collection!$A:$A, $A40, Collection!$B:$B, C$2)</f>
        <v>1866.6666666666665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1166.6666666666667</v>
      </c>
      <c r="G40" s="49">
        <f>SUMIFS(Collection!$J:$J, Collection!$A:$A, $A40, Collection!$B:$B, G$2)</f>
        <v>104533.33333333333</v>
      </c>
      <c r="H40" s="49">
        <f>SUMIFS(Collection!$J:$J, Collection!$A:$A, $A40, Collection!$B:$B, H$2)</f>
        <v>0</v>
      </c>
      <c r="I40" s="49">
        <f>SUMIFS(Collection!$J:$J, Collection!$A:$A, $A40, Collection!$B:$B, I$2)</f>
        <v>1833.3333333333333</v>
      </c>
      <c r="J40" s="49">
        <f>SUMIFS(Collection!$J:$J, Collection!$A:$A, $A40, Collection!$B:$B, J$2)</f>
        <v>0</v>
      </c>
      <c r="K40" s="49">
        <f>SUMIFS(Collection!$J:$J, Collection!$A:$A, $A40, Collection!$B:$B, K$2)</f>
        <v>154666.66666666669</v>
      </c>
      <c r="L40" s="49">
        <f>SUMIFS(Collection!$J:$J, Collection!$A:$A, $A40, Collection!$B:$B, L$2)</f>
        <v>47466.666666666672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12800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666.66666666666663</v>
      </c>
      <c r="R40" s="49">
        <f>SUMIFS(Collection!$J:$J, Collection!$A:$A, $A40, Collection!$B:$B, R$2)</f>
        <v>0</v>
      </c>
      <c r="S40" s="49">
        <f>SUMIFS(Collection!$J:$J, Collection!$A:$A, $A40, Collection!$B:$B, S$2)</f>
        <v>356266.66666666663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</row>
    <row r="41" spans="1:25">
      <c r="A41" s="34">
        <f t="shared" si="0"/>
        <v>42904</v>
      </c>
      <c r="B41" s="49">
        <f>SUMIFS(Collection!$J:$J, Collection!$A:$A, $A41, Collection!$B:$B, B$2)</f>
        <v>0</v>
      </c>
      <c r="C41" s="49">
        <f>SUMIFS(Collection!$J:$J, Collection!$A:$A, $A41, Collection!$B:$B, C$2)</f>
        <v>0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0</v>
      </c>
      <c r="G41" s="49">
        <f>SUMIFS(Collection!$J:$J, Collection!$A:$A, $A41, Collection!$B:$B, G$2)</f>
        <v>0</v>
      </c>
      <c r="H41" s="49">
        <f>SUMIFS(Collection!$J:$J, Collection!$A:$A, $A41, Collection!$B:$B, H$2)</f>
        <v>0</v>
      </c>
      <c r="I41" s="49">
        <f>SUMIFS(Collection!$J:$J, Collection!$A:$A, $A41, Collection!$B:$B, I$2)</f>
        <v>0</v>
      </c>
      <c r="J41" s="49">
        <f>SUMIFS(Collection!$J:$J, Collection!$A:$A, $A41, Collection!$B:$B, J$2)</f>
        <v>0</v>
      </c>
      <c r="K41" s="49">
        <f>SUMIFS(Collection!$J:$J, Collection!$A:$A, $A41, Collection!$B:$B, K$2)</f>
        <v>0</v>
      </c>
      <c r="L41" s="49">
        <f>SUMIFS(Collection!$J:$J, Collection!$A:$A, $A41, Collection!$B:$B, L$2)</f>
        <v>0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0</v>
      </c>
      <c r="R41" s="49">
        <f>SUMIFS(Collection!$J:$J, Collection!$A:$A, $A41, Collection!$B:$B, R$2)</f>
        <v>0</v>
      </c>
      <c r="S41" s="49">
        <f>SUMIFS(Collection!$J:$J, Collection!$A:$A, $A41, Collection!$B:$B, S$2)</f>
        <v>0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</row>
    <row r="42" spans="1:25">
      <c r="A42" s="34">
        <f t="shared" si="0"/>
        <v>42905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163200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29920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13000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125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67666.666666666672</v>
      </c>
      <c r="S42" s="49">
        <f>SUMIFS(Collection!$J:$J, Collection!$A:$A, $A42, Collection!$B:$B, S$2)</f>
        <v>165000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51150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142000</v>
      </c>
      <c r="Y42" s="49">
        <f>SUMIFS(Collection!$J:$J, Collection!$A:$A, $A42, Collection!$B:$B, Y$2)</f>
        <v>0</v>
      </c>
    </row>
    <row r="43" spans="1:25">
      <c r="A43" s="34">
        <f t="shared" si="0"/>
        <v>42906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0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0</v>
      </c>
      <c r="S43" s="49">
        <f>SUMIFS(Collection!$J:$J, Collection!$A:$A, $A43, Collection!$B:$B, S$2)</f>
        <v>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65666.666666666672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0</v>
      </c>
      <c r="Y43" s="49">
        <f>SUMIFS(Collection!$J:$J, Collection!$A:$A, $A43, Collection!$B:$B, Y$2)</f>
        <v>0</v>
      </c>
    </row>
    <row r="44" spans="1:25">
      <c r="A44" s="34">
        <f t="shared" si="0"/>
        <v>42907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0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</row>
    <row r="45" spans="1:25">
      <c r="A45" s="34">
        <f t="shared" si="0"/>
        <v>42908</v>
      </c>
      <c r="B45" s="49">
        <f>SUMIFS(Collection!$J:$J, Collection!$A:$A, $A45, Collection!$B:$B, B$2)</f>
        <v>0</v>
      </c>
      <c r="C45" s="49">
        <f>SUMIFS(Collection!$J:$J, Collection!$A:$A, $A45, Collection!$B:$B, C$2)</f>
        <v>866.66666666666663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1564.4444444444443</v>
      </c>
      <c r="S45" s="49">
        <f>SUMIFS(Collection!$J:$J, Collection!$A:$A, $A45, Collection!$B:$B, S$2)</f>
        <v>995.55555555555554</v>
      </c>
      <c r="T45" s="49">
        <f>SUMIFS(Collection!$J:$J, Collection!$A:$A, $A45, Collection!$B:$B, T$2)</f>
        <v>0</v>
      </c>
      <c r="U45" s="49">
        <f>SUMIFS(Collection!$J:$J, Collection!$A:$A, $A45, Collection!$B:$B, U$2)</f>
        <v>193.33333333333331</v>
      </c>
      <c r="V45" s="49">
        <f>SUMIFS(Collection!$J:$J, Collection!$A:$A, $A45, Collection!$B:$B, V$2)</f>
        <v>33.333333333333329</v>
      </c>
      <c r="W45" s="49">
        <f>SUMIFS(Collection!$J:$J, Collection!$A:$A, $A45, Collection!$B:$B, W$2)</f>
        <v>0</v>
      </c>
      <c r="X45" s="49">
        <f>SUMIFS(Collection!$J:$J, Collection!$A:$A, $A45, Collection!$B:$B, X$2)</f>
        <v>888.8888888888888</v>
      </c>
      <c r="Y45" s="49">
        <f>SUMIFS(Collection!$J:$J, Collection!$A:$A, $A45, Collection!$B:$B, Y$2)</f>
        <v>0</v>
      </c>
    </row>
    <row r="46" spans="1:25">
      <c r="A46" s="34">
        <f t="shared" si="0"/>
        <v>42909</v>
      </c>
      <c r="B46" s="49">
        <f>SUMIFS(Collection!$J:$J, Collection!$A:$A, $A46, Collection!$B:$B, B$2)</f>
        <v>0</v>
      </c>
      <c r="C46" s="49">
        <f>SUMIFS(Collection!$J:$J, Collection!$A:$A, $A46, Collection!$B:$B, C$2)</f>
        <v>0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0</v>
      </c>
      <c r="S46" s="49">
        <f>SUMIFS(Collection!$J:$J, Collection!$A:$A, $A46, Collection!$B:$B, S$2)</f>
        <v>0</v>
      </c>
      <c r="T46" s="49">
        <f>SUMIFS(Collection!$J:$J, Collection!$A:$A, $A46, Collection!$B:$B, T$2)</f>
        <v>0</v>
      </c>
      <c r="U46" s="49">
        <f>SUMIFS(Collection!$J:$J, Collection!$A:$A, $A46, Collection!$B:$B, U$2)</f>
        <v>0</v>
      </c>
      <c r="V46" s="49">
        <f>SUMIFS(Collection!$J:$J, Collection!$A:$A, $A46, Collection!$B:$B, V$2)</f>
        <v>0</v>
      </c>
      <c r="W46" s="49">
        <f>SUMIFS(Collection!$J:$J, Collection!$A:$A, $A46, Collection!$B:$B, W$2)</f>
        <v>0</v>
      </c>
      <c r="X46" s="49">
        <f>SUMIFS(Collection!$J:$J, Collection!$A:$A, $A46, Collection!$B:$B, X$2)</f>
        <v>0</v>
      </c>
      <c r="Y46" s="49">
        <f>SUMIFS(Collection!$J:$J, Collection!$A:$A, $A46, Collection!$B:$B, Y$2)</f>
        <v>0</v>
      </c>
    </row>
    <row r="47" spans="1:25">
      <c r="A47" s="34">
        <f t="shared" si="0"/>
        <v>42910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95466.666666666657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10000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</row>
    <row r="48" spans="1:25">
      <c r="A48" s="34">
        <f t="shared" si="0"/>
        <v>42911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0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</row>
    <row r="49" spans="1:25">
      <c r="A49" s="34">
        <f t="shared" si="0"/>
        <v>42912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</row>
    <row r="50" spans="1:25">
      <c r="A50" s="34">
        <f t="shared" si="0"/>
        <v>42913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</row>
    <row r="51" spans="1:25">
      <c r="A51" s="34">
        <f t="shared" si="0"/>
        <v>42914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</row>
    <row r="52" spans="1:25">
      <c r="A52" s="34">
        <f t="shared" si="0"/>
        <v>42915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196800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</row>
    <row r="53" spans="1:25">
      <c r="A53" s="34">
        <f t="shared" si="0"/>
        <v>42916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</row>
    <row r="54" spans="1:25">
      <c r="A54" s="34">
        <f t="shared" si="0"/>
        <v>42917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1650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</row>
    <row r="55" spans="1:25">
      <c r="A55" s="34">
        <f t="shared" si="0"/>
        <v>42918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</row>
    <row r="56" spans="1:25">
      <c r="A56" s="34">
        <f t="shared" si="0"/>
        <v>42919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41958.333333333328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</row>
    <row r="57" spans="1:25">
      <c r="A57" s="34">
        <f t="shared" si="0"/>
        <v>42920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0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</row>
    <row r="58" spans="1:25">
      <c r="A58" s="34">
        <f t="shared" si="0"/>
        <v>42921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416.66666666666669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</row>
    <row r="59" spans="1:25">
      <c r="A59" s="34">
        <f t="shared" si="0"/>
        <v>42922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266666.66666666663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66.666666666666657</v>
      </c>
    </row>
    <row r="60" spans="1:25">
      <c r="A60" s="34">
        <f t="shared" si="0"/>
        <v>42923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0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0</v>
      </c>
    </row>
    <row r="61" spans="1:25">
      <c r="A61" s="34">
        <f t="shared" si="0"/>
        <v>42924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</row>
    <row r="62" spans="1:25">
      <c r="A62" s="34">
        <f t="shared" si="0"/>
        <v>42925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</row>
    <row r="63" spans="1:25">
      <c r="A63" s="34">
        <f t="shared" si="0"/>
        <v>42926</v>
      </c>
      <c r="B63" s="49">
        <f>SUMIFS(Collection!$J:$J, Collection!$A:$A, $A63, Collection!$B:$B, B$2)</f>
        <v>200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302933.33333333337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208.33333333333334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</row>
    <row r="64" spans="1:25">
      <c r="A64" s="34">
        <f t="shared" si="0"/>
        <v>42927</v>
      </c>
      <c r="B64" s="49">
        <f>SUMIFS(Collection!$J:$J, Collection!$A:$A, $A64, Collection!$B:$B, B$2)</f>
        <v>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0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0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</row>
    <row r="65" spans="1:25">
      <c r="A65" s="34">
        <f t="shared" si="0"/>
        <v>42928</v>
      </c>
      <c r="B65" s="49">
        <f>SUMIFS(Collection!$J:$J, Collection!$A:$A, $A65, Collection!$B:$B, B$2)</f>
        <v>0</v>
      </c>
      <c r="C65" s="49">
        <f>SUMIFS(Collection!$J:$J, Collection!$A:$A, $A65, Collection!$B:$B, C$2)</f>
        <v>0</v>
      </c>
      <c r="D65" s="49">
        <f>SUMIFS(Collection!$J:$J, Collection!$A:$A, $A65, Collection!$B:$B, D$2)</f>
        <v>0</v>
      </c>
      <c r="E65" s="49">
        <f>SUMIFS(Collection!$J:$J, Collection!$A:$A, $A65, Collection!$B:$B, E$2)</f>
        <v>0</v>
      </c>
      <c r="F65" s="49">
        <f>SUMIFS(Collection!$J:$J, Collection!$A:$A, $A65, Collection!$B:$B, F$2)</f>
        <v>0</v>
      </c>
      <c r="G65" s="49">
        <f>SUMIFS(Collection!$J:$J, Collection!$A:$A, $A65, Collection!$B:$B, G$2)</f>
        <v>0</v>
      </c>
      <c r="H65" s="49">
        <f>SUMIFS(Collection!$J:$J, Collection!$A:$A, $A65, Collection!$B:$B, H$2)</f>
        <v>0</v>
      </c>
      <c r="I65" s="49">
        <f>SUMIFS(Collection!$J:$J, Collection!$A:$A, $A65, Collection!$B:$B, I$2)</f>
        <v>0</v>
      </c>
      <c r="J65" s="49">
        <f>SUMIFS(Collection!$J:$J, Collection!$A:$A, $A65, Collection!$B:$B, J$2)</f>
        <v>0</v>
      </c>
      <c r="K65" s="49">
        <f>SUMIFS(Collection!$J:$J, Collection!$A:$A, $A65, Collection!$B:$B, K$2)</f>
        <v>0</v>
      </c>
      <c r="L65" s="49">
        <f>SUMIFS(Collection!$J:$J, Collection!$A:$A, $A65, Collection!$B:$B, L$2)</f>
        <v>0</v>
      </c>
      <c r="M65" s="49">
        <f>SUMIFS(Collection!$J:$J, Collection!$A:$A, $A65, Collection!$B:$B, M$2)</f>
        <v>0</v>
      </c>
      <c r="N65" s="49">
        <f>SUMIFS(Collection!$J:$J, Collection!$A:$A, $A65, Collection!$B:$B, N$2)</f>
        <v>0</v>
      </c>
      <c r="O65" s="49">
        <f>SUMIFS(Collection!$J:$J, Collection!$A:$A, $A65, Collection!$B:$B, O$2)</f>
        <v>0</v>
      </c>
      <c r="P65" s="49">
        <f>SUMIFS(Collection!$J:$J, Collection!$A:$A, $A65, Collection!$B:$B, P$2)</f>
        <v>0</v>
      </c>
      <c r="Q65" s="49">
        <f>SUMIFS(Collection!$J:$J, Collection!$A:$A, $A65, Collection!$B:$B, Q$2)</f>
        <v>0</v>
      </c>
      <c r="R65" s="49">
        <f>SUMIFS(Collection!$J:$J, Collection!$A:$A, $A65, Collection!$B:$B, R$2)</f>
        <v>0</v>
      </c>
      <c r="S65" s="49">
        <f>SUMIFS(Collection!$J:$J, Collection!$A:$A, $A65, Collection!$B:$B, S$2)</f>
        <v>0</v>
      </c>
      <c r="T65" s="49">
        <f>SUMIFS(Collection!$J:$J, Collection!$A:$A, $A65, Collection!$B:$B, T$2)</f>
        <v>0</v>
      </c>
      <c r="U65" s="49">
        <f>SUMIFS(Collection!$J:$J, Collection!$A:$A, $A65, Collection!$B:$B, U$2)</f>
        <v>0</v>
      </c>
      <c r="V65" s="49">
        <f>SUMIFS(Collection!$J:$J, Collection!$A:$A, $A65, Collection!$B:$B, V$2)</f>
        <v>0</v>
      </c>
      <c r="W65" s="49">
        <f>SUMIFS(Collection!$J:$J, Collection!$A:$A, $A65, Collection!$B:$B, W$2)</f>
        <v>0</v>
      </c>
      <c r="X65" s="49">
        <f>SUMIFS(Collection!$J:$J, Collection!$A:$A, $A65, Collection!$B:$B, X$2)</f>
        <v>0</v>
      </c>
      <c r="Y65" s="49">
        <f>SUMIFS(Collection!$J:$J, Collection!$A:$A, $A65, Collection!$B:$B, Y$2)</f>
        <v>0</v>
      </c>
    </row>
    <row r="66" spans="1:25">
      <c r="A66" s="34">
        <f t="shared" si="0"/>
        <v>42929</v>
      </c>
      <c r="B66" s="49">
        <f>SUMIFS(Collection!$J:$J, Collection!$A:$A, $A66, Collection!$B:$B, B$2)</f>
        <v>0</v>
      </c>
      <c r="C66" s="49">
        <f>SUMIFS(Collection!$J:$J, Collection!$A:$A, $A66, Collection!$B:$B, C$2)</f>
        <v>0</v>
      </c>
      <c r="D66" s="49">
        <f>SUMIFS(Collection!$J:$J, Collection!$A:$A, $A66, Collection!$B:$B, D$2)</f>
        <v>0</v>
      </c>
      <c r="E66" s="49">
        <f>SUMIFS(Collection!$J:$J, Collection!$A:$A, $A66, Collection!$B:$B, E$2)</f>
        <v>0</v>
      </c>
      <c r="F66" s="49">
        <f>SUMIFS(Collection!$J:$J, Collection!$A:$A, $A66, Collection!$B:$B, F$2)</f>
        <v>0</v>
      </c>
      <c r="G66" s="49">
        <f>SUMIFS(Collection!$J:$J, Collection!$A:$A, $A66, Collection!$B:$B, G$2)</f>
        <v>0</v>
      </c>
      <c r="H66" s="49">
        <f>SUMIFS(Collection!$J:$J, Collection!$A:$A, $A66, Collection!$B:$B, H$2)</f>
        <v>0</v>
      </c>
      <c r="I66" s="49">
        <f>SUMIFS(Collection!$J:$J, Collection!$A:$A, $A66, Collection!$B:$B, I$2)</f>
        <v>0</v>
      </c>
      <c r="J66" s="49">
        <f>SUMIFS(Collection!$J:$J, Collection!$A:$A, $A66, Collection!$B:$B, J$2)</f>
        <v>0</v>
      </c>
      <c r="K66" s="49">
        <f>SUMIFS(Collection!$J:$J, Collection!$A:$A, $A66, Collection!$B:$B, K$2)</f>
        <v>0</v>
      </c>
      <c r="L66" s="49">
        <f>SUMIFS(Collection!$J:$J, Collection!$A:$A, $A66, Collection!$B:$B, L$2)</f>
        <v>0</v>
      </c>
      <c r="M66" s="49">
        <f>SUMIFS(Collection!$J:$J, Collection!$A:$A, $A66, Collection!$B:$B, M$2)</f>
        <v>0</v>
      </c>
      <c r="N66" s="49">
        <f>SUMIFS(Collection!$J:$J, Collection!$A:$A, $A66, Collection!$B:$B, N$2)</f>
        <v>0</v>
      </c>
      <c r="O66" s="49">
        <f>SUMIFS(Collection!$J:$J, Collection!$A:$A, $A66, Collection!$B:$B, O$2)</f>
        <v>0</v>
      </c>
      <c r="P66" s="49">
        <f>SUMIFS(Collection!$J:$J, Collection!$A:$A, $A66, Collection!$B:$B, P$2)</f>
        <v>0</v>
      </c>
      <c r="Q66" s="49">
        <f>SUMIFS(Collection!$J:$J, Collection!$A:$A, $A66, Collection!$B:$B, Q$2)</f>
        <v>0</v>
      </c>
      <c r="R66" s="49">
        <f>SUMIFS(Collection!$J:$J, Collection!$A:$A, $A66, Collection!$B:$B, R$2)</f>
        <v>0</v>
      </c>
      <c r="S66" s="49">
        <f>SUMIFS(Collection!$J:$J, Collection!$A:$A, $A66, Collection!$B:$B, S$2)</f>
        <v>0</v>
      </c>
      <c r="T66" s="49">
        <f>SUMIFS(Collection!$J:$J, Collection!$A:$A, $A66, Collection!$B:$B, T$2)</f>
        <v>0</v>
      </c>
      <c r="U66" s="49">
        <f>SUMIFS(Collection!$J:$J, Collection!$A:$A, $A66, Collection!$B:$B, U$2)</f>
        <v>0</v>
      </c>
      <c r="V66" s="49">
        <f>SUMIFS(Collection!$J:$J, Collection!$A:$A, $A66, Collection!$B:$B, V$2)</f>
        <v>0</v>
      </c>
      <c r="W66" s="49">
        <f>SUMIFS(Collection!$J:$J, Collection!$A:$A, $A66, Collection!$B:$B, W$2)</f>
        <v>0</v>
      </c>
      <c r="X66" s="49">
        <f>SUMIFS(Collection!$J:$J, Collection!$A:$A, $A66, Collection!$B:$B, X$2)</f>
        <v>0</v>
      </c>
      <c r="Y66" s="49">
        <f>SUMIFS(Collection!$J:$J, Collection!$A:$A, $A66, Collection!$B:$B, Y$2)</f>
        <v>0</v>
      </c>
    </row>
    <row r="67" spans="1:25">
      <c r="A67" s="34">
        <f t="shared" si="0"/>
        <v>42930</v>
      </c>
      <c r="B67" s="49">
        <f>SUMIFS(Collection!$J:$J, Collection!$A:$A, $A67, Collection!$B:$B, B$2)</f>
        <v>0</v>
      </c>
      <c r="C67" s="49">
        <f>SUMIFS(Collection!$J:$J, Collection!$A:$A, $A67, Collection!$B:$B, C$2)</f>
        <v>0</v>
      </c>
      <c r="D67" s="49">
        <f>SUMIFS(Collection!$J:$J, Collection!$A:$A, $A67, Collection!$B:$B, D$2)</f>
        <v>0</v>
      </c>
      <c r="E67" s="49">
        <f>SUMIFS(Collection!$J:$J, Collection!$A:$A, $A67, Collection!$B:$B, E$2)</f>
        <v>0</v>
      </c>
      <c r="F67" s="49">
        <f>SUMIFS(Collection!$J:$J, Collection!$A:$A, $A67, Collection!$B:$B, F$2)</f>
        <v>0</v>
      </c>
      <c r="G67" s="49">
        <f>SUMIFS(Collection!$J:$J, Collection!$A:$A, $A67, Collection!$B:$B, G$2)</f>
        <v>0</v>
      </c>
      <c r="H67" s="49">
        <f>SUMIFS(Collection!$J:$J, Collection!$A:$A, $A67, Collection!$B:$B, H$2)</f>
        <v>0</v>
      </c>
      <c r="I67" s="49">
        <f>SUMIFS(Collection!$J:$J, Collection!$A:$A, $A67, Collection!$B:$B, I$2)</f>
        <v>0</v>
      </c>
      <c r="J67" s="49">
        <f>SUMIFS(Collection!$J:$J, Collection!$A:$A, $A67, Collection!$B:$B, J$2)</f>
        <v>0</v>
      </c>
      <c r="K67" s="49">
        <f>SUMIFS(Collection!$J:$J, Collection!$A:$A, $A67, Collection!$B:$B, K$2)</f>
        <v>0</v>
      </c>
      <c r="L67" s="49">
        <f>SUMIFS(Collection!$J:$J, Collection!$A:$A, $A67, Collection!$B:$B, L$2)</f>
        <v>0</v>
      </c>
      <c r="M67" s="49">
        <f>SUMIFS(Collection!$J:$J, Collection!$A:$A, $A67, Collection!$B:$B, M$2)</f>
        <v>0</v>
      </c>
      <c r="N67" s="49">
        <f>SUMIFS(Collection!$J:$J, Collection!$A:$A, $A67, Collection!$B:$B, N$2)</f>
        <v>0</v>
      </c>
      <c r="O67" s="49">
        <f>SUMIFS(Collection!$J:$J, Collection!$A:$A, $A67, Collection!$B:$B, O$2)</f>
        <v>0</v>
      </c>
      <c r="P67" s="49">
        <f>SUMIFS(Collection!$J:$J, Collection!$A:$A, $A67, Collection!$B:$B, P$2)</f>
        <v>0</v>
      </c>
      <c r="Q67" s="49">
        <f>SUMIFS(Collection!$J:$J, Collection!$A:$A, $A67, Collection!$B:$B, Q$2)</f>
        <v>0</v>
      </c>
      <c r="R67" s="49">
        <f>SUMIFS(Collection!$J:$J, Collection!$A:$A, $A67, Collection!$B:$B, R$2)</f>
        <v>0</v>
      </c>
      <c r="S67" s="49">
        <f>SUMIFS(Collection!$J:$J, Collection!$A:$A, $A67, Collection!$B:$B, S$2)</f>
        <v>0</v>
      </c>
      <c r="T67" s="49">
        <f>SUMIFS(Collection!$J:$J, Collection!$A:$A, $A67, Collection!$B:$B, T$2)</f>
        <v>0</v>
      </c>
      <c r="U67" s="49">
        <f>SUMIFS(Collection!$J:$J, Collection!$A:$A, $A67, Collection!$B:$B, U$2)</f>
        <v>0</v>
      </c>
      <c r="V67" s="49">
        <f>SUMIFS(Collection!$J:$J, Collection!$A:$A, $A67, Collection!$B:$B, V$2)</f>
        <v>0</v>
      </c>
      <c r="W67" s="49">
        <f>SUMIFS(Collection!$J:$J, Collection!$A:$A, $A67, Collection!$B:$B, W$2)</f>
        <v>0</v>
      </c>
      <c r="X67" s="49">
        <f>SUMIFS(Collection!$J:$J, Collection!$A:$A, $A67, Collection!$B:$B, X$2)</f>
        <v>0</v>
      </c>
      <c r="Y67" s="49">
        <f>SUMIFS(Collection!$J:$J, Collection!$A:$A, $A67, Collection!$B:$B, Y$2)</f>
        <v>0</v>
      </c>
    </row>
    <row r="68" spans="1:25">
      <c r="A68" s="34">
        <f t="shared" si="0"/>
        <v>42931</v>
      </c>
      <c r="B68" s="49">
        <f>SUMIFS(Collection!$J:$J, Collection!$A:$A, $A68, Collection!$B:$B, B$2)</f>
        <v>0</v>
      </c>
      <c r="C68" s="49">
        <f>SUMIFS(Collection!$J:$J, Collection!$A:$A, $A68, Collection!$B:$B, C$2)</f>
        <v>0</v>
      </c>
      <c r="D68" s="49">
        <f>SUMIFS(Collection!$J:$J, Collection!$A:$A, $A68, Collection!$B:$B, D$2)</f>
        <v>0</v>
      </c>
      <c r="E68" s="49">
        <f>SUMIFS(Collection!$J:$J, Collection!$A:$A, $A68, Collection!$B:$B, E$2)</f>
        <v>0</v>
      </c>
      <c r="F68" s="49">
        <f>SUMIFS(Collection!$J:$J, Collection!$A:$A, $A68, Collection!$B:$B, F$2)</f>
        <v>0</v>
      </c>
      <c r="G68" s="49">
        <f>SUMIFS(Collection!$J:$J, Collection!$A:$A, $A68, Collection!$B:$B, G$2)</f>
        <v>0</v>
      </c>
      <c r="H68" s="49">
        <f>SUMIFS(Collection!$J:$J, Collection!$A:$A, $A68, Collection!$B:$B, H$2)</f>
        <v>0</v>
      </c>
      <c r="I68" s="49">
        <f>SUMIFS(Collection!$J:$J, Collection!$A:$A, $A68, Collection!$B:$B, I$2)</f>
        <v>0</v>
      </c>
      <c r="J68" s="49">
        <f>SUMIFS(Collection!$J:$J, Collection!$A:$A, $A68, Collection!$B:$B, J$2)</f>
        <v>0</v>
      </c>
      <c r="K68" s="49">
        <f>SUMIFS(Collection!$J:$J, Collection!$A:$A, $A68, Collection!$B:$B, K$2)</f>
        <v>0</v>
      </c>
      <c r="L68" s="49">
        <f>SUMIFS(Collection!$J:$J, Collection!$A:$A, $A68, Collection!$B:$B, L$2)</f>
        <v>0</v>
      </c>
      <c r="M68" s="49">
        <f>SUMIFS(Collection!$J:$J, Collection!$A:$A, $A68, Collection!$B:$B, M$2)</f>
        <v>0</v>
      </c>
      <c r="N68" s="49">
        <f>SUMIFS(Collection!$J:$J, Collection!$A:$A, $A68, Collection!$B:$B, N$2)</f>
        <v>0</v>
      </c>
      <c r="O68" s="49">
        <f>SUMIFS(Collection!$J:$J, Collection!$A:$A, $A68, Collection!$B:$B, O$2)</f>
        <v>0</v>
      </c>
      <c r="P68" s="49">
        <f>SUMIFS(Collection!$J:$J, Collection!$A:$A, $A68, Collection!$B:$B, P$2)</f>
        <v>0</v>
      </c>
      <c r="Q68" s="49">
        <f>SUMIFS(Collection!$J:$J, Collection!$A:$A, $A68, Collection!$B:$B, Q$2)</f>
        <v>0</v>
      </c>
      <c r="R68" s="49">
        <f>SUMIFS(Collection!$J:$J, Collection!$A:$A, $A68, Collection!$B:$B, R$2)</f>
        <v>0</v>
      </c>
      <c r="S68" s="49">
        <f>SUMIFS(Collection!$J:$J, Collection!$A:$A, $A68, Collection!$B:$B, S$2)</f>
        <v>0</v>
      </c>
      <c r="T68" s="49">
        <f>SUMIFS(Collection!$J:$J, Collection!$A:$A, $A68, Collection!$B:$B, T$2)</f>
        <v>0</v>
      </c>
      <c r="U68" s="49">
        <f>SUMIFS(Collection!$J:$J, Collection!$A:$A, $A68, Collection!$B:$B, U$2)</f>
        <v>0</v>
      </c>
      <c r="V68" s="49">
        <f>SUMIFS(Collection!$J:$J, Collection!$A:$A, $A68, Collection!$B:$B, V$2)</f>
        <v>0</v>
      </c>
      <c r="W68" s="49">
        <f>SUMIFS(Collection!$J:$J, Collection!$A:$A, $A68, Collection!$B:$B, W$2)</f>
        <v>0</v>
      </c>
      <c r="X68" s="49">
        <f>SUMIFS(Collection!$J:$J, Collection!$A:$A, $A68, Collection!$B:$B, X$2)</f>
        <v>0</v>
      </c>
      <c r="Y68" s="49">
        <f>SUMIFS(Collection!$J:$J, Collection!$A:$A, $A68, Collection!$B:$B, Y$2)</f>
        <v>0</v>
      </c>
    </row>
    <row r="69" spans="1:25">
      <c r="A69" s="34">
        <f t="shared" si="0"/>
        <v>42932</v>
      </c>
      <c r="B69" s="49">
        <f>SUMIFS(Collection!$J:$J, Collection!$A:$A, $A69, Collection!$B:$B, B$2)</f>
        <v>0</v>
      </c>
      <c r="C69" s="49">
        <f>SUMIFS(Collection!$J:$J, Collection!$A:$A, $A69, Collection!$B:$B, C$2)</f>
        <v>0</v>
      </c>
      <c r="D69" s="49">
        <f>SUMIFS(Collection!$J:$J, Collection!$A:$A, $A69, Collection!$B:$B, D$2)</f>
        <v>0</v>
      </c>
      <c r="E69" s="49">
        <f>SUMIFS(Collection!$J:$J, Collection!$A:$A, $A69, Collection!$B:$B, E$2)</f>
        <v>0</v>
      </c>
      <c r="F69" s="49">
        <f>SUMIFS(Collection!$J:$J, Collection!$A:$A, $A69, Collection!$B:$B, F$2)</f>
        <v>0</v>
      </c>
      <c r="G69" s="49">
        <f>SUMIFS(Collection!$J:$J, Collection!$A:$A, $A69, Collection!$B:$B, G$2)</f>
        <v>0</v>
      </c>
      <c r="H69" s="49">
        <f>SUMIFS(Collection!$J:$J, Collection!$A:$A, $A69, Collection!$B:$B, H$2)</f>
        <v>0</v>
      </c>
      <c r="I69" s="49">
        <f>SUMIFS(Collection!$J:$J, Collection!$A:$A, $A69, Collection!$B:$B, I$2)</f>
        <v>0</v>
      </c>
      <c r="J69" s="49">
        <f>SUMIFS(Collection!$J:$J, Collection!$A:$A, $A69, Collection!$B:$B, J$2)</f>
        <v>0</v>
      </c>
      <c r="K69" s="49">
        <f>SUMIFS(Collection!$J:$J, Collection!$A:$A, $A69, Collection!$B:$B, K$2)</f>
        <v>0</v>
      </c>
      <c r="L69" s="49">
        <f>SUMIFS(Collection!$J:$J, Collection!$A:$A, $A69, Collection!$B:$B, L$2)</f>
        <v>0</v>
      </c>
      <c r="M69" s="49">
        <f>SUMIFS(Collection!$J:$J, Collection!$A:$A, $A69, Collection!$B:$B, M$2)</f>
        <v>0</v>
      </c>
      <c r="N69" s="49">
        <f>SUMIFS(Collection!$J:$J, Collection!$A:$A, $A69, Collection!$B:$B, N$2)</f>
        <v>0</v>
      </c>
      <c r="O69" s="49">
        <f>SUMIFS(Collection!$J:$J, Collection!$A:$A, $A69, Collection!$B:$B, O$2)</f>
        <v>0</v>
      </c>
      <c r="P69" s="49">
        <f>SUMIFS(Collection!$J:$J, Collection!$A:$A, $A69, Collection!$B:$B, P$2)</f>
        <v>0</v>
      </c>
      <c r="Q69" s="49">
        <f>SUMIFS(Collection!$J:$J, Collection!$A:$A, $A69, Collection!$B:$B, Q$2)</f>
        <v>0</v>
      </c>
      <c r="R69" s="49">
        <f>SUMIFS(Collection!$J:$J, Collection!$A:$A, $A69, Collection!$B:$B, R$2)</f>
        <v>0</v>
      </c>
      <c r="S69" s="49">
        <f>SUMIFS(Collection!$J:$J, Collection!$A:$A, $A69, Collection!$B:$B, S$2)</f>
        <v>0</v>
      </c>
      <c r="T69" s="49">
        <f>SUMIFS(Collection!$J:$J, Collection!$A:$A, $A69, Collection!$B:$B, T$2)</f>
        <v>0</v>
      </c>
      <c r="U69" s="49">
        <f>SUMIFS(Collection!$J:$J, Collection!$A:$A, $A69, Collection!$B:$B, U$2)</f>
        <v>0</v>
      </c>
      <c r="V69" s="49">
        <f>SUMIFS(Collection!$J:$J, Collection!$A:$A, $A69, Collection!$B:$B, V$2)</f>
        <v>0</v>
      </c>
      <c r="W69" s="49">
        <f>SUMIFS(Collection!$J:$J, Collection!$A:$A, $A69, Collection!$B:$B, W$2)</f>
        <v>0</v>
      </c>
      <c r="X69" s="49">
        <f>SUMIFS(Collection!$J:$J, Collection!$A:$A, $A69, Collection!$B:$B, X$2)</f>
        <v>0</v>
      </c>
      <c r="Y69" s="49">
        <f>SUMIFS(Collection!$J:$J, Collection!$A:$A, $A69, Collection!$B:$B, Y$2)</f>
        <v>0</v>
      </c>
    </row>
    <row r="70" spans="1:25">
      <c r="A70" s="34">
        <f t="shared" si="0"/>
        <v>42933</v>
      </c>
      <c r="B70" s="49">
        <f>SUMIFS(Collection!$J:$J, Collection!$A:$A, $A70, Collection!$B:$B, B$2)</f>
        <v>0</v>
      </c>
      <c r="C70" s="49">
        <f>SUMIFS(Collection!$J:$J, Collection!$A:$A, $A70, Collection!$B:$B, C$2)</f>
        <v>0</v>
      </c>
      <c r="D70" s="49">
        <f>SUMIFS(Collection!$J:$J, Collection!$A:$A, $A70, Collection!$B:$B, D$2)</f>
        <v>0</v>
      </c>
      <c r="E70" s="49">
        <f>SUMIFS(Collection!$J:$J, Collection!$A:$A, $A70, Collection!$B:$B, E$2)</f>
        <v>0</v>
      </c>
      <c r="F70" s="49">
        <f>SUMIFS(Collection!$J:$J, Collection!$A:$A, $A70, Collection!$B:$B, F$2)</f>
        <v>0</v>
      </c>
      <c r="G70" s="49">
        <f>SUMIFS(Collection!$J:$J, Collection!$A:$A, $A70, Collection!$B:$B, G$2)</f>
        <v>0</v>
      </c>
      <c r="H70" s="49">
        <f>SUMIFS(Collection!$J:$J, Collection!$A:$A, $A70, Collection!$B:$B, H$2)</f>
        <v>0</v>
      </c>
      <c r="I70" s="49">
        <f>SUMIFS(Collection!$J:$J, Collection!$A:$A, $A70, Collection!$B:$B, I$2)</f>
        <v>0</v>
      </c>
      <c r="J70" s="49">
        <f>SUMIFS(Collection!$J:$J, Collection!$A:$A, $A70, Collection!$B:$B, J$2)</f>
        <v>0</v>
      </c>
      <c r="K70" s="49">
        <f>SUMIFS(Collection!$J:$J, Collection!$A:$A, $A70, Collection!$B:$B, K$2)</f>
        <v>0</v>
      </c>
      <c r="L70" s="49">
        <f>SUMIFS(Collection!$J:$J, Collection!$A:$A, $A70, Collection!$B:$B, L$2)</f>
        <v>0</v>
      </c>
      <c r="M70" s="49">
        <f>SUMIFS(Collection!$J:$J, Collection!$A:$A, $A70, Collection!$B:$B, M$2)</f>
        <v>0</v>
      </c>
      <c r="N70" s="49">
        <f>SUMIFS(Collection!$J:$J, Collection!$A:$A, $A70, Collection!$B:$B, N$2)</f>
        <v>0</v>
      </c>
      <c r="O70" s="49">
        <f>SUMIFS(Collection!$J:$J, Collection!$A:$A, $A70, Collection!$B:$B, O$2)</f>
        <v>0</v>
      </c>
      <c r="P70" s="49">
        <f>SUMIFS(Collection!$J:$J, Collection!$A:$A, $A70, Collection!$B:$B, P$2)</f>
        <v>0</v>
      </c>
      <c r="Q70" s="49">
        <f>SUMIFS(Collection!$J:$J, Collection!$A:$A, $A70, Collection!$B:$B, Q$2)</f>
        <v>0</v>
      </c>
      <c r="R70" s="49">
        <f>SUMIFS(Collection!$J:$J, Collection!$A:$A, $A70, Collection!$B:$B, R$2)</f>
        <v>0</v>
      </c>
      <c r="S70" s="49">
        <f>SUMIFS(Collection!$J:$J, Collection!$A:$A, $A70, Collection!$B:$B, S$2)</f>
        <v>0</v>
      </c>
      <c r="T70" s="49">
        <f>SUMIFS(Collection!$J:$J, Collection!$A:$A, $A70, Collection!$B:$B, T$2)</f>
        <v>0</v>
      </c>
      <c r="U70" s="49">
        <f>SUMIFS(Collection!$J:$J, Collection!$A:$A, $A70, Collection!$B:$B, U$2)</f>
        <v>0</v>
      </c>
      <c r="V70" s="49">
        <f>SUMIFS(Collection!$J:$J, Collection!$A:$A, $A70, Collection!$B:$B, V$2)</f>
        <v>0</v>
      </c>
      <c r="W70" s="49">
        <f>SUMIFS(Collection!$J:$J, Collection!$A:$A, $A70, Collection!$B:$B, W$2)</f>
        <v>0</v>
      </c>
      <c r="X70" s="49">
        <f>SUMIFS(Collection!$J:$J, Collection!$A:$A, $A70, Collection!$B:$B, X$2)</f>
        <v>0</v>
      </c>
      <c r="Y70" s="49">
        <f>SUMIFS(Collection!$J:$J, Collection!$A:$A, $A70, Collection!$B:$B, Y$2)</f>
        <v>0</v>
      </c>
    </row>
    <row r="71" spans="1:25">
      <c r="A71" s="34">
        <f t="shared" ref="A71" si="1">1+A70</f>
        <v>42934</v>
      </c>
      <c r="B71" s="49">
        <f>SUMIFS(Collection!$J:$J, Collection!$A:$A, $A71, Collection!$B:$B, B$2)</f>
        <v>0</v>
      </c>
      <c r="C71" s="49">
        <f>SUMIFS(Collection!$J:$J, Collection!$A:$A, $A71, Collection!$B:$B, C$2)</f>
        <v>0</v>
      </c>
      <c r="D71" s="49">
        <f>SUMIFS(Collection!$J:$J, Collection!$A:$A, $A71, Collection!$B:$B, D$2)</f>
        <v>0</v>
      </c>
      <c r="E71" s="49">
        <f>SUMIFS(Collection!$J:$J, Collection!$A:$A, $A71, Collection!$B:$B, E$2)</f>
        <v>0</v>
      </c>
      <c r="F71" s="49">
        <f>SUMIFS(Collection!$J:$J, Collection!$A:$A, $A71, Collection!$B:$B, F$2)</f>
        <v>0</v>
      </c>
      <c r="G71" s="49">
        <f>SUMIFS(Collection!$J:$J, Collection!$A:$A, $A71, Collection!$B:$B, G$2)</f>
        <v>0</v>
      </c>
      <c r="H71" s="49">
        <f>SUMIFS(Collection!$J:$J, Collection!$A:$A, $A71, Collection!$B:$B, H$2)</f>
        <v>0</v>
      </c>
      <c r="I71" s="49">
        <f>SUMIFS(Collection!$J:$J, Collection!$A:$A, $A71, Collection!$B:$B, I$2)</f>
        <v>0</v>
      </c>
      <c r="J71" s="49">
        <f>SUMIFS(Collection!$J:$J, Collection!$A:$A, $A71, Collection!$B:$B, J$2)</f>
        <v>0</v>
      </c>
      <c r="K71" s="49">
        <f>SUMIFS(Collection!$J:$J, Collection!$A:$A, $A71, Collection!$B:$B, K$2)</f>
        <v>0</v>
      </c>
      <c r="L71" s="49">
        <f>SUMIFS(Collection!$J:$J, Collection!$A:$A, $A71, Collection!$B:$B, L$2)</f>
        <v>0</v>
      </c>
      <c r="M71" s="49">
        <f>SUMIFS(Collection!$J:$J, Collection!$A:$A, $A71, Collection!$B:$B, M$2)</f>
        <v>0</v>
      </c>
      <c r="N71" s="49">
        <f>SUMIFS(Collection!$J:$J, Collection!$A:$A, $A71, Collection!$B:$B, N$2)</f>
        <v>0</v>
      </c>
      <c r="O71" s="49">
        <f>SUMIFS(Collection!$J:$J, Collection!$A:$A, $A71, Collection!$B:$B, O$2)</f>
        <v>0</v>
      </c>
      <c r="P71" s="49">
        <f>SUMIFS(Collection!$J:$J, Collection!$A:$A, $A71, Collection!$B:$B, P$2)</f>
        <v>0</v>
      </c>
      <c r="Q71" s="49">
        <f>SUMIFS(Collection!$J:$J, Collection!$A:$A, $A71, Collection!$B:$B, Q$2)</f>
        <v>0</v>
      </c>
      <c r="R71" s="49">
        <f>SUMIFS(Collection!$J:$J, Collection!$A:$A, $A71, Collection!$B:$B, R$2)</f>
        <v>0</v>
      </c>
      <c r="S71" s="49">
        <f>SUMIFS(Collection!$J:$J, Collection!$A:$A, $A71, Collection!$B:$B, S$2)</f>
        <v>0</v>
      </c>
      <c r="T71" s="49">
        <f>SUMIFS(Collection!$J:$J, Collection!$A:$A, $A71, Collection!$B:$B, T$2)</f>
        <v>0</v>
      </c>
      <c r="U71" s="49">
        <f>SUMIFS(Collection!$J:$J, Collection!$A:$A, $A71, Collection!$B:$B, U$2)</f>
        <v>0</v>
      </c>
      <c r="V71" s="49">
        <f>SUMIFS(Collection!$J:$J, Collection!$A:$A, $A71, Collection!$B:$B, V$2)</f>
        <v>0</v>
      </c>
      <c r="W71" s="49">
        <f>SUMIFS(Collection!$J:$J, Collection!$A:$A, $A71, Collection!$B:$B, W$2)</f>
        <v>0</v>
      </c>
      <c r="X71" s="49">
        <f>SUMIFS(Collection!$J:$J, Collection!$A:$A, $A71, Collection!$B:$B, X$2)</f>
        <v>0</v>
      </c>
      <c r="Y71" s="49">
        <f>SUMIFS(Collection!$J:$J, Collection!$A:$A, $A71, Collection!$B:$B, Y$2)</f>
        <v>0</v>
      </c>
    </row>
  </sheetData>
  <pageMargins left="0.75" right="0.75" top="1" bottom="1" header="0.5" footer="0.5"/>
  <pageSetup orientation="portrait" horizontalDpi="4294967292" verticalDpi="4294967292"/>
  <ignoredErrors>
    <ignoredError sqref="B3:Y7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560" topLeftCell="A2" activePane="bottomLeft"/>
      <selection activeCell="K1" sqref="K1:K1048576"/>
      <selection pane="bottomLeft" activeCell="O32" sqref="O3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277</v>
      </c>
      <c r="C1" s="54" t="s">
        <v>278</v>
      </c>
      <c r="D1" s="54" t="s">
        <v>276</v>
      </c>
      <c r="E1" s="54" t="s">
        <v>1</v>
      </c>
      <c r="F1" s="54" t="s">
        <v>132</v>
      </c>
      <c r="G1" s="54" t="s">
        <v>133</v>
      </c>
      <c r="H1" s="54" t="s">
        <v>135</v>
      </c>
      <c r="I1" s="55" t="s">
        <v>136</v>
      </c>
      <c r="J1" s="54" t="s">
        <v>137</v>
      </c>
      <c r="K1" s="261" t="s">
        <v>303</v>
      </c>
      <c r="M1" s="54" t="s">
        <v>299</v>
      </c>
    </row>
    <row r="2" spans="1:13" s="19" customFormat="1">
      <c r="A2" s="18">
        <v>42884</v>
      </c>
      <c r="B2" s="257" t="s">
        <v>279</v>
      </c>
      <c r="C2" s="19" t="s">
        <v>134</v>
      </c>
      <c r="D2" s="19" t="s">
        <v>280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8" t="s">
        <v>279</v>
      </c>
      <c r="C3" s="23">
        <v>8</v>
      </c>
      <c r="E3" s="23" t="s">
        <v>302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8" t="s">
        <v>279</v>
      </c>
      <c r="C4" s="23">
        <v>13</v>
      </c>
      <c r="D4" s="23" t="s">
        <v>281</v>
      </c>
      <c r="E4" s="23" t="s">
        <v>302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8" t="s">
        <v>279</v>
      </c>
      <c r="C5" s="23">
        <v>3</v>
      </c>
      <c r="E5" s="23" t="s">
        <v>302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8" t="s">
        <v>279</v>
      </c>
      <c r="C6" s="23">
        <v>5</v>
      </c>
      <c r="D6" s="23" t="s">
        <v>282</v>
      </c>
      <c r="E6" s="23" t="s">
        <v>302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8" t="s">
        <v>279</v>
      </c>
      <c r="C7" s="23">
        <v>16</v>
      </c>
      <c r="E7" s="23" t="s">
        <v>302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8" t="s">
        <v>279</v>
      </c>
      <c r="C8" s="23">
        <v>9</v>
      </c>
      <c r="E8" s="23" t="s">
        <v>302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8" t="s">
        <v>279</v>
      </c>
      <c r="C9" s="23">
        <v>10</v>
      </c>
      <c r="E9" s="23" t="s">
        <v>302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8" t="s">
        <v>279</v>
      </c>
      <c r="C10" s="23">
        <v>12</v>
      </c>
      <c r="E10" s="23" t="s">
        <v>302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8" t="s">
        <v>279</v>
      </c>
      <c r="C11" s="23">
        <v>11</v>
      </c>
      <c r="D11" s="23" t="s">
        <v>283</v>
      </c>
      <c r="E11" s="23" t="s">
        <v>302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8" t="s">
        <v>279</v>
      </c>
      <c r="C12" s="23">
        <v>7</v>
      </c>
      <c r="D12" s="23" t="s">
        <v>284</v>
      </c>
      <c r="E12" s="23" t="s">
        <v>302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9"/>
      <c r="H13" s="260" t="s">
        <v>135</v>
      </c>
      <c r="I13" s="261">
        <f>AVERAGE(I2:I12)</f>
        <v>113131.31313131313</v>
      </c>
      <c r="J13" s="264" t="s">
        <v>304</v>
      </c>
      <c r="K13" s="261">
        <f>AVERAGE(K2:K12)</f>
        <v>42439546.985001549</v>
      </c>
      <c r="L13" s="264" t="s">
        <v>305</v>
      </c>
      <c r="M13" s="261">
        <f>SQRT(K13)</f>
        <v>6514.5642206521807</v>
      </c>
    </row>
    <row r="14" spans="1:13" s="19" customFormat="1">
      <c r="A14" s="18">
        <v>42917</v>
      </c>
      <c r="B14" s="257" t="s">
        <v>279</v>
      </c>
      <c r="C14" s="19" t="s">
        <v>300</v>
      </c>
      <c r="D14" s="19" t="s">
        <v>280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8" t="s">
        <v>279</v>
      </c>
      <c r="C15" s="23" t="s">
        <v>300</v>
      </c>
      <c r="D15" s="23" t="s">
        <v>284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8" t="s">
        <v>279</v>
      </c>
      <c r="C16" s="23" t="s">
        <v>300</v>
      </c>
      <c r="D16" s="23" t="s">
        <v>285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8" t="s">
        <v>279</v>
      </c>
      <c r="C17" s="23" t="s">
        <v>300</v>
      </c>
      <c r="D17" s="23" t="s">
        <v>286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8" t="s">
        <v>279</v>
      </c>
      <c r="C18" s="23" t="s">
        <v>300</v>
      </c>
      <c r="D18" s="23" t="s">
        <v>287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8" t="s">
        <v>279</v>
      </c>
      <c r="C19" s="23" t="s">
        <v>300</v>
      </c>
      <c r="D19" s="23" t="s">
        <v>288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8" t="s">
        <v>279</v>
      </c>
      <c r="C20" s="23" t="s">
        <v>300</v>
      </c>
      <c r="D20" s="23" t="s">
        <v>289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8" t="s">
        <v>279</v>
      </c>
      <c r="C21" s="23" t="s">
        <v>300</v>
      </c>
      <c r="D21" s="23" t="s">
        <v>290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9"/>
      <c r="C22" s="23"/>
      <c r="H22" s="260" t="s">
        <v>135</v>
      </c>
      <c r="I22" s="261">
        <f>AVERAGE(I14:I21)</f>
        <v>75694.444444444438</v>
      </c>
      <c r="J22" s="264" t="s">
        <v>304</v>
      </c>
      <c r="K22" s="261">
        <f>AVERAGE(K14:K21)</f>
        <v>21045524.691358007</v>
      </c>
      <c r="L22" s="264" t="s">
        <v>305</v>
      </c>
      <c r="M22" s="261">
        <f>SQRT(K22)</f>
        <v>4587.5401569204823</v>
      </c>
    </row>
    <row r="23" spans="1:13" s="19" customFormat="1">
      <c r="A23" s="18">
        <v>42917</v>
      </c>
      <c r="B23" s="257" t="s">
        <v>298</v>
      </c>
      <c r="C23" s="19" t="s">
        <v>301</v>
      </c>
      <c r="D23" s="19" t="s">
        <v>291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8" t="s">
        <v>298</v>
      </c>
      <c r="C24" s="263" t="s">
        <v>301</v>
      </c>
      <c r="D24" s="23" t="s">
        <v>292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8" t="s">
        <v>298</v>
      </c>
      <c r="C25" s="263" t="s">
        <v>301</v>
      </c>
      <c r="D25" s="23" t="s">
        <v>293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8" t="s">
        <v>298</v>
      </c>
      <c r="C26" s="263" t="s">
        <v>301</v>
      </c>
      <c r="D26" s="23" t="s">
        <v>294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8" t="s">
        <v>298</v>
      </c>
      <c r="C27" s="263" t="s">
        <v>301</v>
      </c>
      <c r="D27" s="23" t="s">
        <v>295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8" t="s">
        <v>298</v>
      </c>
      <c r="C28" s="263" t="s">
        <v>301</v>
      </c>
      <c r="D28" s="23" t="s">
        <v>296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8" t="s">
        <v>298</v>
      </c>
      <c r="C29" s="263" t="s">
        <v>301</v>
      </c>
      <c r="D29" s="23" t="s">
        <v>297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62"/>
      <c r="H30" s="260" t="s">
        <v>135</v>
      </c>
      <c r="I30" s="261">
        <f>AVERAGE(I23:I29)</f>
        <v>54206.349206349194</v>
      </c>
      <c r="J30" s="264" t="s">
        <v>304</v>
      </c>
      <c r="K30" s="261">
        <f>AVERAGE(K23:K29)</f>
        <v>29352481.733434107</v>
      </c>
      <c r="L30" s="264" t="s">
        <v>305</v>
      </c>
      <c r="M30" s="261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A17"/>
    </sheetView>
  </sheetViews>
  <sheetFormatPr baseColWidth="10" defaultRowHeight="15" x14ac:dyDescent="0"/>
  <cols>
    <col min="1" max="1" width="18.33203125" style="17" customWidth="1"/>
    <col min="2" max="2" width="11.5" bestFit="1" customWidth="1"/>
  </cols>
  <sheetData>
    <row r="1" spans="1:4">
      <c r="A1" s="90" t="s">
        <v>141</v>
      </c>
    </row>
    <row r="2" spans="1:4" ht="17" customHeight="1">
      <c r="A2" t="s">
        <v>105</v>
      </c>
      <c r="B2" s="15"/>
      <c r="C2" s="15"/>
      <c r="D2" s="15"/>
    </row>
    <row r="3" spans="1:4">
      <c r="A3" t="s">
        <v>85</v>
      </c>
      <c r="B3" s="17"/>
    </row>
    <row r="4" spans="1:4">
      <c r="A4" t="s">
        <v>76</v>
      </c>
      <c r="B4" s="17"/>
      <c r="C4" s="53"/>
      <c r="D4" s="53"/>
    </row>
    <row r="5" spans="1:4">
      <c r="A5" t="s">
        <v>84</v>
      </c>
      <c r="B5" s="17"/>
    </row>
    <row r="6" spans="1:4">
      <c r="A6" t="s">
        <v>77</v>
      </c>
      <c r="B6" s="17"/>
      <c r="C6" s="53"/>
      <c r="D6" s="53"/>
    </row>
    <row r="7" spans="1:4">
      <c r="A7" t="s">
        <v>87</v>
      </c>
      <c r="B7" s="17"/>
    </row>
    <row r="8" spans="1:4">
      <c r="A8" t="s">
        <v>139</v>
      </c>
      <c r="B8" s="17"/>
    </row>
    <row r="9" spans="1:4">
      <c r="A9" t="s">
        <v>86</v>
      </c>
      <c r="B9" s="17"/>
    </row>
    <row r="10" spans="1:4">
      <c r="A10" t="s">
        <v>21</v>
      </c>
      <c r="B10" s="17"/>
      <c r="C10" s="53"/>
      <c r="D10" s="53"/>
    </row>
    <row r="11" spans="1:4">
      <c r="A11" t="s">
        <v>119</v>
      </c>
      <c r="B11" s="17"/>
    </row>
    <row r="12" spans="1:4">
      <c r="A12" t="s">
        <v>138</v>
      </c>
      <c r="B12" s="17"/>
    </row>
    <row r="13" spans="1:4">
      <c r="A13" t="s">
        <v>88</v>
      </c>
      <c r="B13" s="17"/>
    </row>
    <row r="14" spans="1:4">
      <c r="A14" t="s">
        <v>46</v>
      </c>
      <c r="B14" s="17"/>
    </row>
    <row r="15" spans="1:4">
      <c r="A15" t="s">
        <v>38</v>
      </c>
      <c r="B15" s="17"/>
    </row>
    <row r="16" spans="1:4">
      <c r="A16" t="s">
        <v>37</v>
      </c>
      <c r="B16" s="17"/>
    </row>
    <row r="17" spans="1:4">
      <c r="A17" t="s">
        <v>17</v>
      </c>
      <c r="B17" s="17"/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22" workbookViewId="0">
      <pane ySplit="1480" topLeftCell="A43" activePane="bottomLeft"/>
      <selection activeCell="D4" sqref="D4"/>
      <selection pane="bottomLeft" activeCell="B63" sqref="B63"/>
    </sheetView>
  </sheetViews>
  <sheetFormatPr baseColWidth="10" defaultRowHeight="15" x14ac:dyDescent="0"/>
  <cols>
    <col min="2" max="2" width="26" customWidth="1"/>
    <col min="3" max="3" width="7.6640625" customWidth="1"/>
    <col min="4" max="7" width="7.6640625" bestFit="1" customWidth="1"/>
    <col min="8" max="8" width="13.5" bestFit="1" customWidth="1"/>
    <col min="9" max="9" width="13.1640625" bestFit="1" customWidth="1"/>
    <col min="10" max="10" width="15" style="225" customWidth="1"/>
    <col min="11" max="11" width="12.1640625" style="226" customWidth="1"/>
    <col min="12" max="12" width="15.1640625" bestFit="1" customWidth="1"/>
    <col min="13" max="13" width="15.1640625" style="17" bestFit="1" customWidth="1"/>
  </cols>
  <sheetData>
    <row r="1" spans="1:13">
      <c r="A1" s="223" t="s">
        <v>306</v>
      </c>
    </row>
    <row r="2" spans="1:13" s="54" customFormat="1">
      <c r="A2" s="54" t="s">
        <v>80</v>
      </c>
      <c r="B2" s="54" t="s">
        <v>307</v>
      </c>
      <c r="C2" s="54" t="s">
        <v>308</v>
      </c>
      <c r="D2" s="54" t="s">
        <v>309</v>
      </c>
      <c r="J2" s="224"/>
      <c r="K2" s="227"/>
      <c r="M2" s="55"/>
    </row>
    <row r="23" spans="1:13" s="54" customFormat="1" ht="16" thickBot="1">
      <c r="A23" s="223" t="s">
        <v>233</v>
      </c>
      <c r="J23" s="224"/>
      <c r="K23" s="227"/>
      <c r="M23" s="55"/>
    </row>
    <row r="24" spans="1:13" s="54" customFormat="1" ht="30" customHeight="1">
      <c r="A24" s="210" t="s">
        <v>80</v>
      </c>
      <c r="B24" s="54" t="s">
        <v>234</v>
      </c>
      <c r="C24" s="54" t="s">
        <v>132</v>
      </c>
      <c r="D24" s="54" t="s">
        <v>133</v>
      </c>
      <c r="E24" s="54" t="s">
        <v>236</v>
      </c>
      <c r="F24" s="54" t="s">
        <v>237</v>
      </c>
      <c r="G24" s="54" t="s">
        <v>238</v>
      </c>
      <c r="H24" s="54" t="s">
        <v>239</v>
      </c>
      <c r="I24" s="54" t="s">
        <v>240</v>
      </c>
      <c r="J24" s="224" t="s">
        <v>241</v>
      </c>
      <c r="K24" s="228" t="s">
        <v>242</v>
      </c>
      <c r="L24" s="54" t="s">
        <v>262</v>
      </c>
      <c r="M24" s="55" t="s">
        <v>263</v>
      </c>
    </row>
    <row r="25" spans="1:13" s="54" customFormat="1">
      <c r="A25" s="210"/>
      <c r="J25" s="224"/>
      <c r="K25" s="232" t="s">
        <v>251</v>
      </c>
      <c r="M25" s="55"/>
    </row>
    <row r="26" spans="1:13">
      <c r="A26" s="16">
        <v>42901</v>
      </c>
      <c r="B26" t="s">
        <v>243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6">
        <f>(100000*800)/I26</f>
        <v>33.222591362126238</v>
      </c>
      <c r="K26" s="229">
        <f>13*J26</f>
        <v>431.89368770764111</v>
      </c>
    </row>
    <row r="27" spans="1:13">
      <c r="A27" s="16">
        <v>42902</v>
      </c>
      <c r="B27" t="s">
        <v>243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6">
        <f>(100000*800)/I27</f>
        <v>33.670033670033668</v>
      </c>
      <c r="K27" s="229">
        <f>13*J27</f>
        <v>437.7104377104377</v>
      </c>
    </row>
    <row r="28" spans="1:13">
      <c r="A28" s="16">
        <v>42903</v>
      </c>
      <c r="B28" t="s">
        <v>235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6">
        <f>(100000*800)/I28</f>
        <v>48.426150121065376</v>
      </c>
      <c r="K28" s="229">
        <f>13*J28</f>
        <v>629.53995157384986</v>
      </c>
    </row>
    <row r="29" spans="1:13">
      <c r="A29" s="16">
        <v>42904</v>
      </c>
      <c r="B29" t="s">
        <v>244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6">
        <f t="shared" ref="J29:J42" si="2">(100000*800)/I29</f>
        <v>52.840158520475555</v>
      </c>
      <c r="K29" s="229">
        <f t="shared" ref="K29" si="3">13*J29</f>
        <v>686.9220607661822</v>
      </c>
    </row>
    <row r="30" spans="1:13">
      <c r="A30" s="16"/>
      <c r="H30" s="17"/>
      <c r="I30" s="17"/>
      <c r="J30" s="226"/>
      <c r="K30" s="232" t="s">
        <v>250</v>
      </c>
    </row>
    <row r="31" spans="1:13">
      <c r="A31" s="16">
        <v>42905</v>
      </c>
      <c r="B31" t="s">
        <v>249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6">
        <f t="shared" si="2"/>
        <v>38.910505836575872</v>
      </c>
      <c r="K31" s="231">
        <f>((100000*1000)/I31)*18</f>
        <v>875.48638132295719</v>
      </c>
    </row>
    <row r="32" spans="1:13">
      <c r="A32" s="16">
        <v>42906</v>
      </c>
      <c r="B32" t="s">
        <v>252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6">
        <f t="shared" si="2"/>
        <v>37.002775208140612</v>
      </c>
      <c r="K32" s="231">
        <f t="shared" ref="K32:K42" si="4">((100000*1000)/I32)*18</f>
        <v>832.56244218316374</v>
      </c>
    </row>
    <row r="33" spans="1:15">
      <c r="A33" s="16">
        <v>42908</v>
      </c>
      <c r="B33" t="s">
        <v>256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6">
        <f t="shared" si="2"/>
        <v>22.831050228310502</v>
      </c>
      <c r="K33" s="231">
        <f t="shared" si="4"/>
        <v>513.69863013698625</v>
      </c>
    </row>
    <row r="34" spans="1:15">
      <c r="A34" s="16">
        <v>42909</v>
      </c>
      <c r="B34" t="s">
        <v>256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6">
        <f t="shared" ref="J34" si="7">(100000*800)/I34</f>
        <v>22.831050228310502</v>
      </c>
      <c r="K34" s="231">
        <f t="shared" ref="K34" si="8">((100000*1000)/I34)*18</f>
        <v>513.69863013698625</v>
      </c>
      <c r="L34" t="s">
        <v>273</v>
      </c>
    </row>
    <row r="35" spans="1:15">
      <c r="A35" s="16">
        <v>42910</v>
      </c>
      <c r="B35" t="s">
        <v>275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6">
        <f t="shared" si="2"/>
        <v>44.052863436123346</v>
      </c>
      <c r="K35" s="231">
        <f t="shared" si="4"/>
        <v>991.18942731277525</v>
      </c>
    </row>
    <row r="36" spans="1:15">
      <c r="A36" s="16">
        <v>42912</v>
      </c>
      <c r="B36" t="s">
        <v>257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6">
        <f t="shared" si="2"/>
        <v>22.922636103151863</v>
      </c>
      <c r="K36" s="231">
        <f t="shared" si="4"/>
        <v>515.75931232091693</v>
      </c>
    </row>
    <row r="37" spans="1:15">
      <c r="A37" s="16">
        <v>42914</v>
      </c>
      <c r="B37" t="s">
        <v>259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6">
        <f t="shared" si="2"/>
        <v>26.702269692923899</v>
      </c>
      <c r="K37" s="231">
        <f t="shared" si="4"/>
        <v>600.80106809078768</v>
      </c>
    </row>
    <row r="38" spans="1:15">
      <c r="A38" s="16">
        <v>42915</v>
      </c>
      <c r="B38" t="s">
        <v>261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6">
        <f t="shared" si="2"/>
        <v>76.775431861804208</v>
      </c>
      <c r="K38" s="231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264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5">
        <f t="shared" si="2"/>
        <v>77.777777777777771</v>
      </c>
      <c r="K39" s="229">
        <f t="shared" si="4"/>
        <v>1749.9999999999998</v>
      </c>
      <c r="L39" s="154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269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5">
        <f t="shared" si="2"/>
        <v>22.818026240730177</v>
      </c>
      <c r="K40" s="229">
        <f t="shared" si="4"/>
        <v>513.40559041642894</v>
      </c>
      <c r="L40" s="154">
        <f>(M40*I40)/(18+M40/1000)</f>
        <v>0</v>
      </c>
    </row>
    <row r="41" spans="1:15">
      <c r="A41" s="16">
        <v>42921</v>
      </c>
      <c r="B41" t="s">
        <v>271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5">
        <f t="shared" si="2"/>
        <v>31.176929072486359</v>
      </c>
      <c r="K41" s="229">
        <f t="shared" si="4"/>
        <v>701.48090413094314</v>
      </c>
    </row>
    <row r="42" spans="1:15">
      <c r="A42" s="16">
        <v>42922</v>
      </c>
      <c r="B42" t="s">
        <v>271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5">
        <f t="shared" si="2"/>
        <v>50.505050505050498</v>
      </c>
      <c r="K42" s="229">
        <f t="shared" si="4"/>
        <v>1136.3636363636363</v>
      </c>
    </row>
    <row r="43" spans="1:15">
      <c r="A43" s="16">
        <v>42924</v>
      </c>
      <c r="B43" t="s">
        <v>314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5">
        <f t="shared" ref="J43" si="9">(100000*800)/I43</f>
        <v>41.594454072790292</v>
      </c>
      <c r="K43" s="229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9"/>
    </row>
    <row r="45" spans="1:15">
      <c r="A45" s="16"/>
      <c r="K45" s="229"/>
    </row>
    <row r="46" spans="1:15">
      <c r="A46" s="16"/>
      <c r="C46">
        <f>(44*B44)</f>
        <v>160</v>
      </c>
      <c r="K46" s="229"/>
    </row>
    <row r="47" spans="1:15">
      <c r="A47" s="16"/>
      <c r="K47" s="229"/>
    </row>
    <row r="48" spans="1:15">
      <c r="A48" s="16"/>
      <c r="K48" s="229"/>
    </row>
    <row r="49" spans="1:11">
      <c r="A49" s="16"/>
      <c r="K49" s="229"/>
    </row>
    <row r="50" spans="1:11">
      <c r="A50" s="16"/>
      <c r="K50" s="229"/>
    </row>
    <row r="51" spans="1:11">
      <c r="K51" s="229"/>
    </row>
    <row r="52" spans="1:11">
      <c r="K52" s="229"/>
    </row>
    <row r="53" spans="1:11">
      <c r="K53" s="229"/>
    </row>
    <row r="54" spans="1:11">
      <c r="K54" s="229"/>
    </row>
    <row r="55" spans="1:11">
      <c r="K55" s="229"/>
    </row>
    <row r="56" spans="1:11">
      <c r="K56" s="229"/>
    </row>
    <row r="57" spans="1:11" ht="16" thickBot="1">
      <c r="K57" s="2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80</v>
      </c>
      <c r="B1" t="s">
        <v>274</v>
      </c>
    </row>
    <row r="2" spans="1:2">
      <c r="A2" s="256">
        <v>42908</v>
      </c>
      <c r="B2">
        <v>17</v>
      </c>
    </row>
    <row r="3" spans="1:2">
      <c r="A3" s="256">
        <v>42909</v>
      </c>
      <c r="B3">
        <v>17</v>
      </c>
    </row>
    <row r="4" spans="1:2">
      <c r="A4" s="256">
        <v>42910</v>
      </c>
      <c r="B4">
        <v>17.5</v>
      </c>
    </row>
    <row r="5" spans="1:2">
      <c r="A5" s="256">
        <v>42914</v>
      </c>
      <c r="B5">
        <v>16.7</v>
      </c>
    </row>
    <row r="6" spans="1:2">
      <c r="A6" s="256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Collection</vt:lpstr>
      <vt:lpstr>Bucket Counts</vt:lpstr>
      <vt:lpstr>Stocking</vt:lpstr>
      <vt:lpstr>Total Larvae to Date</vt:lpstr>
      <vt:lpstr>Date Chart</vt:lpstr>
      <vt:lpstr>Algae Counts</vt:lpstr>
      <vt:lpstr>Resources</vt:lpstr>
      <vt:lpstr>Larval Trial</vt:lpstr>
      <vt:lpstr>Outside Tank Temps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2017-07-11T01:16:45Z</dcterms:modified>
</cp:coreProperties>
</file>