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500" windowHeight="15200" tabRatio="1000" firstSheet="2" activeTab="12"/>
  </bookViews>
  <sheets>
    <sheet name="Collection" sheetId="1" r:id="rId1"/>
    <sheet name="Bucket Counts" sheetId="2" r:id="rId2"/>
    <sheet name="Total Larvae to Date" sheetId="4" r:id="rId3"/>
    <sheet name="Date Chart" sheetId="5" r:id="rId4"/>
    <sheet name="Algae Counts" sheetId="7" r:id="rId5"/>
    <sheet name="Resources" sheetId="6" r:id="rId6"/>
    <sheet name="Larval Trial" sheetId="10" r:id="rId7"/>
    <sheet name="Outside Tank Temps" sheetId="11" r:id="rId8"/>
    <sheet name="Spawn Plots" sheetId="12" r:id="rId9"/>
    <sheet name="Stocking" sheetId="9" r:id="rId10"/>
    <sheet name="Survival Chart" sheetId="14" r:id="rId11"/>
    <sheet name="Bucket Densities" sheetId="15" r:id="rId12"/>
    <sheet name="9-month Size" sheetId="16" r:id="rId13"/>
  </sheets>
  <definedNames>
    <definedName name="_xlnm._FilterDatabase" localSheetId="0" hidden="1">Collection!$A$1:$U$302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6" l="1"/>
  <c r="E16" i="16"/>
  <c r="E15" i="16"/>
  <c r="E14" i="16"/>
  <c r="E13" i="16"/>
  <c r="E12" i="16"/>
  <c r="E11" i="16"/>
  <c r="E10" i="16"/>
  <c r="E9" i="16"/>
  <c r="E8" i="16"/>
  <c r="E7" i="16"/>
  <c r="E6" i="16"/>
  <c r="D17" i="16"/>
  <c r="D16" i="16"/>
  <c r="D15" i="16"/>
  <c r="D14" i="16"/>
  <c r="D13" i="16"/>
  <c r="D12" i="16"/>
  <c r="D11" i="16"/>
  <c r="D10" i="16"/>
  <c r="D9" i="16"/>
  <c r="D7" i="16"/>
  <c r="D6" i="16"/>
  <c r="E5" i="16"/>
  <c r="D5" i="16"/>
  <c r="E4" i="16"/>
  <c r="D4" i="16"/>
  <c r="E3" i="16"/>
  <c r="D3" i="16"/>
  <c r="E2" i="16"/>
  <c r="D2" i="16"/>
  <c r="C2" i="16"/>
  <c r="C3" i="16"/>
  <c r="C7" i="16"/>
  <c r="C6" i="16"/>
  <c r="C12" i="16"/>
  <c r="G12" i="16"/>
  <c r="H3" i="16"/>
  <c r="H2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G3" i="16"/>
  <c r="C4" i="16"/>
  <c r="G4" i="16"/>
  <c r="C5" i="16"/>
  <c r="G5" i="16"/>
  <c r="G6" i="16"/>
  <c r="G7" i="16"/>
  <c r="C8" i="16"/>
  <c r="G8" i="16"/>
  <c r="C9" i="16"/>
  <c r="G9" i="16"/>
  <c r="C10" i="16"/>
  <c r="G10" i="16"/>
  <c r="C11" i="16"/>
  <c r="G11" i="16"/>
  <c r="C13" i="16"/>
  <c r="G13" i="16"/>
  <c r="C14" i="16"/>
  <c r="G14" i="16"/>
  <c r="C15" i="16"/>
  <c r="G15" i="16"/>
  <c r="C16" i="16"/>
  <c r="G16" i="16"/>
  <c r="C17" i="16"/>
  <c r="G17" i="16"/>
  <c r="G2" i="16"/>
  <c r="D8" i="16"/>
  <c r="AF30" i="16"/>
  <c r="AF61" i="16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V66" i="15"/>
  <c r="AU66" i="15"/>
  <c r="A67" i="15"/>
  <c r="AU67" i="15"/>
  <c r="A68" i="15"/>
  <c r="AU68" i="15"/>
  <c r="A69" i="15"/>
  <c r="AU69" i="15"/>
  <c r="A70" i="15"/>
  <c r="AU70" i="15"/>
  <c r="A71" i="15"/>
  <c r="AU71" i="15"/>
  <c r="A72" i="15"/>
  <c r="AU72" i="15"/>
  <c r="A73" i="15"/>
  <c r="AU73" i="15"/>
  <c r="A74" i="15"/>
  <c r="AU74" i="15"/>
  <c r="A75" i="15"/>
  <c r="AU75" i="15"/>
  <c r="A76" i="15"/>
  <c r="AU76" i="15"/>
  <c r="AW76" i="15"/>
  <c r="AW75" i="15"/>
  <c r="AW74" i="15"/>
  <c r="AW73" i="15"/>
  <c r="AW72" i="15"/>
  <c r="AW71" i="15"/>
  <c r="AW70" i="15"/>
  <c r="AW69" i="15"/>
  <c r="AW68" i="15"/>
  <c r="AW67" i="15"/>
  <c r="AW66" i="15"/>
  <c r="AV63" i="15"/>
  <c r="AU63" i="15"/>
  <c r="AU64" i="15"/>
  <c r="AU65" i="15"/>
  <c r="AW65" i="15"/>
  <c r="AW64" i="15"/>
  <c r="AW63" i="15"/>
  <c r="AV59" i="15"/>
  <c r="AU59" i="15"/>
  <c r="AU60" i="15"/>
  <c r="AU61" i="15"/>
  <c r="AU62" i="15"/>
  <c r="AW62" i="15"/>
  <c r="AW61" i="15"/>
  <c r="AW60" i="15"/>
  <c r="AW59" i="15"/>
  <c r="AV56" i="15"/>
  <c r="AU56" i="15"/>
  <c r="AU57" i="15"/>
  <c r="AU58" i="15"/>
  <c r="AW58" i="15"/>
  <c r="AW57" i="15"/>
  <c r="AW56" i="15"/>
  <c r="AV52" i="15"/>
  <c r="AU52" i="15"/>
  <c r="AU53" i="15"/>
  <c r="AU54" i="15"/>
  <c r="AU55" i="15"/>
  <c r="AW55" i="15"/>
  <c r="AW54" i="15"/>
  <c r="AW53" i="15"/>
  <c r="AW52" i="15"/>
  <c r="AV49" i="15"/>
  <c r="AU49" i="15"/>
  <c r="AU50" i="15"/>
  <c r="AU51" i="15"/>
  <c r="AW51" i="15"/>
  <c r="AW50" i="15"/>
  <c r="AW49" i="15"/>
  <c r="AV45" i="15"/>
  <c r="AU45" i="15"/>
  <c r="AU46" i="15"/>
  <c r="AU47" i="15"/>
  <c r="AU48" i="15"/>
  <c r="AW48" i="15"/>
  <c r="AW47" i="15"/>
  <c r="AW46" i="15"/>
  <c r="AW45" i="15"/>
  <c r="AV42" i="15"/>
  <c r="AU42" i="15"/>
  <c r="AU43" i="15"/>
  <c r="AU44" i="15"/>
  <c r="AW44" i="15"/>
  <c r="AW43" i="15"/>
  <c r="AW42" i="15"/>
  <c r="AV38" i="15"/>
  <c r="AU38" i="15"/>
  <c r="AU39" i="15"/>
  <c r="AU40" i="15"/>
  <c r="AU41" i="15"/>
  <c r="AW41" i="15"/>
  <c r="AW40" i="15"/>
  <c r="AW39" i="15"/>
  <c r="AW38" i="15"/>
  <c r="AV35" i="15"/>
  <c r="AU35" i="15"/>
  <c r="AU36" i="15"/>
  <c r="AU37" i="15"/>
  <c r="AW37" i="15"/>
  <c r="AW36" i="15"/>
  <c r="AW35" i="15"/>
  <c r="AV31" i="15"/>
  <c r="AU31" i="15"/>
  <c r="AU32" i="15"/>
  <c r="AU33" i="15"/>
  <c r="AU34" i="15"/>
  <c r="AW34" i="15"/>
  <c r="AW33" i="15"/>
  <c r="AW32" i="15"/>
  <c r="AW31" i="15"/>
  <c r="AV28" i="15"/>
  <c r="AU28" i="15"/>
  <c r="AU29" i="15"/>
  <c r="AU30" i="15"/>
  <c r="AW30" i="15"/>
  <c r="AW29" i="15"/>
  <c r="AW28" i="15"/>
  <c r="AV25" i="15"/>
  <c r="AU25" i="15"/>
  <c r="AU26" i="15"/>
  <c r="AU27" i="15"/>
  <c r="AW27" i="15"/>
  <c r="AW26" i="15"/>
  <c r="AW25" i="15"/>
  <c r="AV21" i="15"/>
  <c r="AU21" i="15"/>
  <c r="AU22" i="15"/>
  <c r="AU23" i="15"/>
  <c r="AU24" i="15"/>
  <c r="AW24" i="15"/>
  <c r="AW23" i="15"/>
  <c r="AW22" i="15"/>
  <c r="AW21" i="15"/>
  <c r="AV15" i="15"/>
  <c r="AU15" i="15"/>
  <c r="AU16" i="15"/>
  <c r="AU17" i="15"/>
  <c r="AU18" i="15"/>
  <c r="AU19" i="15"/>
  <c r="AU20" i="15"/>
  <c r="AW20" i="15"/>
  <c r="AW19" i="15"/>
  <c r="AW18" i="15"/>
  <c r="AW17" i="15"/>
  <c r="AW16" i="15"/>
  <c r="AW15" i="15"/>
  <c r="AV11" i="15"/>
  <c r="AU11" i="15"/>
  <c r="AU12" i="15"/>
  <c r="AU13" i="15"/>
  <c r="AU14" i="15"/>
  <c r="AW14" i="15"/>
  <c r="AW13" i="15"/>
  <c r="AW12" i="15"/>
  <c r="AW11" i="15"/>
  <c r="AV8" i="15"/>
  <c r="AU8" i="15"/>
  <c r="AU9" i="15"/>
  <c r="AU10" i="15"/>
  <c r="AW10" i="15"/>
  <c r="AW9" i="15"/>
  <c r="AW8" i="15"/>
  <c r="AU4" i="15"/>
  <c r="AU5" i="15"/>
  <c r="AU6" i="15"/>
  <c r="AU7" i="15"/>
  <c r="AW7" i="15"/>
  <c r="AW6" i="15"/>
  <c r="AW5" i="15"/>
  <c r="AW4" i="15"/>
  <c r="AS66" i="15"/>
  <c r="AR66" i="15"/>
  <c r="AR67" i="15"/>
  <c r="AR68" i="15"/>
  <c r="AR69" i="15"/>
  <c r="AR70" i="15"/>
  <c r="AR71" i="15"/>
  <c r="AR72" i="15"/>
  <c r="AR73" i="15"/>
  <c r="AR74" i="15"/>
  <c r="AR75" i="15"/>
  <c r="AR76" i="15"/>
  <c r="AT76" i="15"/>
  <c r="AT75" i="15"/>
  <c r="AT74" i="15"/>
  <c r="AT73" i="15"/>
  <c r="AT72" i="15"/>
  <c r="AT71" i="15"/>
  <c r="AT70" i="15"/>
  <c r="AT69" i="15"/>
  <c r="AT68" i="15"/>
  <c r="AT67" i="15"/>
  <c r="AT66" i="15"/>
  <c r="AS63" i="15"/>
  <c r="AR63" i="15"/>
  <c r="AR64" i="15"/>
  <c r="AR65" i="15"/>
  <c r="AT65" i="15"/>
  <c r="AT64" i="15"/>
  <c r="AT63" i="15"/>
  <c r="AS59" i="15"/>
  <c r="AR59" i="15"/>
  <c r="AR60" i="15"/>
  <c r="AR61" i="15"/>
  <c r="AR62" i="15"/>
  <c r="AT62" i="15"/>
  <c r="AT61" i="15"/>
  <c r="AT60" i="15"/>
  <c r="AT59" i="15"/>
  <c r="AS56" i="15"/>
  <c r="AR56" i="15"/>
  <c r="AR57" i="15"/>
  <c r="AR58" i="15"/>
  <c r="AT58" i="15"/>
  <c r="AT57" i="15"/>
  <c r="AT56" i="15"/>
  <c r="AS52" i="15"/>
  <c r="AR52" i="15"/>
  <c r="AR53" i="15"/>
  <c r="AR54" i="15"/>
  <c r="AR55" i="15"/>
  <c r="AT55" i="15"/>
  <c r="AT54" i="15"/>
  <c r="AT53" i="15"/>
  <c r="AT52" i="15"/>
  <c r="AS49" i="15"/>
  <c r="AR49" i="15"/>
  <c r="AR50" i="15"/>
  <c r="AR51" i="15"/>
  <c r="AT51" i="15"/>
  <c r="AT50" i="15"/>
  <c r="AT49" i="15"/>
  <c r="AS45" i="15"/>
  <c r="AR45" i="15"/>
  <c r="AR46" i="15"/>
  <c r="AR47" i="15"/>
  <c r="AR48" i="15"/>
  <c r="AT48" i="15"/>
  <c r="AT47" i="15"/>
  <c r="AT46" i="15"/>
  <c r="AT45" i="15"/>
  <c r="AS42" i="15"/>
  <c r="AR42" i="15"/>
  <c r="AR43" i="15"/>
  <c r="AR44" i="15"/>
  <c r="AT44" i="15"/>
  <c r="AT43" i="15"/>
  <c r="AT42" i="15"/>
  <c r="AS38" i="15"/>
  <c r="AR38" i="15"/>
  <c r="AR39" i="15"/>
  <c r="AR40" i="15"/>
  <c r="AR41" i="15"/>
  <c r="AT41" i="15"/>
  <c r="AT40" i="15"/>
  <c r="AT39" i="15"/>
  <c r="AT38" i="15"/>
  <c r="AS35" i="15"/>
  <c r="AR35" i="15"/>
  <c r="AR36" i="15"/>
  <c r="AR37" i="15"/>
  <c r="AT37" i="15"/>
  <c r="AT36" i="15"/>
  <c r="AT35" i="15"/>
  <c r="AS31" i="15"/>
  <c r="AR31" i="15"/>
  <c r="AR32" i="15"/>
  <c r="AR33" i="15"/>
  <c r="AR34" i="15"/>
  <c r="AT34" i="15"/>
  <c r="AT33" i="15"/>
  <c r="AT32" i="15"/>
  <c r="AT31" i="15"/>
  <c r="AS28" i="15"/>
  <c r="AR28" i="15"/>
  <c r="AR29" i="15"/>
  <c r="AR30" i="15"/>
  <c r="AT30" i="15"/>
  <c r="AT29" i="15"/>
  <c r="AT28" i="15"/>
  <c r="AS25" i="15"/>
  <c r="AR25" i="15"/>
  <c r="AR26" i="15"/>
  <c r="AR27" i="15"/>
  <c r="AT27" i="15"/>
  <c r="AT26" i="15"/>
  <c r="AT25" i="15"/>
  <c r="AS21" i="15"/>
  <c r="AR21" i="15"/>
  <c r="AR22" i="15"/>
  <c r="AR23" i="15"/>
  <c r="AR24" i="15"/>
  <c r="AT24" i="15"/>
  <c r="AT23" i="15"/>
  <c r="AT22" i="15"/>
  <c r="AT21" i="15"/>
  <c r="AS15" i="15"/>
  <c r="AR15" i="15"/>
  <c r="AR16" i="15"/>
  <c r="AR17" i="15"/>
  <c r="AR18" i="15"/>
  <c r="AR19" i="15"/>
  <c r="AR20" i="15"/>
  <c r="AT20" i="15"/>
  <c r="AT19" i="15"/>
  <c r="AT18" i="15"/>
  <c r="AT17" i="15"/>
  <c r="AT16" i="15"/>
  <c r="AT15" i="15"/>
  <c r="AR4" i="15"/>
  <c r="AR5" i="15"/>
  <c r="AR6" i="15"/>
  <c r="AR7" i="15"/>
  <c r="AR8" i="15"/>
  <c r="AR9" i="15"/>
  <c r="AR10" i="15"/>
  <c r="AR11" i="15"/>
  <c r="AR12" i="15"/>
  <c r="AR13" i="15"/>
  <c r="AR14" i="15"/>
  <c r="AT14" i="15"/>
  <c r="AT13" i="15"/>
  <c r="AT12" i="15"/>
  <c r="AT11" i="15"/>
  <c r="AT10" i="15"/>
  <c r="AT9" i="15"/>
  <c r="AT8" i="15"/>
  <c r="AT7" i="15"/>
  <c r="AT6" i="15"/>
  <c r="AT5" i="15"/>
  <c r="AT4" i="15"/>
  <c r="AP66" i="15"/>
  <c r="AO66" i="15"/>
  <c r="AO67" i="15"/>
  <c r="AO68" i="15"/>
  <c r="AO69" i="15"/>
  <c r="AO70" i="15"/>
  <c r="AO71" i="15"/>
  <c r="AO72" i="15"/>
  <c r="AO73" i="15"/>
  <c r="AO74" i="15"/>
  <c r="AO75" i="15"/>
  <c r="AO76" i="15"/>
  <c r="AQ76" i="15"/>
  <c r="AQ75" i="15"/>
  <c r="AQ74" i="15"/>
  <c r="AQ73" i="15"/>
  <c r="AQ72" i="15"/>
  <c r="AQ71" i="15"/>
  <c r="AQ70" i="15"/>
  <c r="AQ69" i="15"/>
  <c r="AQ68" i="15"/>
  <c r="AQ67" i="15"/>
  <c r="AQ66" i="15"/>
  <c r="AP63" i="15"/>
  <c r="AO63" i="15"/>
  <c r="AO64" i="15"/>
  <c r="AO65" i="15"/>
  <c r="AQ65" i="15"/>
  <c r="AQ64" i="15"/>
  <c r="AQ63" i="15"/>
  <c r="AP59" i="15"/>
  <c r="AO59" i="15"/>
  <c r="AO60" i="15"/>
  <c r="AO61" i="15"/>
  <c r="AO62" i="15"/>
  <c r="AQ62" i="15"/>
  <c r="AQ61" i="15"/>
  <c r="AQ60" i="15"/>
  <c r="AQ59" i="15"/>
  <c r="AP56" i="15"/>
  <c r="AO56" i="15"/>
  <c r="AO57" i="15"/>
  <c r="AO58" i="15"/>
  <c r="AQ58" i="15"/>
  <c r="AQ57" i="15"/>
  <c r="AQ56" i="15"/>
  <c r="AP52" i="15"/>
  <c r="AO52" i="15"/>
  <c r="AO53" i="15"/>
  <c r="AO54" i="15"/>
  <c r="AO55" i="15"/>
  <c r="AQ55" i="15"/>
  <c r="AQ54" i="15"/>
  <c r="AQ53" i="15"/>
  <c r="AQ52" i="15"/>
  <c r="AP49" i="15"/>
  <c r="AO49" i="15"/>
  <c r="AO50" i="15"/>
  <c r="AO51" i="15"/>
  <c r="AQ51" i="15"/>
  <c r="AQ50" i="15"/>
  <c r="AQ49" i="15"/>
  <c r="AP45" i="15"/>
  <c r="AO45" i="15"/>
  <c r="AO46" i="15"/>
  <c r="AO47" i="15"/>
  <c r="AO48" i="15"/>
  <c r="AQ48" i="15"/>
  <c r="AQ47" i="15"/>
  <c r="AQ46" i="15"/>
  <c r="AQ45" i="15"/>
  <c r="AP42" i="15"/>
  <c r="AO42" i="15"/>
  <c r="AO43" i="15"/>
  <c r="AO44" i="15"/>
  <c r="AQ44" i="15"/>
  <c r="AQ43" i="15"/>
  <c r="AQ42" i="15"/>
  <c r="AP38" i="15"/>
  <c r="AO38" i="15"/>
  <c r="AO39" i="15"/>
  <c r="AO40" i="15"/>
  <c r="AO41" i="15"/>
  <c r="AQ41" i="15"/>
  <c r="AQ40" i="15"/>
  <c r="AQ39" i="15"/>
  <c r="AQ38" i="15"/>
  <c r="AP35" i="15"/>
  <c r="AO35" i="15"/>
  <c r="AO36" i="15"/>
  <c r="AO37" i="15"/>
  <c r="AQ37" i="15"/>
  <c r="AQ36" i="15"/>
  <c r="AQ35" i="15"/>
  <c r="AP31" i="15"/>
  <c r="AO31" i="15"/>
  <c r="AO32" i="15"/>
  <c r="AO33" i="15"/>
  <c r="AO34" i="15"/>
  <c r="AQ34" i="15"/>
  <c r="AQ33" i="15"/>
  <c r="AQ32" i="15"/>
  <c r="AQ31" i="15"/>
  <c r="AP28" i="15"/>
  <c r="AO28" i="15"/>
  <c r="AO29" i="15"/>
  <c r="AO30" i="15"/>
  <c r="AQ30" i="15"/>
  <c r="AQ29" i="15"/>
  <c r="AQ28" i="15"/>
  <c r="AP25" i="15"/>
  <c r="AO25" i="15"/>
  <c r="AO26" i="15"/>
  <c r="AO27" i="15"/>
  <c r="AQ27" i="15"/>
  <c r="AQ26" i="15"/>
  <c r="AQ25" i="15"/>
  <c r="AP21" i="15"/>
  <c r="AO21" i="15"/>
  <c r="AO22" i="15"/>
  <c r="AO23" i="15"/>
  <c r="AO24" i="15"/>
  <c r="AQ24" i="15"/>
  <c r="AQ23" i="15"/>
  <c r="AQ22" i="15"/>
  <c r="AQ21" i="15"/>
  <c r="AP15" i="15"/>
  <c r="AO15" i="15"/>
  <c r="AO16" i="15"/>
  <c r="AO17" i="15"/>
  <c r="AO18" i="15"/>
  <c r="AO19" i="15"/>
  <c r="AO20" i="15"/>
  <c r="AQ20" i="15"/>
  <c r="AQ19" i="15"/>
  <c r="AQ18" i="15"/>
  <c r="AQ17" i="15"/>
  <c r="AQ16" i="15"/>
  <c r="AQ15" i="15"/>
  <c r="AO4" i="15"/>
  <c r="AO5" i="15"/>
  <c r="AO6" i="15"/>
  <c r="AO7" i="15"/>
  <c r="AO8" i="15"/>
  <c r="AO9" i="15"/>
  <c r="AO10" i="15"/>
  <c r="AO11" i="15"/>
  <c r="AO12" i="15"/>
  <c r="AO13" i="15"/>
  <c r="AO14" i="15"/>
  <c r="AQ14" i="15"/>
  <c r="AQ13" i="15"/>
  <c r="AQ12" i="15"/>
  <c r="AQ11" i="15"/>
  <c r="AQ10" i="15"/>
  <c r="AQ9" i="15"/>
  <c r="AQ8" i="15"/>
  <c r="AQ7" i="15"/>
  <c r="AQ6" i="15"/>
  <c r="AQ5" i="15"/>
  <c r="AQ4" i="15"/>
  <c r="AL4" i="15"/>
  <c r="AL5" i="15"/>
  <c r="AL6" i="15"/>
  <c r="AL7" i="15"/>
  <c r="AL8" i="15"/>
  <c r="AL9" i="15"/>
  <c r="AL10" i="15"/>
  <c r="AL11" i="15"/>
  <c r="AL12" i="15"/>
  <c r="AL13" i="15"/>
  <c r="AL14" i="15"/>
  <c r="AN14" i="15"/>
  <c r="AM66" i="15"/>
  <c r="AL66" i="15"/>
  <c r="AL67" i="15"/>
  <c r="AL68" i="15"/>
  <c r="AL69" i="15"/>
  <c r="AL70" i="15"/>
  <c r="AL71" i="15"/>
  <c r="AL72" i="15"/>
  <c r="AL73" i="15"/>
  <c r="AL74" i="15"/>
  <c r="AL75" i="15"/>
  <c r="AL76" i="15"/>
  <c r="AN76" i="15"/>
  <c r="AN75" i="15"/>
  <c r="AN74" i="15"/>
  <c r="AN73" i="15"/>
  <c r="AN72" i="15"/>
  <c r="AN71" i="15"/>
  <c r="AN70" i="15"/>
  <c r="AN69" i="15"/>
  <c r="AN68" i="15"/>
  <c r="AN67" i="15"/>
  <c r="AN66" i="15"/>
  <c r="AM63" i="15"/>
  <c r="AL63" i="15"/>
  <c r="AL64" i="15"/>
  <c r="AL65" i="15"/>
  <c r="AN65" i="15"/>
  <c r="AN64" i="15"/>
  <c r="AN63" i="15"/>
  <c r="AM59" i="15"/>
  <c r="AL59" i="15"/>
  <c r="AL60" i="15"/>
  <c r="AL61" i="15"/>
  <c r="AL62" i="15"/>
  <c r="AN62" i="15"/>
  <c r="AN61" i="15"/>
  <c r="AN60" i="15"/>
  <c r="AN59" i="15"/>
  <c r="AM56" i="15"/>
  <c r="AL56" i="15"/>
  <c r="AL57" i="15"/>
  <c r="AL58" i="15"/>
  <c r="AN58" i="15"/>
  <c r="AN57" i="15"/>
  <c r="AN56" i="15"/>
  <c r="AM52" i="15"/>
  <c r="AL52" i="15"/>
  <c r="AL53" i="15"/>
  <c r="AL54" i="15"/>
  <c r="AL55" i="15"/>
  <c r="AN55" i="15"/>
  <c r="AN54" i="15"/>
  <c r="AN53" i="15"/>
  <c r="AN52" i="15"/>
  <c r="AM49" i="15"/>
  <c r="AL49" i="15"/>
  <c r="AL50" i="15"/>
  <c r="AL51" i="15"/>
  <c r="AN51" i="15"/>
  <c r="AN50" i="15"/>
  <c r="AN49" i="15"/>
  <c r="AM45" i="15"/>
  <c r="AL45" i="15"/>
  <c r="AL46" i="15"/>
  <c r="AL47" i="15"/>
  <c r="AL48" i="15"/>
  <c r="AN48" i="15"/>
  <c r="AN47" i="15"/>
  <c r="AN46" i="15"/>
  <c r="AN45" i="15"/>
  <c r="AM42" i="15"/>
  <c r="AL42" i="15"/>
  <c r="AL43" i="15"/>
  <c r="AL44" i="15"/>
  <c r="AN44" i="15"/>
  <c r="AN43" i="15"/>
  <c r="AN42" i="15"/>
  <c r="AM38" i="15"/>
  <c r="AL38" i="15"/>
  <c r="AL39" i="15"/>
  <c r="AL40" i="15"/>
  <c r="AL41" i="15"/>
  <c r="AN41" i="15"/>
  <c r="AN40" i="15"/>
  <c r="AN39" i="15"/>
  <c r="AN38" i="15"/>
  <c r="AM35" i="15"/>
  <c r="AL35" i="15"/>
  <c r="AL36" i="15"/>
  <c r="AL37" i="15"/>
  <c r="AN37" i="15"/>
  <c r="AN36" i="15"/>
  <c r="AN35" i="15"/>
  <c r="AM31" i="15"/>
  <c r="AL31" i="15"/>
  <c r="AL32" i="15"/>
  <c r="AL33" i="15"/>
  <c r="AL34" i="15"/>
  <c r="AN34" i="15"/>
  <c r="AN33" i="15"/>
  <c r="AN32" i="15"/>
  <c r="AN31" i="15"/>
  <c r="AM28" i="15"/>
  <c r="AL28" i="15"/>
  <c r="AL29" i="15"/>
  <c r="AL30" i="15"/>
  <c r="AN30" i="15"/>
  <c r="AN29" i="15"/>
  <c r="AN28" i="15"/>
  <c r="AM25" i="15"/>
  <c r="AL25" i="15"/>
  <c r="AL26" i="15"/>
  <c r="AL27" i="15"/>
  <c r="AN27" i="15"/>
  <c r="AN26" i="15"/>
  <c r="AN25" i="15"/>
  <c r="AM21" i="15"/>
  <c r="AL21" i="15"/>
  <c r="AL22" i="15"/>
  <c r="AL23" i="15"/>
  <c r="AL24" i="15"/>
  <c r="AN24" i="15"/>
  <c r="AN23" i="15"/>
  <c r="AN22" i="15"/>
  <c r="AN21" i="15"/>
  <c r="AM15" i="15"/>
  <c r="AL15" i="15"/>
  <c r="AL16" i="15"/>
  <c r="AL17" i="15"/>
  <c r="AL18" i="15"/>
  <c r="AL19" i="15"/>
  <c r="AL20" i="15"/>
  <c r="AN20" i="15"/>
  <c r="AN19" i="15"/>
  <c r="AN18" i="15"/>
  <c r="AN17" i="15"/>
  <c r="AN16" i="15"/>
  <c r="AN15" i="15"/>
  <c r="AN13" i="15"/>
  <c r="AN12" i="15"/>
  <c r="AN11" i="15"/>
  <c r="AN10" i="15"/>
  <c r="AN9" i="15"/>
  <c r="AN8" i="15"/>
  <c r="AN7" i="15"/>
  <c r="AN6" i="15"/>
  <c r="AN5" i="15"/>
  <c r="AN4" i="15"/>
  <c r="AJ25" i="15"/>
  <c r="AI25" i="15"/>
  <c r="AK25" i="15"/>
  <c r="AJ66" i="15"/>
  <c r="AI66" i="15"/>
  <c r="AI67" i="15"/>
  <c r="AI68" i="15"/>
  <c r="AI69" i="15"/>
  <c r="AI70" i="15"/>
  <c r="AI71" i="15"/>
  <c r="AI72" i="15"/>
  <c r="AI73" i="15"/>
  <c r="AI74" i="15"/>
  <c r="AI75" i="15"/>
  <c r="AI76" i="15"/>
  <c r="AK76" i="15"/>
  <c r="AK75" i="15"/>
  <c r="AK74" i="15"/>
  <c r="AK73" i="15"/>
  <c r="AK72" i="15"/>
  <c r="AK71" i="15"/>
  <c r="AK70" i="15"/>
  <c r="AK69" i="15"/>
  <c r="AK68" i="15"/>
  <c r="AK67" i="15"/>
  <c r="AK66" i="15"/>
  <c r="AJ63" i="15"/>
  <c r="AI63" i="15"/>
  <c r="AI64" i="15"/>
  <c r="AI65" i="15"/>
  <c r="AK65" i="15"/>
  <c r="AK64" i="15"/>
  <c r="AK63" i="15"/>
  <c r="AJ59" i="15"/>
  <c r="AI59" i="15"/>
  <c r="AI60" i="15"/>
  <c r="AI61" i="15"/>
  <c r="AI62" i="15"/>
  <c r="AK62" i="15"/>
  <c r="AK61" i="15"/>
  <c r="AK60" i="15"/>
  <c r="AK59" i="15"/>
  <c r="AJ56" i="15"/>
  <c r="AI56" i="15"/>
  <c r="AI57" i="15"/>
  <c r="AI58" i="15"/>
  <c r="AK58" i="15"/>
  <c r="AK57" i="15"/>
  <c r="AK56" i="15"/>
  <c r="AJ52" i="15"/>
  <c r="AI52" i="15"/>
  <c r="AI53" i="15"/>
  <c r="AI54" i="15"/>
  <c r="AI55" i="15"/>
  <c r="AK55" i="15"/>
  <c r="AK54" i="15"/>
  <c r="AK53" i="15"/>
  <c r="AK52" i="15"/>
  <c r="AJ49" i="15"/>
  <c r="AI49" i="15"/>
  <c r="AI50" i="15"/>
  <c r="AI51" i="15"/>
  <c r="AK51" i="15"/>
  <c r="AK50" i="15"/>
  <c r="AK49" i="15"/>
  <c r="AJ45" i="15"/>
  <c r="AI45" i="15"/>
  <c r="AI46" i="15"/>
  <c r="AI47" i="15"/>
  <c r="AI48" i="15"/>
  <c r="AK48" i="15"/>
  <c r="AK47" i="15"/>
  <c r="AK46" i="15"/>
  <c r="AK45" i="15"/>
  <c r="AJ42" i="15"/>
  <c r="AI42" i="15"/>
  <c r="AI43" i="15"/>
  <c r="AI44" i="15"/>
  <c r="AK44" i="15"/>
  <c r="AK43" i="15"/>
  <c r="AK42" i="15"/>
  <c r="AJ38" i="15"/>
  <c r="AI38" i="15"/>
  <c r="AI39" i="15"/>
  <c r="AI40" i="15"/>
  <c r="AI41" i="15"/>
  <c r="AK41" i="15"/>
  <c r="AK40" i="15"/>
  <c r="AK39" i="15"/>
  <c r="AK38" i="15"/>
  <c r="AJ35" i="15"/>
  <c r="AI35" i="15"/>
  <c r="AI36" i="15"/>
  <c r="AI37" i="15"/>
  <c r="AK37" i="15"/>
  <c r="AK36" i="15"/>
  <c r="AK35" i="15"/>
  <c r="AJ31" i="15"/>
  <c r="AI31" i="15"/>
  <c r="AI32" i="15"/>
  <c r="AI33" i="15"/>
  <c r="AI34" i="15"/>
  <c r="AK34" i="15"/>
  <c r="AK33" i="15"/>
  <c r="AK32" i="15"/>
  <c r="AK31" i="15"/>
  <c r="AJ28" i="15"/>
  <c r="AI28" i="15"/>
  <c r="AI29" i="15"/>
  <c r="AI30" i="15"/>
  <c r="AK30" i="15"/>
  <c r="AK29" i="15"/>
  <c r="AK28" i="15"/>
  <c r="AI26" i="15"/>
  <c r="AI27" i="15"/>
  <c r="AK27" i="15"/>
  <c r="AK26" i="15"/>
  <c r="AJ21" i="15"/>
  <c r="AI21" i="15"/>
  <c r="AI22" i="15"/>
  <c r="AI23" i="15"/>
  <c r="AI24" i="15"/>
  <c r="AK24" i="15"/>
  <c r="AK23" i="15"/>
  <c r="AK22" i="15"/>
  <c r="AK21" i="15"/>
  <c r="AJ15" i="15"/>
  <c r="AI15" i="15"/>
  <c r="AI16" i="15"/>
  <c r="AI17" i="15"/>
  <c r="AI18" i="15"/>
  <c r="AI19" i="15"/>
  <c r="AI20" i="15"/>
  <c r="AK20" i="15"/>
  <c r="AK19" i="15"/>
  <c r="AK18" i="15"/>
  <c r="AK17" i="15"/>
  <c r="AK16" i="15"/>
  <c r="AK15" i="15"/>
  <c r="AI4" i="15"/>
  <c r="AI5" i="15"/>
  <c r="AI6" i="15"/>
  <c r="AI7" i="15"/>
  <c r="AI8" i="15"/>
  <c r="AI9" i="15"/>
  <c r="AI10" i="15"/>
  <c r="AI11" i="15"/>
  <c r="AI12" i="15"/>
  <c r="AI13" i="15"/>
  <c r="AI14" i="15"/>
  <c r="AK14" i="15"/>
  <c r="AK13" i="15"/>
  <c r="AK12" i="15"/>
  <c r="AK11" i="15"/>
  <c r="AK10" i="15"/>
  <c r="AK9" i="15"/>
  <c r="AK8" i="15"/>
  <c r="AK7" i="15"/>
  <c r="AK6" i="15"/>
  <c r="AK5" i="15"/>
  <c r="AK4" i="15"/>
  <c r="AG66" i="15"/>
  <c r="AF66" i="15"/>
  <c r="AF67" i="15"/>
  <c r="AF68" i="15"/>
  <c r="AF69" i="15"/>
  <c r="AF70" i="15"/>
  <c r="AF71" i="15"/>
  <c r="AF72" i="15"/>
  <c r="AF73" i="15"/>
  <c r="AF74" i="15"/>
  <c r="AF75" i="15"/>
  <c r="AF76" i="15"/>
  <c r="AH76" i="15"/>
  <c r="AH75" i="15"/>
  <c r="AH74" i="15"/>
  <c r="AH73" i="15"/>
  <c r="AH72" i="15"/>
  <c r="AH71" i="15"/>
  <c r="AH70" i="15"/>
  <c r="AH69" i="15"/>
  <c r="AH68" i="15"/>
  <c r="AH67" i="15"/>
  <c r="AH66" i="15"/>
  <c r="AG63" i="15"/>
  <c r="AF63" i="15"/>
  <c r="AF64" i="15"/>
  <c r="AF65" i="15"/>
  <c r="AH65" i="15"/>
  <c r="AH64" i="15"/>
  <c r="AH63" i="15"/>
  <c r="AG59" i="15"/>
  <c r="AF59" i="15"/>
  <c r="AF60" i="15"/>
  <c r="AF61" i="15"/>
  <c r="AF62" i="15"/>
  <c r="AH62" i="15"/>
  <c r="AH61" i="15"/>
  <c r="AH60" i="15"/>
  <c r="AH59" i="15"/>
  <c r="AG56" i="15"/>
  <c r="AF56" i="15"/>
  <c r="AF57" i="15"/>
  <c r="AF58" i="15"/>
  <c r="AH58" i="15"/>
  <c r="AH57" i="15"/>
  <c r="AH56" i="15"/>
  <c r="AG52" i="15"/>
  <c r="AF52" i="15"/>
  <c r="AF53" i="15"/>
  <c r="AF54" i="15"/>
  <c r="AF55" i="15"/>
  <c r="AH55" i="15"/>
  <c r="AH54" i="15"/>
  <c r="AH53" i="15"/>
  <c r="AH52" i="15"/>
  <c r="AG49" i="15"/>
  <c r="AF49" i="15"/>
  <c r="AF50" i="15"/>
  <c r="AF51" i="15"/>
  <c r="AH51" i="15"/>
  <c r="AH50" i="15"/>
  <c r="AH49" i="15"/>
  <c r="AG45" i="15"/>
  <c r="AF45" i="15"/>
  <c r="AF46" i="15"/>
  <c r="AF47" i="15"/>
  <c r="AF48" i="15"/>
  <c r="AH48" i="15"/>
  <c r="AH47" i="15"/>
  <c r="AH46" i="15"/>
  <c r="AH45" i="15"/>
  <c r="AG42" i="15"/>
  <c r="AF42" i="15"/>
  <c r="AF43" i="15"/>
  <c r="AF44" i="15"/>
  <c r="AH44" i="15"/>
  <c r="AH43" i="15"/>
  <c r="AH42" i="15"/>
  <c r="AG38" i="15"/>
  <c r="AF38" i="15"/>
  <c r="AF39" i="15"/>
  <c r="AF40" i="15"/>
  <c r="AF41" i="15"/>
  <c r="AH41" i="15"/>
  <c r="AH40" i="15"/>
  <c r="AH39" i="15"/>
  <c r="AH38" i="15"/>
  <c r="AG35" i="15"/>
  <c r="AF35" i="15"/>
  <c r="AF36" i="15"/>
  <c r="AF37" i="15"/>
  <c r="AH37" i="15"/>
  <c r="AH36" i="15"/>
  <c r="AH35" i="15"/>
  <c r="AG31" i="15"/>
  <c r="AF31" i="15"/>
  <c r="AF32" i="15"/>
  <c r="AF33" i="15"/>
  <c r="AF34" i="15"/>
  <c r="AH34" i="15"/>
  <c r="AH33" i="15"/>
  <c r="AH32" i="15"/>
  <c r="AH31" i="15"/>
  <c r="AG28" i="15"/>
  <c r="AF28" i="15"/>
  <c r="AF29" i="15"/>
  <c r="AF30" i="15"/>
  <c r="AH30" i="15"/>
  <c r="AH29" i="15"/>
  <c r="AH28" i="15"/>
  <c r="AG25" i="15"/>
  <c r="AF25" i="15"/>
  <c r="AF26" i="15"/>
  <c r="AF27" i="15"/>
  <c r="AH27" i="15"/>
  <c r="AH26" i="15"/>
  <c r="AH25" i="15"/>
  <c r="AG21" i="15"/>
  <c r="AF21" i="15"/>
  <c r="AF22" i="15"/>
  <c r="AF23" i="15"/>
  <c r="AF24" i="15"/>
  <c r="AH24" i="15"/>
  <c r="AH23" i="15"/>
  <c r="AH22" i="15"/>
  <c r="AH21" i="15"/>
  <c r="AG15" i="15"/>
  <c r="AF15" i="15"/>
  <c r="AF16" i="15"/>
  <c r="AF17" i="15"/>
  <c r="AF18" i="15"/>
  <c r="AF19" i="15"/>
  <c r="AF20" i="15"/>
  <c r="AH20" i="15"/>
  <c r="AH19" i="15"/>
  <c r="AH18" i="15"/>
  <c r="AH17" i="15"/>
  <c r="AH16" i="15"/>
  <c r="AH15" i="15"/>
  <c r="AF4" i="15"/>
  <c r="AF5" i="15"/>
  <c r="AF6" i="15"/>
  <c r="AF7" i="15"/>
  <c r="AF8" i="15"/>
  <c r="AF9" i="15"/>
  <c r="AF10" i="15"/>
  <c r="AF11" i="15"/>
  <c r="AF12" i="15"/>
  <c r="AF13" i="15"/>
  <c r="AF14" i="15"/>
  <c r="AH14" i="15"/>
  <c r="AH13" i="15"/>
  <c r="AH12" i="15"/>
  <c r="AH11" i="15"/>
  <c r="AH10" i="15"/>
  <c r="AH9" i="15"/>
  <c r="AH8" i="15"/>
  <c r="AH7" i="15"/>
  <c r="AH6" i="15"/>
  <c r="AH5" i="15"/>
  <c r="AH4" i="15"/>
  <c r="AD66" i="15"/>
  <c r="AC66" i="15"/>
  <c r="AC67" i="15"/>
  <c r="AC68" i="15"/>
  <c r="AC69" i="15"/>
  <c r="AC70" i="15"/>
  <c r="AC71" i="15"/>
  <c r="AC72" i="15"/>
  <c r="AC73" i="15"/>
  <c r="AC74" i="15"/>
  <c r="AC75" i="15"/>
  <c r="AC76" i="15"/>
  <c r="AE76" i="15"/>
  <c r="AE75" i="15"/>
  <c r="AE74" i="15"/>
  <c r="AE73" i="15"/>
  <c r="AE72" i="15"/>
  <c r="AE71" i="15"/>
  <c r="AE70" i="15"/>
  <c r="AE69" i="15"/>
  <c r="AE68" i="15"/>
  <c r="AE67" i="15"/>
  <c r="AE66" i="15"/>
  <c r="AD63" i="15"/>
  <c r="AC63" i="15"/>
  <c r="AC64" i="15"/>
  <c r="AC65" i="15"/>
  <c r="AE65" i="15"/>
  <c r="AE64" i="15"/>
  <c r="AE63" i="15"/>
  <c r="AD59" i="15"/>
  <c r="AC59" i="15"/>
  <c r="AC60" i="15"/>
  <c r="AC61" i="15"/>
  <c r="AC62" i="15"/>
  <c r="AE62" i="15"/>
  <c r="AE61" i="15"/>
  <c r="AE60" i="15"/>
  <c r="AE59" i="15"/>
  <c r="AD56" i="15"/>
  <c r="AC56" i="15"/>
  <c r="AC57" i="15"/>
  <c r="AC58" i="15"/>
  <c r="AE58" i="15"/>
  <c r="AE57" i="15"/>
  <c r="AE56" i="15"/>
  <c r="AD52" i="15"/>
  <c r="AC52" i="15"/>
  <c r="AC53" i="15"/>
  <c r="AC54" i="15"/>
  <c r="AC55" i="15"/>
  <c r="AE55" i="15"/>
  <c r="AE54" i="15"/>
  <c r="AE53" i="15"/>
  <c r="AE52" i="15"/>
  <c r="AD49" i="15"/>
  <c r="AC49" i="15"/>
  <c r="AC50" i="15"/>
  <c r="AC51" i="15"/>
  <c r="AE51" i="15"/>
  <c r="AE50" i="15"/>
  <c r="AE49" i="15"/>
  <c r="AD45" i="15"/>
  <c r="AC45" i="15"/>
  <c r="AC46" i="15"/>
  <c r="AC47" i="15"/>
  <c r="AC48" i="15"/>
  <c r="AE48" i="15"/>
  <c r="AE47" i="15"/>
  <c r="AE46" i="15"/>
  <c r="AE45" i="15"/>
  <c r="AD42" i="15"/>
  <c r="AC42" i="15"/>
  <c r="AC43" i="15"/>
  <c r="AC44" i="15"/>
  <c r="AE44" i="15"/>
  <c r="AE43" i="15"/>
  <c r="AE42" i="15"/>
  <c r="AD38" i="15"/>
  <c r="AC38" i="15"/>
  <c r="AC39" i="15"/>
  <c r="AC40" i="15"/>
  <c r="AC41" i="15"/>
  <c r="AE41" i="15"/>
  <c r="AE40" i="15"/>
  <c r="AE39" i="15"/>
  <c r="AE38" i="15"/>
  <c r="AD35" i="15"/>
  <c r="AC35" i="15"/>
  <c r="AC36" i="15"/>
  <c r="AC37" i="15"/>
  <c r="AE37" i="15"/>
  <c r="AE36" i="15"/>
  <c r="AE35" i="15"/>
  <c r="AD31" i="15"/>
  <c r="AC31" i="15"/>
  <c r="AC32" i="15"/>
  <c r="AC33" i="15"/>
  <c r="AC34" i="15"/>
  <c r="AE34" i="15"/>
  <c r="AE33" i="15"/>
  <c r="AE32" i="15"/>
  <c r="AE31" i="15"/>
  <c r="AD28" i="15"/>
  <c r="AC28" i="15"/>
  <c r="AC29" i="15"/>
  <c r="AC30" i="15"/>
  <c r="AE30" i="15"/>
  <c r="AE29" i="15"/>
  <c r="AE28" i="15"/>
  <c r="AD25" i="15"/>
  <c r="AC25" i="15"/>
  <c r="AC26" i="15"/>
  <c r="AC27" i="15"/>
  <c r="AE27" i="15"/>
  <c r="AE26" i="15"/>
  <c r="AE25" i="15"/>
  <c r="AD21" i="15"/>
  <c r="AC21" i="15"/>
  <c r="AC22" i="15"/>
  <c r="AC23" i="15"/>
  <c r="AC24" i="15"/>
  <c r="AE24" i="15"/>
  <c r="AE23" i="15"/>
  <c r="AE22" i="15"/>
  <c r="AE21" i="15"/>
  <c r="AD15" i="15"/>
  <c r="AC15" i="15"/>
  <c r="AC16" i="15"/>
  <c r="AC17" i="15"/>
  <c r="AC18" i="15"/>
  <c r="AC19" i="15"/>
  <c r="AC20" i="15"/>
  <c r="AE20" i="15"/>
  <c r="AE19" i="15"/>
  <c r="AE18" i="15"/>
  <c r="AE17" i="15"/>
  <c r="AE16" i="15"/>
  <c r="AE15" i="15"/>
  <c r="AC4" i="15"/>
  <c r="AC5" i="15"/>
  <c r="AC6" i="15"/>
  <c r="AC7" i="15"/>
  <c r="AC8" i="15"/>
  <c r="AC9" i="15"/>
  <c r="AC10" i="15"/>
  <c r="AC11" i="15"/>
  <c r="AC12" i="15"/>
  <c r="AC13" i="15"/>
  <c r="AC14" i="15"/>
  <c r="AE14" i="15"/>
  <c r="AE13" i="15"/>
  <c r="AE12" i="15"/>
  <c r="AE11" i="15"/>
  <c r="AE10" i="15"/>
  <c r="AE9" i="15"/>
  <c r="AE8" i="15"/>
  <c r="AE7" i="15"/>
  <c r="AE6" i="15"/>
  <c r="AE5" i="15"/>
  <c r="AE4" i="15"/>
  <c r="AA66" i="15"/>
  <c r="Z66" i="15"/>
  <c r="Z67" i="15"/>
  <c r="Z68" i="15"/>
  <c r="Z69" i="15"/>
  <c r="Z70" i="15"/>
  <c r="Z71" i="15"/>
  <c r="Z72" i="15"/>
  <c r="Z73" i="15"/>
  <c r="Z74" i="15"/>
  <c r="Z75" i="15"/>
  <c r="Z76" i="15"/>
  <c r="AB76" i="15"/>
  <c r="AB75" i="15"/>
  <c r="AB74" i="15"/>
  <c r="AB73" i="15"/>
  <c r="AB72" i="15"/>
  <c r="AB71" i="15"/>
  <c r="AB70" i="15"/>
  <c r="AB69" i="15"/>
  <c r="AB68" i="15"/>
  <c r="AB67" i="15"/>
  <c r="AB66" i="15"/>
  <c r="AA63" i="15"/>
  <c r="Z63" i="15"/>
  <c r="Z64" i="15"/>
  <c r="Z65" i="15"/>
  <c r="AB65" i="15"/>
  <c r="AB64" i="15"/>
  <c r="AB63" i="15"/>
  <c r="AA59" i="15"/>
  <c r="Z59" i="15"/>
  <c r="Z60" i="15"/>
  <c r="Z61" i="15"/>
  <c r="Z62" i="15"/>
  <c r="AB62" i="15"/>
  <c r="AB61" i="15"/>
  <c r="AB60" i="15"/>
  <c r="AB59" i="15"/>
  <c r="AA56" i="15"/>
  <c r="Z56" i="15"/>
  <c r="Z57" i="15"/>
  <c r="Z58" i="15"/>
  <c r="AB58" i="15"/>
  <c r="AB57" i="15"/>
  <c r="AB56" i="15"/>
  <c r="AA52" i="15"/>
  <c r="Z52" i="15"/>
  <c r="Z53" i="15"/>
  <c r="Z54" i="15"/>
  <c r="Z55" i="15"/>
  <c r="AB55" i="15"/>
  <c r="AB54" i="15"/>
  <c r="AB53" i="15"/>
  <c r="AB52" i="15"/>
  <c r="AA49" i="15"/>
  <c r="Z49" i="15"/>
  <c r="Z50" i="15"/>
  <c r="Z51" i="15"/>
  <c r="AB51" i="15"/>
  <c r="AB50" i="15"/>
  <c r="AB49" i="15"/>
  <c r="AA45" i="15"/>
  <c r="Z45" i="15"/>
  <c r="Z46" i="15"/>
  <c r="Z47" i="15"/>
  <c r="Z48" i="15"/>
  <c r="AB48" i="15"/>
  <c r="AB47" i="15"/>
  <c r="AB46" i="15"/>
  <c r="AB45" i="15"/>
  <c r="AA42" i="15"/>
  <c r="Z42" i="15"/>
  <c r="Z43" i="15"/>
  <c r="Z44" i="15"/>
  <c r="AB44" i="15"/>
  <c r="AB43" i="15"/>
  <c r="AB42" i="15"/>
  <c r="AA38" i="15"/>
  <c r="Z38" i="15"/>
  <c r="Z39" i="15"/>
  <c r="Z40" i="15"/>
  <c r="Z41" i="15"/>
  <c r="AB41" i="15"/>
  <c r="AB40" i="15"/>
  <c r="AB39" i="15"/>
  <c r="AB38" i="15"/>
  <c r="AA35" i="15"/>
  <c r="Z35" i="15"/>
  <c r="Z36" i="15"/>
  <c r="Z37" i="15"/>
  <c r="AB37" i="15"/>
  <c r="AB36" i="15"/>
  <c r="AB35" i="15"/>
  <c r="AA31" i="15"/>
  <c r="Z31" i="15"/>
  <c r="Z32" i="15"/>
  <c r="Z33" i="15"/>
  <c r="Z34" i="15"/>
  <c r="AB34" i="15"/>
  <c r="AB33" i="15"/>
  <c r="AB32" i="15"/>
  <c r="AB31" i="15"/>
  <c r="AA28" i="15"/>
  <c r="Z28" i="15"/>
  <c r="Z29" i="15"/>
  <c r="Z30" i="15"/>
  <c r="AB30" i="15"/>
  <c r="AB29" i="15"/>
  <c r="AB28" i="15"/>
  <c r="AA25" i="15"/>
  <c r="Z25" i="15"/>
  <c r="Z26" i="15"/>
  <c r="Z27" i="15"/>
  <c r="AB27" i="15"/>
  <c r="AB26" i="15"/>
  <c r="AB25" i="15"/>
  <c r="AA21" i="15"/>
  <c r="Z21" i="15"/>
  <c r="Z22" i="15"/>
  <c r="Z23" i="15"/>
  <c r="Z24" i="15"/>
  <c r="AB24" i="15"/>
  <c r="AB23" i="15"/>
  <c r="AB22" i="15"/>
  <c r="AB21" i="15"/>
  <c r="AA15" i="15"/>
  <c r="Z15" i="15"/>
  <c r="Z16" i="15"/>
  <c r="Z17" i="15"/>
  <c r="Z18" i="15"/>
  <c r="Z19" i="15"/>
  <c r="Z20" i="15"/>
  <c r="AB20" i="15"/>
  <c r="AB19" i="15"/>
  <c r="AB18" i="15"/>
  <c r="AB17" i="15"/>
  <c r="AB16" i="15"/>
  <c r="AB15" i="15"/>
  <c r="Z4" i="15"/>
  <c r="Z5" i="15"/>
  <c r="Z6" i="15"/>
  <c r="Z7" i="15"/>
  <c r="Z8" i="15"/>
  <c r="Z9" i="15"/>
  <c r="Z10" i="15"/>
  <c r="Z11" i="15"/>
  <c r="Z12" i="15"/>
  <c r="Z13" i="15"/>
  <c r="Z14" i="15"/>
  <c r="AB14" i="15"/>
  <c r="AB13" i="15"/>
  <c r="AB12" i="15"/>
  <c r="AB11" i="15"/>
  <c r="AB10" i="15"/>
  <c r="AB9" i="15"/>
  <c r="AB8" i="15"/>
  <c r="AB7" i="15"/>
  <c r="AB6" i="15"/>
  <c r="AB5" i="15"/>
  <c r="AB4" i="15"/>
  <c r="X15" i="15"/>
  <c r="W15" i="15"/>
  <c r="W16" i="15"/>
  <c r="Y16" i="15"/>
  <c r="X11" i="15"/>
  <c r="W11" i="15"/>
  <c r="W12" i="15"/>
  <c r="W13" i="15"/>
  <c r="W14" i="15"/>
  <c r="Y14" i="15"/>
  <c r="Y13" i="15"/>
  <c r="Y12" i="15"/>
  <c r="Y11" i="15"/>
  <c r="X8" i="15"/>
  <c r="W8" i="15"/>
  <c r="W9" i="15"/>
  <c r="W10" i="15"/>
  <c r="Y10" i="15"/>
  <c r="Y9" i="15"/>
  <c r="Y8" i="15"/>
  <c r="X66" i="15"/>
  <c r="W66" i="15"/>
  <c r="W67" i="15"/>
  <c r="W68" i="15"/>
  <c r="W69" i="15"/>
  <c r="W70" i="15"/>
  <c r="W71" i="15"/>
  <c r="W72" i="15"/>
  <c r="W73" i="15"/>
  <c r="W74" i="15"/>
  <c r="W75" i="15"/>
  <c r="W76" i="15"/>
  <c r="Y76" i="15"/>
  <c r="Y75" i="15"/>
  <c r="Y74" i="15"/>
  <c r="Y73" i="15"/>
  <c r="Y72" i="15"/>
  <c r="Y71" i="15"/>
  <c r="Y70" i="15"/>
  <c r="Y69" i="15"/>
  <c r="Y68" i="15"/>
  <c r="Y67" i="15"/>
  <c r="Y66" i="15"/>
  <c r="X63" i="15"/>
  <c r="W63" i="15"/>
  <c r="W64" i="15"/>
  <c r="W65" i="15"/>
  <c r="Y65" i="15"/>
  <c r="Y64" i="15"/>
  <c r="Y63" i="15"/>
  <c r="X59" i="15"/>
  <c r="W59" i="15"/>
  <c r="W60" i="15"/>
  <c r="W61" i="15"/>
  <c r="W62" i="15"/>
  <c r="Y62" i="15"/>
  <c r="Y61" i="15"/>
  <c r="Y60" i="15"/>
  <c r="Y59" i="15"/>
  <c r="X56" i="15"/>
  <c r="W56" i="15"/>
  <c r="W57" i="15"/>
  <c r="W58" i="15"/>
  <c r="Y58" i="15"/>
  <c r="Y57" i="15"/>
  <c r="Y56" i="15"/>
  <c r="X52" i="15"/>
  <c r="W52" i="15"/>
  <c r="W53" i="15"/>
  <c r="W54" i="15"/>
  <c r="W55" i="15"/>
  <c r="Y55" i="15"/>
  <c r="Y54" i="15"/>
  <c r="Y53" i="15"/>
  <c r="Y52" i="15"/>
  <c r="X49" i="15"/>
  <c r="W49" i="15"/>
  <c r="W50" i="15"/>
  <c r="W51" i="15"/>
  <c r="Y51" i="15"/>
  <c r="Y50" i="15"/>
  <c r="Y49" i="15"/>
  <c r="X45" i="15"/>
  <c r="W45" i="15"/>
  <c r="W46" i="15"/>
  <c r="W47" i="15"/>
  <c r="W48" i="15"/>
  <c r="Y48" i="15"/>
  <c r="Y47" i="15"/>
  <c r="Y46" i="15"/>
  <c r="Y45" i="15"/>
  <c r="X42" i="15"/>
  <c r="W42" i="15"/>
  <c r="W43" i="15"/>
  <c r="W44" i="15"/>
  <c r="Y44" i="15"/>
  <c r="Y43" i="15"/>
  <c r="Y42" i="15"/>
  <c r="X38" i="15"/>
  <c r="W38" i="15"/>
  <c r="W39" i="15"/>
  <c r="W40" i="15"/>
  <c r="W41" i="15"/>
  <c r="Y41" i="15"/>
  <c r="Y40" i="15"/>
  <c r="Y39" i="15"/>
  <c r="Y38" i="15"/>
  <c r="X35" i="15"/>
  <c r="W35" i="15"/>
  <c r="W36" i="15"/>
  <c r="W37" i="15"/>
  <c r="Y37" i="15"/>
  <c r="Y36" i="15"/>
  <c r="Y35" i="15"/>
  <c r="X31" i="15"/>
  <c r="W31" i="15"/>
  <c r="W32" i="15"/>
  <c r="W33" i="15"/>
  <c r="W34" i="15"/>
  <c r="Y34" i="15"/>
  <c r="Y33" i="15"/>
  <c r="Y32" i="15"/>
  <c r="Y31" i="15"/>
  <c r="X28" i="15"/>
  <c r="W28" i="15"/>
  <c r="W29" i="15"/>
  <c r="W30" i="15"/>
  <c r="Y30" i="15"/>
  <c r="Y29" i="15"/>
  <c r="Y28" i="15"/>
  <c r="X25" i="15"/>
  <c r="W25" i="15"/>
  <c r="W26" i="15"/>
  <c r="W27" i="15"/>
  <c r="Y27" i="15"/>
  <c r="Y26" i="15"/>
  <c r="Y25" i="15"/>
  <c r="X21" i="15"/>
  <c r="W21" i="15"/>
  <c r="W22" i="15"/>
  <c r="W23" i="15"/>
  <c r="W24" i="15"/>
  <c r="Y24" i="15"/>
  <c r="Y23" i="15"/>
  <c r="Y22" i="15"/>
  <c r="Y21" i="15"/>
  <c r="W17" i="15"/>
  <c r="W18" i="15"/>
  <c r="W19" i="15"/>
  <c r="W20" i="15"/>
  <c r="Y20" i="15"/>
  <c r="Y19" i="15"/>
  <c r="Y18" i="15"/>
  <c r="Y17" i="15"/>
  <c r="Y15" i="15"/>
  <c r="W4" i="15"/>
  <c r="W5" i="15"/>
  <c r="W6" i="15"/>
  <c r="W7" i="15"/>
  <c r="Y7" i="15"/>
  <c r="Y6" i="15"/>
  <c r="Y5" i="15"/>
  <c r="Y4" i="15"/>
  <c r="U25" i="15"/>
  <c r="T26" i="15"/>
  <c r="V26" i="15"/>
  <c r="T25" i="15"/>
  <c r="V25" i="15"/>
  <c r="U15" i="15"/>
  <c r="T15" i="15"/>
  <c r="T16" i="15"/>
  <c r="T17" i="15"/>
  <c r="T18" i="15"/>
  <c r="T19" i="15"/>
  <c r="T20" i="15"/>
  <c r="V20" i="15"/>
  <c r="U21" i="15"/>
  <c r="T21" i="15"/>
  <c r="V21" i="15"/>
  <c r="V19" i="15"/>
  <c r="T4" i="15"/>
  <c r="T5" i="15"/>
  <c r="T6" i="15"/>
  <c r="T7" i="15"/>
  <c r="T8" i="15"/>
  <c r="T9" i="15"/>
  <c r="T10" i="15"/>
  <c r="T11" i="15"/>
  <c r="T12" i="15"/>
  <c r="T13" i="15"/>
  <c r="T14" i="15"/>
  <c r="V14" i="15"/>
  <c r="V9" i="15"/>
  <c r="U66" i="15"/>
  <c r="T66" i="15"/>
  <c r="T67" i="15"/>
  <c r="T68" i="15"/>
  <c r="T69" i="15"/>
  <c r="T70" i="15"/>
  <c r="T71" i="15"/>
  <c r="T72" i="15"/>
  <c r="T73" i="15"/>
  <c r="T74" i="15"/>
  <c r="T75" i="15"/>
  <c r="T76" i="15"/>
  <c r="V76" i="15"/>
  <c r="V75" i="15"/>
  <c r="V74" i="15"/>
  <c r="V73" i="15"/>
  <c r="V72" i="15"/>
  <c r="V71" i="15"/>
  <c r="V70" i="15"/>
  <c r="V69" i="15"/>
  <c r="V68" i="15"/>
  <c r="V67" i="15"/>
  <c r="V66" i="15"/>
  <c r="U63" i="15"/>
  <c r="T63" i="15"/>
  <c r="T64" i="15"/>
  <c r="T65" i="15"/>
  <c r="V65" i="15"/>
  <c r="V64" i="15"/>
  <c r="V63" i="15"/>
  <c r="U59" i="15"/>
  <c r="T59" i="15"/>
  <c r="T60" i="15"/>
  <c r="T61" i="15"/>
  <c r="T62" i="15"/>
  <c r="V62" i="15"/>
  <c r="V61" i="15"/>
  <c r="V60" i="15"/>
  <c r="V59" i="15"/>
  <c r="U56" i="15"/>
  <c r="T56" i="15"/>
  <c r="T57" i="15"/>
  <c r="T58" i="15"/>
  <c r="V58" i="15"/>
  <c r="V57" i="15"/>
  <c r="V56" i="15"/>
  <c r="U52" i="15"/>
  <c r="T52" i="15"/>
  <c r="T53" i="15"/>
  <c r="T54" i="15"/>
  <c r="T55" i="15"/>
  <c r="V55" i="15"/>
  <c r="V54" i="15"/>
  <c r="V53" i="15"/>
  <c r="V52" i="15"/>
  <c r="U49" i="15"/>
  <c r="T49" i="15"/>
  <c r="T50" i="15"/>
  <c r="T51" i="15"/>
  <c r="V51" i="15"/>
  <c r="V50" i="15"/>
  <c r="V49" i="15"/>
  <c r="U45" i="15"/>
  <c r="T45" i="15"/>
  <c r="T46" i="15"/>
  <c r="T47" i="15"/>
  <c r="T48" i="15"/>
  <c r="V48" i="15"/>
  <c r="V47" i="15"/>
  <c r="V46" i="15"/>
  <c r="V45" i="15"/>
  <c r="U42" i="15"/>
  <c r="T42" i="15"/>
  <c r="T43" i="15"/>
  <c r="T44" i="15"/>
  <c r="V44" i="15"/>
  <c r="V43" i="15"/>
  <c r="V42" i="15"/>
  <c r="U38" i="15"/>
  <c r="T38" i="15"/>
  <c r="T39" i="15"/>
  <c r="T40" i="15"/>
  <c r="T41" i="15"/>
  <c r="V41" i="15"/>
  <c r="V40" i="15"/>
  <c r="V39" i="15"/>
  <c r="V38" i="15"/>
  <c r="U35" i="15"/>
  <c r="T35" i="15"/>
  <c r="T36" i="15"/>
  <c r="T37" i="15"/>
  <c r="V37" i="15"/>
  <c r="V36" i="15"/>
  <c r="V35" i="15"/>
  <c r="U31" i="15"/>
  <c r="T31" i="15"/>
  <c r="T32" i="15"/>
  <c r="T33" i="15"/>
  <c r="T34" i="15"/>
  <c r="V34" i="15"/>
  <c r="V33" i="15"/>
  <c r="V32" i="15"/>
  <c r="V31" i="15"/>
  <c r="U28" i="15"/>
  <c r="T28" i="15"/>
  <c r="T29" i="15"/>
  <c r="T30" i="15"/>
  <c r="V30" i="15"/>
  <c r="V29" i="15"/>
  <c r="V28" i="15"/>
  <c r="T27" i="15"/>
  <c r="V27" i="15"/>
  <c r="T22" i="15"/>
  <c r="T23" i="15"/>
  <c r="T24" i="15"/>
  <c r="V24" i="15"/>
  <c r="V23" i="15"/>
  <c r="V22" i="15"/>
  <c r="V18" i="15"/>
  <c r="V17" i="15"/>
  <c r="V16" i="15"/>
  <c r="V15" i="15"/>
  <c r="V13" i="15"/>
  <c r="V12" i="15"/>
  <c r="V11" i="15"/>
  <c r="V10" i="15"/>
  <c r="V8" i="15"/>
  <c r="V7" i="15"/>
  <c r="V6" i="15"/>
  <c r="V5" i="15"/>
  <c r="V4" i="15"/>
  <c r="R15" i="15"/>
  <c r="Q15" i="15"/>
  <c r="Q16" i="15"/>
  <c r="Q17" i="15"/>
  <c r="Q18" i="15"/>
  <c r="S18" i="15"/>
  <c r="S17" i="15"/>
  <c r="S16" i="15"/>
  <c r="S15" i="15"/>
  <c r="Q4" i="15"/>
  <c r="Q5" i="15"/>
  <c r="Q6" i="15"/>
  <c r="Q7" i="15"/>
  <c r="Q8" i="15"/>
  <c r="Q9" i="15"/>
  <c r="Q10" i="15"/>
  <c r="Q11" i="15"/>
  <c r="Q12" i="15"/>
  <c r="Q13" i="15"/>
  <c r="Q14" i="15"/>
  <c r="S14" i="15"/>
  <c r="S13" i="15"/>
  <c r="S12" i="15"/>
  <c r="S11" i="15"/>
  <c r="S10" i="15"/>
  <c r="S9" i="15"/>
  <c r="S8" i="15"/>
  <c r="R66" i="15"/>
  <c r="Q66" i="15"/>
  <c r="Q67" i="15"/>
  <c r="Q68" i="15"/>
  <c r="Q69" i="15"/>
  <c r="Q70" i="15"/>
  <c r="Q71" i="15"/>
  <c r="Q72" i="15"/>
  <c r="Q73" i="15"/>
  <c r="Q74" i="15"/>
  <c r="Q75" i="15"/>
  <c r="Q76" i="15"/>
  <c r="S76" i="15"/>
  <c r="S75" i="15"/>
  <c r="S74" i="15"/>
  <c r="S73" i="15"/>
  <c r="S72" i="15"/>
  <c r="S71" i="15"/>
  <c r="S70" i="15"/>
  <c r="S69" i="15"/>
  <c r="S68" i="15"/>
  <c r="S67" i="15"/>
  <c r="S66" i="15"/>
  <c r="R63" i="15"/>
  <c r="Q63" i="15"/>
  <c r="Q64" i="15"/>
  <c r="Q65" i="15"/>
  <c r="S65" i="15"/>
  <c r="S64" i="15"/>
  <c r="S63" i="15"/>
  <c r="R59" i="15"/>
  <c r="Q59" i="15"/>
  <c r="Q60" i="15"/>
  <c r="Q61" i="15"/>
  <c r="Q62" i="15"/>
  <c r="S62" i="15"/>
  <c r="S61" i="15"/>
  <c r="S60" i="15"/>
  <c r="S59" i="15"/>
  <c r="R56" i="15"/>
  <c r="Q56" i="15"/>
  <c r="Q57" i="15"/>
  <c r="Q58" i="15"/>
  <c r="S58" i="15"/>
  <c r="S57" i="15"/>
  <c r="S56" i="15"/>
  <c r="R52" i="15"/>
  <c r="Q52" i="15"/>
  <c r="Q53" i="15"/>
  <c r="Q54" i="15"/>
  <c r="Q55" i="15"/>
  <c r="S55" i="15"/>
  <c r="S54" i="15"/>
  <c r="S53" i="15"/>
  <c r="S52" i="15"/>
  <c r="R49" i="15"/>
  <c r="Q49" i="15"/>
  <c r="Q50" i="15"/>
  <c r="Q51" i="15"/>
  <c r="S51" i="15"/>
  <c r="S50" i="15"/>
  <c r="S49" i="15"/>
  <c r="R45" i="15"/>
  <c r="Q45" i="15"/>
  <c r="Q46" i="15"/>
  <c r="Q47" i="15"/>
  <c r="Q48" i="15"/>
  <c r="S48" i="15"/>
  <c r="S47" i="15"/>
  <c r="S46" i="15"/>
  <c r="S45" i="15"/>
  <c r="R42" i="15"/>
  <c r="Q42" i="15"/>
  <c r="Q43" i="15"/>
  <c r="Q44" i="15"/>
  <c r="S44" i="15"/>
  <c r="S43" i="15"/>
  <c r="S42" i="15"/>
  <c r="R38" i="15"/>
  <c r="Q38" i="15"/>
  <c r="Q39" i="15"/>
  <c r="Q40" i="15"/>
  <c r="Q41" i="15"/>
  <c r="S41" i="15"/>
  <c r="S40" i="15"/>
  <c r="S39" i="15"/>
  <c r="S38" i="15"/>
  <c r="R35" i="15"/>
  <c r="Q35" i="15"/>
  <c r="Q36" i="15"/>
  <c r="Q37" i="15"/>
  <c r="S37" i="15"/>
  <c r="S36" i="15"/>
  <c r="S35" i="15"/>
  <c r="R31" i="15"/>
  <c r="Q31" i="15"/>
  <c r="Q32" i="15"/>
  <c r="Q33" i="15"/>
  <c r="Q34" i="15"/>
  <c r="S34" i="15"/>
  <c r="S33" i="15"/>
  <c r="S32" i="15"/>
  <c r="S31" i="15"/>
  <c r="R28" i="15"/>
  <c r="Q28" i="15"/>
  <c r="Q29" i="15"/>
  <c r="Q30" i="15"/>
  <c r="S30" i="15"/>
  <c r="S29" i="15"/>
  <c r="S28" i="15"/>
  <c r="R25" i="15"/>
  <c r="Q25" i="15"/>
  <c r="Q26" i="15"/>
  <c r="Q27" i="15"/>
  <c r="S27" i="15"/>
  <c r="S26" i="15"/>
  <c r="S25" i="15"/>
  <c r="R21" i="15"/>
  <c r="Q21" i="15"/>
  <c r="Q22" i="15"/>
  <c r="Q23" i="15"/>
  <c r="Q24" i="15"/>
  <c r="S24" i="15"/>
  <c r="S23" i="15"/>
  <c r="S22" i="15"/>
  <c r="S21" i="15"/>
  <c r="Q19" i="15"/>
  <c r="Q20" i="15"/>
  <c r="S20" i="15"/>
  <c r="S19" i="15"/>
  <c r="S7" i="15"/>
  <c r="S6" i="15"/>
  <c r="S5" i="15"/>
  <c r="S4" i="15"/>
  <c r="O21" i="15"/>
  <c r="N21" i="15"/>
  <c r="P21" i="15"/>
  <c r="O15" i="15"/>
  <c r="N15" i="15"/>
  <c r="N16" i="15"/>
  <c r="N17" i="15"/>
  <c r="N18" i="15"/>
  <c r="N19" i="15"/>
  <c r="N20" i="15"/>
  <c r="P20" i="15"/>
  <c r="P19" i="15"/>
  <c r="P18" i="15"/>
  <c r="P17" i="15"/>
  <c r="N4" i="15"/>
  <c r="N5" i="15"/>
  <c r="N6" i="15"/>
  <c r="N7" i="15"/>
  <c r="N8" i="15"/>
  <c r="N9" i="15"/>
  <c r="N10" i="15"/>
  <c r="P10" i="15"/>
  <c r="P6" i="15"/>
  <c r="P5" i="15"/>
  <c r="O66" i="15"/>
  <c r="N66" i="15"/>
  <c r="N67" i="15"/>
  <c r="N68" i="15"/>
  <c r="N69" i="15"/>
  <c r="N70" i="15"/>
  <c r="N71" i="15"/>
  <c r="N72" i="15"/>
  <c r="N73" i="15"/>
  <c r="N74" i="15"/>
  <c r="N75" i="15"/>
  <c r="N76" i="15"/>
  <c r="P76" i="15"/>
  <c r="P75" i="15"/>
  <c r="P74" i="15"/>
  <c r="P73" i="15"/>
  <c r="P72" i="15"/>
  <c r="P71" i="15"/>
  <c r="P70" i="15"/>
  <c r="P69" i="15"/>
  <c r="P68" i="15"/>
  <c r="P67" i="15"/>
  <c r="P66" i="15"/>
  <c r="O63" i="15"/>
  <c r="N63" i="15"/>
  <c r="N64" i="15"/>
  <c r="N65" i="15"/>
  <c r="P65" i="15"/>
  <c r="P64" i="15"/>
  <c r="P63" i="15"/>
  <c r="O59" i="15"/>
  <c r="N59" i="15"/>
  <c r="N60" i="15"/>
  <c r="N61" i="15"/>
  <c r="N62" i="15"/>
  <c r="P62" i="15"/>
  <c r="P61" i="15"/>
  <c r="P60" i="15"/>
  <c r="P59" i="15"/>
  <c r="O56" i="15"/>
  <c r="N56" i="15"/>
  <c r="N57" i="15"/>
  <c r="N58" i="15"/>
  <c r="P58" i="15"/>
  <c r="P57" i="15"/>
  <c r="P56" i="15"/>
  <c r="O52" i="15"/>
  <c r="N52" i="15"/>
  <c r="N53" i="15"/>
  <c r="N54" i="15"/>
  <c r="N55" i="15"/>
  <c r="P55" i="15"/>
  <c r="P54" i="15"/>
  <c r="P53" i="15"/>
  <c r="P52" i="15"/>
  <c r="O49" i="15"/>
  <c r="N49" i="15"/>
  <c r="N50" i="15"/>
  <c r="N51" i="15"/>
  <c r="P51" i="15"/>
  <c r="P50" i="15"/>
  <c r="P49" i="15"/>
  <c r="O45" i="15"/>
  <c r="N45" i="15"/>
  <c r="N46" i="15"/>
  <c r="N47" i="15"/>
  <c r="N48" i="15"/>
  <c r="P48" i="15"/>
  <c r="P47" i="15"/>
  <c r="P46" i="15"/>
  <c r="P45" i="15"/>
  <c r="O42" i="15"/>
  <c r="N42" i="15"/>
  <c r="N43" i="15"/>
  <c r="N44" i="15"/>
  <c r="P44" i="15"/>
  <c r="P43" i="15"/>
  <c r="P42" i="15"/>
  <c r="O38" i="15"/>
  <c r="N38" i="15"/>
  <c r="N39" i="15"/>
  <c r="N40" i="15"/>
  <c r="N41" i="15"/>
  <c r="P41" i="15"/>
  <c r="P40" i="15"/>
  <c r="P39" i="15"/>
  <c r="P38" i="15"/>
  <c r="O35" i="15"/>
  <c r="N35" i="15"/>
  <c r="N36" i="15"/>
  <c r="N37" i="15"/>
  <c r="P37" i="15"/>
  <c r="P36" i="15"/>
  <c r="P35" i="15"/>
  <c r="O31" i="15"/>
  <c r="N31" i="15"/>
  <c r="N32" i="15"/>
  <c r="N33" i="15"/>
  <c r="N34" i="15"/>
  <c r="P34" i="15"/>
  <c r="P33" i="15"/>
  <c r="P32" i="15"/>
  <c r="P31" i="15"/>
  <c r="O28" i="15"/>
  <c r="N28" i="15"/>
  <c r="N29" i="15"/>
  <c r="N30" i="15"/>
  <c r="P30" i="15"/>
  <c r="P29" i="15"/>
  <c r="P28" i="15"/>
  <c r="O25" i="15"/>
  <c r="N25" i="15"/>
  <c r="N26" i="15"/>
  <c r="N27" i="15"/>
  <c r="P27" i="15"/>
  <c r="P26" i="15"/>
  <c r="P25" i="15"/>
  <c r="N22" i="15"/>
  <c r="N23" i="15"/>
  <c r="N24" i="15"/>
  <c r="P24" i="15"/>
  <c r="P23" i="15"/>
  <c r="P22" i="15"/>
  <c r="P15" i="15"/>
  <c r="P16" i="15"/>
  <c r="O11" i="15"/>
  <c r="N11" i="15"/>
  <c r="N12" i="15"/>
  <c r="N13" i="15"/>
  <c r="N14" i="15"/>
  <c r="P14" i="15"/>
  <c r="P13" i="15"/>
  <c r="P12" i="15"/>
  <c r="P11" i="15"/>
  <c r="P9" i="15"/>
  <c r="P8" i="15"/>
  <c r="P7" i="15"/>
  <c r="P4" i="15"/>
  <c r="K4" i="15"/>
  <c r="K5" i="15"/>
  <c r="K6" i="15"/>
  <c r="K7" i="15"/>
  <c r="K8" i="15"/>
  <c r="K9" i="15"/>
  <c r="K10" i="15"/>
  <c r="M10" i="15"/>
  <c r="L38" i="15"/>
  <c r="K38" i="15"/>
  <c r="M38" i="15"/>
  <c r="L35" i="15"/>
  <c r="K35" i="15"/>
  <c r="M35" i="15"/>
  <c r="L28" i="15"/>
  <c r="K28" i="15"/>
  <c r="M28" i="15"/>
  <c r="L25" i="15"/>
  <c r="K26" i="15"/>
  <c r="M26" i="15"/>
  <c r="K25" i="15"/>
  <c r="K27" i="15"/>
  <c r="M27" i="15"/>
  <c r="L21" i="15"/>
  <c r="K21" i="15"/>
  <c r="K22" i="15"/>
  <c r="K23" i="15"/>
  <c r="K24" i="15"/>
  <c r="M24" i="15"/>
  <c r="M23" i="15"/>
  <c r="M22" i="15"/>
  <c r="M21" i="15"/>
  <c r="L15" i="15"/>
  <c r="K15" i="15"/>
  <c r="M15" i="15"/>
  <c r="L11" i="15"/>
  <c r="K11" i="15"/>
  <c r="K12" i="15"/>
  <c r="K13" i="15"/>
  <c r="K14" i="15"/>
  <c r="M14" i="15"/>
  <c r="M13" i="15"/>
  <c r="M12" i="15"/>
  <c r="M11" i="15"/>
  <c r="L66" i="15"/>
  <c r="K66" i="15"/>
  <c r="K67" i="15"/>
  <c r="K68" i="15"/>
  <c r="K69" i="15"/>
  <c r="K70" i="15"/>
  <c r="K71" i="15"/>
  <c r="K72" i="15"/>
  <c r="K73" i="15"/>
  <c r="K74" i="15"/>
  <c r="K75" i="15"/>
  <c r="K76" i="15"/>
  <c r="M76" i="15"/>
  <c r="M75" i="15"/>
  <c r="M74" i="15"/>
  <c r="M73" i="15"/>
  <c r="M72" i="15"/>
  <c r="M71" i="15"/>
  <c r="M70" i="15"/>
  <c r="M69" i="15"/>
  <c r="M68" i="15"/>
  <c r="M67" i="15"/>
  <c r="M66" i="15"/>
  <c r="L63" i="15"/>
  <c r="K63" i="15"/>
  <c r="K64" i="15"/>
  <c r="K65" i="15"/>
  <c r="M65" i="15"/>
  <c r="M64" i="15"/>
  <c r="M63" i="15"/>
  <c r="L59" i="15"/>
  <c r="K59" i="15"/>
  <c r="K60" i="15"/>
  <c r="K61" i="15"/>
  <c r="K62" i="15"/>
  <c r="M62" i="15"/>
  <c r="M61" i="15"/>
  <c r="M60" i="15"/>
  <c r="M59" i="15"/>
  <c r="L56" i="15"/>
  <c r="K56" i="15"/>
  <c r="K57" i="15"/>
  <c r="K58" i="15"/>
  <c r="M58" i="15"/>
  <c r="M57" i="15"/>
  <c r="M56" i="15"/>
  <c r="L52" i="15"/>
  <c r="K52" i="15"/>
  <c r="K53" i="15"/>
  <c r="K54" i="15"/>
  <c r="K55" i="15"/>
  <c r="M55" i="15"/>
  <c r="M54" i="15"/>
  <c r="M53" i="15"/>
  <c r="M52" i="15"/>
  <c r="L49" i="15"/>
  <c r="K49" i="15"/>
  <c r="K50" i="15"/>
  <c r="K51" i="15"/>
  <c r="M51" i="15"/>
  <c r="M50" i="15"/>
  <c r="M49" i="15"/>
  <c r="L45" i="15"/>
  <c r="K45" i="15"/>
  <c r="K46" i="15"/>
  <c r="K47" i="15"/>
  <c r="K48" i="15"/>
  <c r="M48" i="15"/>
  <c r="M47" i="15"/>
  <c r="M46" i="15"/>
  <c r="M45" i="15"/>
  <c r="L42" i="15"/>
  <c r="K42" i="15"/>
  <c r="K43" i="15"/>
  <c r="K44" i="15"/>
  <c r="M44" i="15"/>
  <c r="M43" i="15"/>
  <c r="M42" i="15"/>
  <c r="K39" i="15"/>
  <c r="K40" i="15"/>
  <c r="K41" i="15"/>
  <c r="M41" i="15"/>
  <c r="M40" i="15"/>
  <c r="M39" i="15"/>
  <c r="K36" i="15"/>
  <c r="K37" i="15"/>
  <c r="M37" i="15"/>
  <c r="M36" i="15"/>
  <c r="L31" i="15"/>
  <c r="K31" i="15"/>
  <c r="K32" i="15"/>
  <c r="K33" i="15"/>
  <c r="K34" i="15"/>
  <c r="M34" i="15"/>
  <c r="M33" i="15"/>
  <c r="M32" i="15"/>
  <c r="M31" i="15"/>
  <c r="K29" i="15"/>
  <c r="K30" i="15"/>
  <c r="M30" i="15"/>
  <c r="M29" i="15"/>
  <c r="M25" i="15"/>
  <c r="K16" i="15"/>
  <c r="K17" i="15"/>
  <c r="K18" i="15"/>
  <c r="K19" i="15"/>
  <c r="K20" i="15"/>
  <c r="M20" i="15"/>
  <c r="M19" i="15"/>
  <c r="M18" i="15"/>
  <c r="M17" i="15"/>
  <c r="M16" i="15"/>
  <c r="M9" i="15"/>
  <c r="M8" i="15"/>
  <c r="M7" i="15"/>
  <c r="M6" i="15"/>
  <c r="M5" i="15"/>
  <c r="M4" i="15"/>
  <c r="H4" i="15"/>
  <c r="J4" i="15"/>
  <c r="H5" i="15"/>
  <c r="J5" i="15"/>
  <c r="H6" i="15"/>
  <c r="J6" i="15"/>
  <c r="H7" i="15"/>
  <c r="J7" i="15"/>
  <c r="H8" i="15"/>
  <c r="J8" i="15"/>
  <c r="H9" i="15"/>
  <c r="J9" i="15"/>
  <c r="H10" i="15"/>
  <c r="J10" i="15"/>
  <c r="H11" i="15"/>
  <c r="J11" i="15"/>
  <c r="H12" i="15"/>
  <c r="J12" i="15"/>
  <c r="H13" i="15"/>
  <c r="J13" i="15"/>
  <c r="H14" i="15"/>
  <c r="J14" i="15"/>
  <c r="I66" i="15"/>
  <c r="H66" i="15"/>
  <c r="H67" i="15"/>
  <c r="H68" i="15"/>
  <c r="H69" i="15"/>
  <c r="H70" i="15"/>
  <c r="H71" i="15"/>
  <c r="H72" i="15"/>
  <c r="H73" i="15"/>
  <c r="H74" i="15"/>
  <c r="H75" i="15"/>
  <c r="H76" i="15"/>
  <c r="J76" i="15"/>
  <c r="J75" i="15"/>
  <c r="J74" i="15"/>
  <c r="J73" i="15"/>
  <c r="J72" i="15"/>
  <c r="J71" i="15"/>
  <c r="J70" i="15"/>
  <c r="J69" i="15"/>
  <c r="J68" i="15"/>
  <c r="J67" i="15"/>
  <c r="J66" i="15"/>
  <c r="I63" i="15"/>
  <c r="H63" i="15"/>
  <c r="H64" i="15"/>
  <c r="H65" i="15"/>
  <c r="J65" i="15"/>
  <c r="J64" i="15"/>
  <c r="J63" i="15"/>
  <c r="I59" i="15"/>
  <c r="H59" i="15"/>
  <c r="H60" i="15"/>
  <c r="H61" i="15"/>
  <c r="H62" i="15"/>
  <c r="J62" i="15"/>
  <c r="J61" i="15"/>
  <c r="J60" i="15"/>
  <c r="J59" i="15"/>
  <c r="I56" i="15"/>
  <c r="H56" i="15"/>
  <c r="H57" i="15"/>
  <c r="H58" i="15"/>
  <c r="J58" i="15"/>
  <c r="J57" i="15"/>
  <c r="J56" i="15"/>
  <c r="I52" i="15"/>
  <c r="H52" i="15"/>
  <c r="H53" i="15"/>
  <c r="H54" i="15"/>
  <c r="H55" i="15"/>
  <c r="J55" i="15"/>
  <c r="J54" i="15"/>
  <c r="J53" i="15"/>
  <c r="J52" i="15"/>
  <c r="I49" i="15"/>
  <c r="H49" i="15"/>
  <c r="H50" i="15"/>
  <c r="H51" i="15"/>
  <c r="J51" i="15"/>
  <c r="J50" i="15"/>
  <c r="J49" i="15"/>
  <c r="I45" i="15"/>
  <c r="H45" i="15"/>
  <c r="H46" i="15"/>
  <c r="H47" i="15"/>
  <c r="H48" i="15"/>
  <c r="J48" i="15"/>
  <c r="J47" i="15"/>
  <c r="J46" i="15"/>
  <c r="J45" i="15"/>
  <c r="I42" i="15"/>
  <c r="H42" i="15"/>
  <c r="H43" i="15"/>
  <c r="H44" i="15"/>
  <c r="J44" i="15"/>
  <c r="J43" i="15"/>
  <c r="J42" i="15"/>
  <c r="I38" i="15"/>
  <c r="H38" i="15"/>
  <c r="H39" i="15"/>
  <c r="H40" i="15"/>
  <c r="H41" i="15"/>
  <c r="J41" i="15"/>
  <c r="J40" i="15"/>
  <c r="J39" i="15"/>
  <c r="J38" i="15"/>
  <c r="I35" i="15"/>
  <c r="H35" i="15"/>
  <c r="H36" i="15"/>
  <c r="H37" i="15"/>
  <c r="J37" i="15"/>
  <c r="J36" i="15"/>
  <c r="J35" i="15"/>
  <c r="I31" i="15"/>
  <c r="H31" i="15"/>
  <c r="H32" i="15"/>
  <c r="H33" i="15"/>
  <c r="H34" i="15"/>
  <c r="J34" i="15"/>
  <c r="J33" i="15"/>
  <c r="J32" i="15"/>
  <c r="J31" i="15"/>
  <c r="I28" i="15"/>
  <c r="H28" i="15"/>
  <c r="H29" i="15"/>
  <c r="H30" i="15"/>
  <c r="J30" i="15"/>
  <c r="J29" i="15"/>
  <c r="J28" i="15"/>
  <c r="I25" i="15"/>
  <c r="H25" i="15"/>
  <c r="H26" i="15"/>
  <c r="H27" i="15"/>
  <c r="J27" i="15"/>
  <c r="J26" i="15"/>
  <c r="J25" i="15"/>
  <c r="I21" i="15"/>
  <c r="H21" i="15"/>
  <c r="H22" i="15"/>
  <c r="H23" i="15"/>
  <c r="H24" i="15"/>
  <c r="J24" i="15"/>
  <c r="J23" i="15"/>
  <c r="J22" i="15"/>
  <c r="J21" i="15"/>
  <c r="I15" i="15"/>
  <c r="H15" i="15"/>
  <c r="H16" i="15"/>
  <c r="H17" i="15"/>
  <c r="H18" i="15"/>
  <c r="H19" i="15"/>
  <c r="H20" i="15"/>
  <c r="J20" i="15"/>
  <c r="J19" i="15"/>
  <c r="J18" i="15"/>
  <c r="J15" i="15"/>
  <c r="J17" i="15"/>
  <c r="J16" i="15"/>
  <c r="F66" i="15"/>
  <c r="E66" i="15"/>
  <c r="E67" i="15"/>
  <c r="E68" i="15"/>
  <c r="E69" i="15"/>
  <c r="E70" i="15"/>
  <c r="E71" i="15"/>
  <c r="E72" i="15"/>
  <c r="E73" i="15"/>
  <c r="E74" i="15"/>
  <c r="E75" i="15"/>
  <c r="E76" i="15"/>
  <c r="G76" i="15"/>
  <c r="G75" i="15"/>
  <c r="G74" i="15"/>
  <c r="G73" i="15"/>
  <c r="G72" i="15"/>
  <c r="G71" i="15"/>
  <c r="G70" i="15"/>
  <c r="G69" i="15"/>
  <c r="G68" i="15"/>
  <c r="G67" i="15"/>
  <c r="G66" i="15"/>
  <c r="F63" i="15"/>
  <c r="E63" i="15"/>
  <c r="E64" i="15"/>
  <c r="E65" i="15"/>
  <c r="G65" i="15"/>
  <c r="G64" i="15"/>
  <c r="G63" i="15"/>
  <c r="F59" i="15"/>
  <c r="E59" i="15"/>
  <c r="E60" i="15"/>
  <c r="E61" i="15"/>
  <c r="E62" i="15"/>
  <c r="G62" i="15"/>
  <c r="G61" i="15"/>
  <c r="G60" i="15"/>
  <c r="G59" i="15"/>
  <c r="F56" i="15"/>
  <c r="E56" i="15"/>
  <c r="E57" i="15"/>
  <c r="E58" i="15"/>
  <c r="G58" i="15"/>
  <c r="G57" i="15"/>
  <c r="G56" i="15"/>
  <c r="F52" i="15"/>
  <c r="E52" i="15"/>
  <c r="E53" i="15"/>
  <c r="E54" i="15"/>
  <c r="E55" i="15"/>
  <c r="G55" i="15"/>
  <c r="G54" i="15"/>
  <c r="G53" i="15"/>
  <c r="G52" i="15"/>
  <c r="F49" i="15"/>
  <c r="E49" i="15"/>
  <c r="E50" i="15"/>
  <c r="E51" i="15"/>
  <c r="G51" i="15"/>
  <c r="G50" i="15"/>
  <c r="G49" i="15"/>
  <c r="F45" i="15"/>
  <c r="E45" i="15"/>
  <c r="E46" i="15"/>
  <c r="E47" i="15"/>
  <c r="E48" i="15"/>
  <c r="G48" i="15"/>
  <c r="G47" i="15"/>
  <c r="G46" i="15"/>
  <c r="G45" i="15"/>
  <c r="F42" i="15"/>
  <c r="E42" i="15"/>
  <c r="E43" i="15"/>
  <c r="E44" i="15"/>
  <c r="G44" i="15"/>
  <c r="G43" i="15"/>
  <c r="G42" i="15"/>
  <c r="F38" i="15"/>
  <c r="E38" i="15"/>
  <c r="E39" i="15"/>
  <c r="E40" i="15"/>
  <c r="E41" i="15"/>
  <c r="G41" i="15"/>
  <c r="G40" i="15"/>
  <c r="G39" i="15"/>
  <c r="G38" i="15"/>
  <c r="F35" i="15"/>
  <c r="E35" i="15"/>
  <c r="E36" i="15"/>
  <c r="E37" i="15"/>
  <c r="G37" i="15"/>
  <c r="G36" i="15"/>
  <c r="G35" i="15"/>
  <c r="F31" i="15"/>
  <c r="E31" i="15"/>
  <c r="E32" i="15"/>
  <c r="E33" i="15"/>
  <c r="E34" i="15"/>
  <c r="G34" i="15"/>
  <c r="G33" i="15"/>
  <c r="G32" i="15"/>
  <c r="G31" i="15"/>
  <c r="F28" i="15"/>
  <c r="E28" i="15"/>
  <c r="E29" i="15"/>
  <c r="E30" i="15"/>
  <c r="G30" i="15"/>
  <c r="G29" i="15"/>
  <c r="G28" i="15"/>
  <c r="F25" i="15"/>
  <c r="E25" i="15"/>
  <c r="E26" i="15"/>
  <c r="E27" i="15"/>
  <c r="G27" i="15"/>
  <c r="G26" i="15"/>
  <c r="G25" i="15"/>
  <c r="F21" i="15"/>
  <c r="E21" i="15"/>
  <c r="E22" i="15"/>
  <c r="E23" i="15"/>
  <c r="E24" i="15"/>
  <c r="G24" i="15"/>
  <c r="G23" i="15"/>
  <c r="G22" i="15"/>
  <c r="G21" i="15"/>
  <c r="F15" i="15"/>
  <c r="E15" i="15"/>
  <c r="E16" i="15"/>
  <c r="E17" i="15"/>
  <c r="E18" i="15"/>
  <c r="E19" i="15"/>
  <c r="E20" i="15"/>
  <c r="G20" i="15"/>
  <c r="G19" i="15"/>
  <c r="G18" i="15"/>
  <c r="G15" i="15"/>
  <c r="G17" i="15"/>
  <c r="G16" i="15"/>
  <c r="F8" i="15"/>
  <c r="E8" i="15"/>
  <c r="E9" i="15"/>
  <c r="E10" i="15"/>
  <c r="E11" i="15"/>
  <c r="E12" i="15"/>
  <c r="E13" i="15"/>
  <c r="E14" i="15"/>
  <c r="G14" i="15"/>
  <c r="G13" i="15"/>
  <c r="G12" i="15"/>
  <c r="G11" i="15"/>
  <c r="G10" i="15"/>
  <c r="G9" i="15"/>
  <c r="G8" i="15"/>
  <c r="E4" i="15"/>
  <c r="E5" i="15"/>
  <c r="E6" i="15"/>
  <c r="E7" i="15"/>
  <c r="G7" i="15"/>
  <c r="G6" i="15"/>
  <c r="G5" i="15"/>
  <c r="G4" i="15"/>
  <c r="C8" i="15"/>
  <c r="B8" i="15"/>
  <c r="B9" i="15"/>
  <c r="B10" i="15"/>
  <c r="B11" i="15"/>
  <c r="B12" i="15"/>
  <c r="B13" i="15"/>
  <c r="B14" i="15"/>
  <c r="D14" i="15"/>
  <c r="D13" i="15"/>
  <c r="D12" i="15"/>
  <c r="D11" i="15"/>
  <c r="C15" i="15"/>
  <c r="B15" i="15"/>
  <c r="D15" i="15"/>
  <c r="B4" i="15"/>
  <c r="B5" i="15"/>
  <c r="B6" i="15"/>
  <c r="B7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8" i="15"/>
  <c r="D4" i="15"/>
  <c r="D5" i="15"/>
  <c r="E78" i="15"/>
  <c r="D6" i="15"/>
  <c r="D7" i="15"/>
  <c r="D8" i="15"/>
  <c r="D9" i="15"/>
  <c r="D10" i="15"/>
  <c r="D16" i="15"/>
  <c r="D17" i="15"/>
  <c r="D18" i="15"/>
  <c r="D19" i="15"/>
  <c r="D20" i="15"/>
  <c r="C21" i="15"/>
  <c r="D21" i="15"/>
  <c r="D22" i="15"/>
  <c r="D23" i="15"/>
  <c r="D24" i="15"/>
  <c r="C25" i="15"/>
  <c r="D25" i="15"/>
  <c r="D26" i="15"/>
  <c r="D27" i="15"/>
  <c r="C28" i="15"/>
  <c r="D28" i="15"/>
  <c r="D29" i="15"/>
  <c r="D30" i="15"/>
  <c r="C31" i="15"/>
  <c r="D31" i="15"/>
  <c r="D32" i="15"/>
  <c r="D33" i="15"/>
  <c r="D34" i="15"/>
  <c r="C35" i="15"/>
  <c r="D35" i="15"/>
  <c r="D36" i="15"/>
  <c r="D37" i="15"/>
  <c r="C38" i="15"/>
  <c r="D38" i="15"/>
  <c r="D39" i="15"/>
  <c r="D40" i="15"/>
  <c r="D41" i="15"/>
  <c r="C42" i="15"/>
  <c r="D42" i="15"/>
  <c r="D43" i="15"/>
  <c r="D44" i="15"/>
  <c r="C45" i="15"/>
  <c r="D45" i="15"/>
  <c r="D46" i="15"/>
  <c r="D47" i="15"/>
  <c r="D48" i="15"/>
  <c r="C49" i="15"/>
  <c r="D49" i="15"/>
  <c r="D50" i="15"/>
  <c r="D51" i="15"/>
  <c r="C52" i="15"/>
  <c r="D52" i="15"/>
  <c r="D53" i="15"/>
  <c r="D54" i="15"/>
  <c r="D55" i="15"/>
  <c r="C56" i="15"/>
  <c r="D56" i="15"/>
  <c r="D57" i="15"/>
  <c r="D58" i="15"/>
  <c r="C59" i="15"/>
  <c r="D59" i="15"/>
  <c r="D60" i="15"/>
  <c r="D61" i="15"/>
  <c r="D62" i="15"/>
  <c r="C63" i="15"/>
  <c r="D63" i="15"/>
  <c r="D64" i="15"/>
  <c r="D65" i="15"/>
  <c r="C66" i="15"/>
  <c r="D66" i="15"/>
  <c r="D67" i="15"/>
  <c r="D68" i="15"/>
  <c r="D69" i="15"/>
  <c r="D70" i="15"/>
  <c r="D71" i="15"/>
  <c r="D72" i="15"/>
  <c r="D73" i="15"/>
  <c r="D74" i="15"/>
  <c r="D75" i="15"/>
  <c r="D76" i="15"/>
  <c r="H78" i="15"/>
  <c r="I8" i="15"/>
  <c r="P67" i="2"/>
  <c r="C71" i="15"/>
  <c r="AV76" i="15"/>
  <c r="AV75" i="15"/>
  <c r="AV74" i="15"/>
  <c r="AV73" i="15"/>
  <c r="AV72" i="15"/>
  <c r="AV71" i="15"/>
  <c r="AV70" i="15"/>
  <c r="AV69" i="15"/>
  <c r="AV68" i="15"/>
  <c r="AV67" i="15"/>
  <c r="AV65" i="15"/>
  <c r="AV64" i="15"/>
  <c r="AV62" i="15"/>
  <c r="AV61" i="15"/>
  <c r="AV60" i="15"/>
  <c r="AV58" i="15"/>
  <c r="AV57" i="15"/>
  <c r="AV55" i="15"/>
  <c r="AV54" i="15"/>
  <c r="AV53" i="15"/>
  <c r="AV51" i="15"/>
  <c r="AV50" i="15"/>
  <c r="AV48" i="15"/>
  <c r="AV47" i="15"/>
  <c r="AV46" i="15"/>
  <c r="AV44" i="15"/>
  <c r="AV43" i="15"/>
  <c r="AV41" i="15"/>
  <c r="AV40" i="15"/>
  <c r="AV39" i="15"/>
  <c r="AV37" i="15"/>
  <c r="AV36" i="15"/>
  <c r="AV34" i="15"/>
  <c r="AV33" i="15"/>
  <c r="AV32" i="15"/>
  <c r="AV30" i="15"/>
  <c r="AV29" i="15"/>
  <c r="AV27" i="15"/>
  <c r="AV26" i="15"/>
  <c r="AV24" i="15"/>
  <c r="AV23" i="15"/>
  <c r="AV22" i="15"/>
  <c r="AV20" i="15"/>
  <c r="AV19" i="15"/>
  <c r="AV18" i="15"/>
  <c r="AV17" i="15"/>
  <c r="AV14" i="15"/>
  <c r="AV13" i="15"/>
  <c r="AV12" i="15"/>
  <c r="AV10" i="15"/>
  <c r="AV9" i="15"/>
  <c r="AV7" i="15"/>
  <c r="AV6" i="15"/>
  <c r="AV5" i="15"/>
  <c r="AV4" i="15"/>
  <c r="AS76" i="15"/>
  <c r="AS75" i="15"/>
  <c r="AS74" i="15"/>
  <c r="AS73" i="15"/>
  <c r="AS72" i="15"/>
  <c r="AS71" i="15"/>
  <c r="AS70" i="15"/>
  <c r="AS69" i="15"/>
  <c r="AS68" i="15"/>
  <c r="AS67" i="15"/>
  <c r="AS65" i="15"/>
  <c r="AS64" i="15"/>
  <c r="AS62" i="15"/>
  <c r="AS61" i="15"/>
  <c r="AS60" i="15"/>
  <c r="AS58" i="15"/>
  <c r="AS57" i="15"/>
  <c r="AS55" i="15"/>
  <c r="AS54" i="15"/>
  <c r="AS53" i="15"/>
  <c r="AS51" i="15"/>
  <c r="AS50" i="15"/>
  <c r="AS48" i="15"/>
  <c r="AS47" i="15"/>
  <c r="AS46" i="15"/>
  <c r="AS44" i="15"/>
  <c r="AS43" i="15"/>
  <c r="AS41" i="15"/>
  <c r="AS40" i="15"/>
  <c r="AS39" i="15"/>
  <c r="AS37" i="15"/>
  <c r="AS36" i="15"/>
  <c r="AS34" i="15"/>
  <c r="AS33" i="15"/>
  <c r="AS32" i="15"/>
  <c r="AS30" i="15"/>
  <c r="AS29" i="15"/>
  <c r="AS27" i="15"/>
  <c r="AS26" i="15"/>
  <c r="AS24" i="15"/>
  <c r="AS23" i="15"/>
  <c r="AS22" i="15"/>
  <c r="AS20" i="15"/>
  <c r="AS19" i="15"/>
  <c r="AS18" i="15"/>
  <c r="AS17" i="15"/>
  <c r="AS14" i="15"/>
  <c r="AS13" i="15"/>
  <c r="AS12" i="15"/>
  <c r="AS11" i="15"/>
  <c r="AS10" i="15"/>
  <c r="AS9" i="15"/>
  <c r="AS8" i="15"/>
  <c r="AS7" i="15"/>
  <c r="AS6" i="15"/>
  <c r="AS5" i="15"/>
  <c r="AS4" i="15"/>
  <c r="AP76" i="15"/>
  <c r="AP75" i="15"/>
  <c r="AP74" i="15"/>
  <c r="AP73" i="15"/>
  <c r="AP72" i="15"/>
  <c r="AP71" i="15"/>
  <c r="AP70" i="15"/>
  <c r="AP69" i="15"/>
  <c r="AP68" i="15"/>
  <c r="AP67" i="15"/>
  <c r="AP65" i="15"/>
  <c r="AP64" i="15"/>
  <c r="AP62" i="15"/>
  <c r="AP61" i="15"/>
  <c r="AP60" i="15"/>
  <c r="AP58" i="15"/>
  <c r="AP57" i="15"/>
  <c r="AP55" i="15"/>
  <c r="AP54" i="15"/>
  <c r="AP53" i="15"/>
  <c r="AP51" i="15"/>
  <c r="AP50" i="15"/>
  <c r="AP48" i="15"/>
  <c r="AP47" i="15"/>
  <c r="AP46" i="15"/>
  <c r="AP44" i="15"/>
  <c r="AP43" i="15"/>
  <c r="AP41" i="15"/>
  <c r="AP40" i="15"/>
  <c r="AP39" i="15"/>
  <c r="AP37" i="15"/>
  <c r="AP36" i="15"/>
  <c r="AP34" i="15"/>
  <c r="AP33" i="15"/>
  <c r="AP32" i="15"/>
  <c r="AP30" i="15"/>
  <c r="AP29" i="15"/>
  <c r="AP27" i="15"/>
  <c r="AP26" i="15"/>
  <c r="AP24" i="15"/>
  <c r="AP23" i="15"/>
  <c r="AP22" i="15"/>
  <c r="AP20" i="15"/>
  <c r="AP19" i="15"/>
  <c r="AP18" i="15"/>
  <c r="AP17" i="15"/>
  <c r="AP14" i="15"/>
  <c r="AP13" i="15"/>
  <c r="AP12" i="15"/>
  <c r="AP11" i="15"/>
  <c r="AP10" i="15"/>
  <c r="AP9" i="15"/>
  <c r="AP8" i="15"/>
  <c r="AP7" i="15"/>
  <c r="AP6" i="15"/>
  <c r="AP5" i="15"/>
  <c r="AP4" i="15"/>
  <c r="AM76" i="15"/>
  <c r="AM75" i="15"/>
  <c r="AM74" i="15"/>
  <c r="AM73" i="15"/>
  <c r="AM72" i="15"/>
  <c r="AM71" i="15"/>
  <c r="AM70" i="15"/>
  <c r="AM69" i="15"/>
  <c r="AM68" i="15"/>
  <c r="AM67" i="15"/>
  <c r="AM65" i="15"/>
  <c r="AM64" i="15"/>
  <c r="AM62" i="15"/>
  <c r="AM61" i="15"/>
  <c r="AM60" i="15"/>
  <c r="AM58" i="15"/>
  <c r="AM57" i="15"/>
  <c r="AM55" i="15"/>
  <c r="AM54" i="15"/>
  <c r="AM53" i="15"/>
  <c r="AM51" i="15"/>
  <c r="AM50" i="15"/>
  <c r="AM48" i="15"/>
  <c r="AM47" i="15"/>
  <c r="AM46" i="15"/>
  <c r="AM44" i="15"/>
  <c r="AM43" i="15"/>
  <c r="AM41" i="15"/>
  <c r="AM40" i="15"/>
  <c r="AM39" i="15"/>
  <c r="AM37" i="15"/>
  <c r="AM36" i="15"/>
  <c r="AM34" i="15"/>
  <c r="AM33" i="15"/>
  <c r="AM32" i="15"/>
  <c r="AM30" i="15"/>
  <c r="AM29" i="15"/>
  <c r="AM27" i="15"/>
  <c r="AM26" i="15"/>
  <c r="AM24" i="15"/>
  <c r="AM23" i="15"/>
  <c r="AM22" i="15"/>
  <c r="AM20" i="15"/>
  <c r="AM19" i="15"/>
  <c r="AM18" i="15"/>
  <c r="AM17" i="15"/>
  <c r="AM14" i="15"/>
  <c r="AM13" i="15"/>
  <c r="AM12" i="15"/>
  <c r="AM11" i="15"/>
  <c r="AM10" i="15"/>
  <c r="AM9" i="15"/>
  <c r="AM8" i="15"/>
  <c r="AM7" i="15"/>
  <c r="AM6" i="15"/>
  <c r="AM5" i="15"/>
  <c r="AM4" i="15"/>
  <c r="AJ76" i="15"/>
  <c r="AJ75" i="15"/>
  <c r="AJ74" i="15"/>
  <c r="AJ73" i="15"/>
  <c r="AJ72" i="15"/>
  <c r="AJ71" i="15"/>
  <c r="AJ70" i="15"/>
  <c r="AJ69" i="15"/>
  <c r="AJ68" i="15"/>
  <c r="AJ67" i="15"/>
  <c r="AJ65" i="15"/>
  <c r="AJ64" i="15"/>
  <c r="AJ62" i="15"/>
  <c r="AJ61" i="15"/>
  <c r="AJ60" i="15"/>
  <c r="AJ58" i="15"/>
  <c r="AJ57" i="15"/>
  <c r="AJ55" i="15"/>
  <c r="AJ54" i="15"/>
  <c r="AJ53" i="15"/>
  <c r="AJ51" i="15"/>
  <c r="AJ50" i="15"/>
  <c r="AJ48" i="15"/>
  <c r="AJ47" i="15"/>
  <c r="AJ46" i="15"/>
  <c r="AJ44" i="15"/>
  <c r="AJ43" i="15"/>
  <c r="AJ41" i="15"/>
  <c r="AJ40" i="15"/>
  <c r="AJ39" i="15"/>
  <c r="AJ37" i="15"/>
  <c r="AJ36" i="15"/>
  <c r="AJ34" i="15"/>
  <c r="AJ33" i="15"/>
  <c r="AJ32" i="15"/>
  <c r="AJ30" i="15"/>
  <c r="AJ29" i="15"/>
  <c r="AJ27" i="15"/>
  <c r="AJ26" i="15"/>
  <c r="AJ24" i="15"/>
  <c r="AJ23" i="15"/>
  <c r="AJ22" i="15"/>
  <c r="AJ20" i="15"/>
  <c r="AJ19" i="15"/>
  <c r="AJ18" i="15"/>
  <c r="AJ17" i="15"/>
  <c r="AJ14" i="15"/>
  <c r="AJ13" i="15"/>
  <c r="AJ12" i="15"/>
  <c r="AJ11" i="15"/>
  <c r="AJ10" i="15"/>
  <c r="AJ9" i="15"/>
  <c r="AJ8" i="15"/>
  <c r="AJ7" i="15"/>
  <c r="AJ6" i="15"/>
  <c r="AJ5" i="15"/>
  <c r="AJ4" i="15"/>
  <c r="AG76" i="15"/>
  <c r="AG75" i="15"/>
  <c r="AG74" i="15"/>
  <c r="AG73" i="15"/>
  <c r="AG72" i="15"/>
  <c r="AG71" i="15"/>
  <c r="AG70" i="15"/>
  <c r="AG69" i="15"/>
  <c r="AG68" i="15"/>
  <c r="AG67" i="15"/>
  <c r="AG65" i="15"/>
  <c r="AG64" i="15"/>
  <c r="AG62" i="15"/>
  <c r="AG61" i="15"/>
  <c r="AG60" i="15"/>
  <c r="AG58" i="15"/>
  <c r="AG57" i="15"/>
  <c r="AG55" i="15"/>
  <c r="AG54" i="15"/>
  <c r="AG53" i="15"/>
  <c r="AG51" i="15"/>
  <c r="AG50" i="15"/>
  <c r="AG48" i="15"/>
  <c r="AG47" i="15"/>
  <c r="AG46" i="15"/>
  <c r="AG44" i="15"/>
  <c r="AG43" i="15"/>
  <c r="AG41" i="15"/>
  <c r="AG40" i="15"/>
  <c r="AG39" i="15"/>
  <c r="AG37" i="15"/>
  <c r="AG36" i="15"/>
  <c r="AG34" i="15"/>
  <c r="AG33" i="15"/>
  <c r="AG32" i="15"/>
  <c r="AG30" i="15"/>
  <c r="AG29" i="15"/>
  <c r="AG27" i="15"/>
  <c r="AG26" i="15"/>
  <c r="AG24" i="15"/>
  <c r="AG23" i="15"/>
  <c r="AG22" i="15"/>
  <c r="AG20" i="15"/>
  <c r="AG19" i="15"/>
  <c r="AG18" i="15"/>
  <c r="AG17" i="15"/>
  <c r="AG14" i="15"/>
  <c r="AG13" i="15"/>
  <c r="AG12" i="15"/>
  <c r="AG11" i="15"/>
  <c r="AG10" i="15"/>
  <c r="AG9" i="15"/>
  <c r="AG8" i="15"/>
  <c r="AG7" i="15"/>
  <c r="AG6" i="15"/>
  <c r="AG5" i="15"/>
  <c r="AG4" i="15"/>
  <c r="AD76" i="15"/>
  <c r="AD75" i="15"/>
  <c r="AD74" i="15"/>
  <c r="AD73" i="15"/>
  <c r="AD72" i="15"/>
  <c r="AD71" i="15"/>
  <c r="AD70" i="15"/>
  <c r="AD69" i="15"/>
  <c r="AD68" i="15"/>
  <c r="AD67" i="15"/>
  <c r="AD65" i="15"/>
  <c r="AD64" i="15"/>
  <c r="AD62" i="15"/>
  <c r="AD61" i="15"/>
  <c r="AD60" i="15"/>
  <c r="AD58" i="15"/>
  <c r="AD57" i="15"/>
  <c r="AD55" i="15"/>
  <c r="AD54" i="15"/>
  <c r="AD53" i="15"/>
  <c r="AD51" i="15"/>
  <c r="AD50" i="15"/>
  <c r="AD48" i="15"/>
  <c r="AD47" i="15"/>
  <c r="AD46" i="15"/>
  <c r="AD44" i="15"/>
  <c r="AD43" i="15"/>
  <c r="AD41" i="15"/>
  <c r="AD40" i="15"/>
  <c r="AD39" i="15"/>
  <c r="AD37" i="15"/>
  <c r="AD36" i="15"/>
  <c r="AD34" i="15"/>
  <c r="AD33" i="15"/>
  <c r="AD32" i="15"/>
  <c r="AD30" i="15"/>
  <c r="AD29" i="15"/>
  <c r="AD27" i="15"/>
  <c r="AD26" i="15"/>
  <c r="AD24" i="15"/>
  <c r="AD23" i="15"/>
  <c r="AD22" i="15"/>
  <c r="AD20" i="15"/>
  <c r="AD19" i="15"/>
  <c r="AD18" i="15"/>
  <c r="AD17" i="15"/>
  <c r="AD14" i="15"/>
  <c r="AD13" i="15"/>
  <c r="AD12" i="15"/>
  <c r="AD11" i="15"/>
  <c r="AD10" i="15"/>
  <c r="AD9" i="15"/>
  <c r="AD8" i="15"/>
  <c r="AD7" i="15"/>
  <c r="AD6" i="15"/>
  <c r="AD5" i="15"/>
  <c r="AD4" i="15"/>
  <c r="AA76" i="15"/>
  <c r="AA75" i="15"/>
  <c r="AA74" i="15"/>
  <c r="AA73" i="15"/>
  <c r="AA72" i="15"/>
  <c r="AA71" i="15"/>
  <c r="AA70" i="15"/>
  <c r="AA69" i="15"/>
  <c r="AA68" i="15"/>
  <c r="AA67" i="15"/>
  <c r="AA65" i="15"/>
  <c r="AA64" i="15"/>
  <c r="AA62" i="15"/>
  <c r="AA61" i="15"/>
  <c r="AA60" i="15"/>
  <c r="AA58" i="15"/>
  <c r="AA57" i="15"/>
  <c r="AA55" i="15"/>
  <c r="AA54" i="15"/>
  <c r="AA53" i="15"/>
  <c r="AA51" i="15"/>
  <c r="AA50" i="15"/>
  <c r="AA48" i="15"/>
  <c r="AA47" i="15"/>
  <c r="AA46" i="15"/>
  <c r="AA44" i="15"/>
  <c r="AA43" i="15"/>
  <c r="AA41" i="15"/>
  <c r="AA40" i="15"/>
  <c r="AA39" i="15"/>
  <c r="AA37" i="15"/>
  <c r="AA36" i="15"/>
  <c r="AA34" i="15"/>
  <c r="AA33" i="15"/>
  <c r="AA32" i="15"/>
  <c r="AA30" i="15"/>
  <c r="AA29" i="15"/>
  <c r="AA27" i="15"/>
  <c r="AA26" i="15"/>
  <c r="AA24" i="15"/>
  <c r="AA23" i="15"/>
  <c r="AA22" i="15"/>
  <c r="AA20" i="15"/>
  <c r="AA19" i="15"/>
  <c r="AA18" i="15"/>
  <c r="AA17" i="15"/>
  <c r="AA14" i="15"/>
  <c r="AA13" i="15"/>
  <c r="AA12" i="15"/>
  <c r="AA11" i="15"/>
  <c r="AA10" i="15"/>
  <c r="AA9" i="15"/>
  <c r="AA8" i="15"/>
  <c r="AA7" i="15"/>
  <c r="AA6" i="15"/>
  <c r="AA5" i="15"/>
  <c r="AA4" i="15"/>
  <c r="X76" i="15"/>
  <c r="X75" i="15"/>
  <c r="X74" i="15"/>
  <c r="X73" i="15"/>
  <c r="X72" i="15"/>
  <c r="X71" i="15"/>
  <c r="X70" i="15"/>
  <c r="X69" i="15"/>
  <c r="X68" i="15"/>
  <c r="X67" i="15"/>
  <c r="X65" i="15"/>
  <c r="X64" i="15"/>
  <c r="X62" i="15"/>
  <c r="X61" i="15"/>
  <c r="X60" i="15"/>
  <c r="X58" i="15"/>
  <c r="X57" i="15"/>
  <c r="X55" i="15"/>
  <c r="X54" i="15"/>
  <c r="X53" i="15"/>
  <c r="X51" i="15"/>
  <c r="X50" i="15"/>
  <c r="X48" i="15"/>
  <c r="X47" i="15"/>
  <c r="X46" i="15"/>
  <c r="X44" i="15"/>
  <c r="X43" i="15"/>
  <c r="X41" i="15"/>
  <c r="X40" i="15"/>
  <c r="X39" i="15"/>
  <c r="X37" i="15"/>
  <c r="X36" i="15"/>
  <c r="X34" i="15"/>
  <c r="X33" i="15"/>
  <c r="X32" i="15"/>
  <c r="X30" i="15"/>
  <c r="X29" i="15"/>
  <c r="X27" i="15"/>
  <c r="X26" i="15"/>
  <c r="X24" i="15"/>
  <c r="X23" i="15"/>
  <c r="X22" i="15"/>
  <c r="X20" i="15"/>
  <c r="X19" i="15"/>
  <c r="X18" i="15"/>
  <c r="X17" i="15"/>
  <c r="X14" i="15"/>
  <c r="X13" i="15"/>
  <c r="X12" i="15"/>
  <c r="X10" i="15"/>
  <c r="X9" i="15"/>
  <c r="X7" i="15"/>
  <c r="X6" i="15"/>
  <c r="X5" i="15"/>
  <c r="X4" i="15"/>
  <c r="U76" i="15"/>
  <c r="U75" i="15"/>
  <c r="U74" i="15"/>
  <c r="U73" i="15"/>
  <c r="U72" i="15"/>
  <c r="U71" i="15"/>
  <c r="U70" i="15"/>
  <c r="U69" i="15"/>
  <c r="U68" i="15"/>
  <c r="U67" i="15"/>
  <c r="U65" i="15"/>
  <c r="U64" i="15"/>
  <c r="U62" i="15"/>
  <c r="U61" i="15"/>
  <c r="U60" i="15"/>
  <c r="U58" i="15"/>
  <c r="U57" i="15"/>
  <c r="U55" i="15"/>
  <c r="U54" i="15"/>
  <c r="U53" i="15"/>
  <c r="U51" i="15"/>
  <c r="U50" i="15"/>
  <c r="U48" i="15"/>
  <c r="U47" i="15"/>
  <c r="U46" i="15"/>
  <c r="U44" i="15"/>
  <c r="U43" i="15"/>
  <c r="U41" i="15"/>
  <c r="U40" i="15"/>
  <c r="U39" i="15"/>
  <c r="U37" i="15"/>
  <c r="U36" i="15"/>
  <c r="U34" i="15"/>
  <c r="U33" i="15"/>
  <c r="U32" i="15"/>
  <c r="U30" i="15"/>
  <c r="U29" i="15"/>
  <c r="U27" i="15"/>
  <c r="U26" i="15"/>
  <c r="U24" i="15"/>
  <c r="U23" i="15"/>
  <c r="U22" i="15"/>
  <c r="U20" i="15"/>
  <c r="U19" i="15"/>
  <c r="U18" i="15"/>
  <c r="U17" i="15"/>
  <c r="U14" i="15"/>
  <c r="U13" i="15"/>
  <c r="U12" i="15"/>
  <c r="U11" i="15"/>
  <c r="U10" i="15"/>
  <c r="U9" i="15"/>
  <c r="U8" i="15"/>
  <c r="U7" i="15"/>
  <c r="U6" i="15"/>
  <c r="U5" i="15"/>
  <c r="U4" i="15"/>
  <c r="R76" i="15"/>
  <c r="R75" i="15"/>
  <c r="R74" i="15"/>
  <c r="R73" i="15"/>
  <c r="R72" i="15"/>
  <c r="R71" i="15"/>
  <c r="R70" i="15"/>
  <c r="R69" i="15"/>
  <c r="R68" i="15"/>
  <c r="R67" i="15"/>
  <c r="R65" i="15"/>
  <c r="R64" i="15"/>
  <c r="R62" i="15"/>
  <c r="R61" i="15"/>
  <c r="R60" i="15"/>
  <c r="R58" i="15"/>
  <c r="R57" i="15"/>
  <c r="R55" i="15"/>
  <c r="R54" i="15"/>
  <c r="R53" i="15"/>
  <c r="R51" i="15"/>
  <c r="R50" i="15"/>
  <c r="R48" i="15"/>
  <c r="R47" i="15"/>
  <c r="R46" i="15"/>
  <c r="R44" i="15"/>
  <c r="R43" i="15"/>
  <c r="R41" i="15"/>
  <c r="R40" i="15"/>
  <c r="R39" i="15"/>
  <c r="R37" i="15"/>
  <c r="R36" i="15"/>
  <c r="R34" i="15"/>
  <c r="R33" i="15"/>
  <c r="R32" i="15"/>
  <c r="R30" i="15"/>
  <c r="R29" i="15"/>
  <c r="R27" i="15"/>
  <c r="R26" i="15"/>
  <c r="R24" i="15"/>
  <c r="R23" i="15"/>
  <c r="R22" i="15"/>
  <c r="R20" i="15"/>
  <c r="R19" i="15"/>
  <c r="R18" i="15"/>
  <c r="R17" i="15"/>
  <c r="R14" i="15"/>
  <c r="R13" i="15"/>
  <c r="R12" i="15"/>
  <c r="R11" i="15"/>
  <c r="R10" i="15"/>
  <c r="R9" i="15"/>
  <c r="R8" i="15"/>
  <c r="R7" i="15"/>
  <c r="R6" i="15"/>
  <c r="R5" i="15"/>
  <c r="R4" i="15"/>
  <c r="O76" i="15"/>
  <c r="O75" i="15"/>
  <c r="O74" i="15"/>
  <c r="O73" i="15"/>
  <c r="O72" i="15"/>
  <c r="O71" i="15"/>
  <c r="O70" i="15"/>
  <c r="O69" i="15"/>
  <c r="O68" i="15"/>
  <c r="O67" i="15"/>
  <c r="O65" i="15"/>
  <c r="O64" i="15"/>
  <c r="O62" i="15"/>
  <c r="O61" i="15"/>
  <c r="O60" i="15"/>
  <c r="O58" i="15"/>
  <c r="O57" i="15"/>
  <c r="O55" i="15"/>
  <c r="O54" i="15"/>
  <c r="O53" i="15"/>
  <c r="O51" i="15"/>
  <c r="O50" i="15"/>
  <c r="O48" i="15"/>
  <c r="O47" i="15"/>
  <c r="O46" i="15"/>
  <c r="O44" i="15"/>
  <c r="O43" i="15"/>
  <c r="O41" i="15"/>
  <c r="O40" i="15"/>
  <c r="O39" i="15"/>
  <c r="O37" i="15"/>
  <c r="O36" i="15"/>
  <c r="O34" i="15"/>
  <c r="O33" i="15"/>
  <c r="O32" i="15"/>
  <c r="O30" i="15"/>
  <c r="O29" i="15"/>
  <c r="O27" i="15"/>
  <c r="O26" i="15"/>
  <c r="O24" i="15"/>
  <c r="O23" i="15"/>
  <c r="O22" i="15"/>
  <c r="O20" i="15"/>
  <c r="O19" i="15"/>
  <c r="O18" i="15"/>
  <c r="O17" i="15"/>
  <c r="O14" i="15"/>
  <c r="O13" i="15"/>
  <c r="O12" i="15"/>
  <c r="O10" i="15"/>
  <c r="O9" i="15"/>
  <c r="O8" i="15"/>
  <c r="O7" i="15"/>
  <c r="O6" i="15"/>
  <c r="O5" i="15"/>
  <c r="O4" i="15"/>
  <c r="L76" i="15"/>
  <c r="L75" i="15"/>
  <c r="L74" i="15"/>
  <c r="L73" i="15"/>
  <c r="L72" i="15"/>
  <c r="L71" i="15"/>
  <c r="L70" i="15"/>
  <c r="L69" i="15"/>
  <c r="L68" i="15"/>
  <c r="L67" i="15"/>
  <c r="L65" i="15"/>
  <c r="L64" i="15"/>
  <c r="L62" i="15"/>
  <c r="L61" i="15"/>
  <c r="L60" i="15"/>
  <c r="L58" i="15"/>
  <c r="L57" i="15"/>
  <c r="L55" i="15"/>
  <c r="L54" i="15"/>
  <c r="L53" i="15"/>
  <c r="L51" i="15"/>
  <c r="L50" i="15"/>
  <c r="L48" i="15"/>
  <c r="L47" i="15"/>
  <c r="L46" i="15"/>
  <c r="L44" i="15"/>
  <c r="L43" i="15"/>
  <c r="L41" i="15"/>
  <c r="L40" i="15"/>
  <c r="L39" i="15"/>
  <c r="L37" i="15"/>
  <c r="L36" i="15"/>
  <c r="L34" i="15"/>
  <c r="L33" i="15"/>
  <c r="L32" i="15"/>
  <c r="L30" i="15"/>
  <c r="L29" i="15"/>
  <c r="L27" i="15"/>
  <c r="L26" i="15"/>
  <c r="L24" i="15"/>
  <c r="L23" i="15"/>
  <c r="L22" i="15"/>
  <c r="L20" i="15"/>
  <c r="L19" i="15"/>
  <c r="L18" i="15"/>
  <c r="L17" i="15"/>
  <c r="L14" i="15"/>
  <c r="L13" i="15"/>
  <c r="L12" i="15"/>
  <c r="L10" i="15"/>
  <c r="L9" i="15"/>
  <c r="L8" i="15"/>
  <c r="L7" i="15"/>
  <c r="L6" i="15"/>
  <c r="L5" i="15"/>
  <c r="L4" i="15"/>
  <c r="I76" i="15"/>
  <c r="I75" i="15"/>
  <c r="I74" i="15"/>
  <c r="I73" i="15"/>
  <c r="I72" i="15"/>
  <c r="I71" i="15"/>
  <c r="I70" i="15"/>
  <c r="I69" i="15"/>
  <c r="I68" i="15"/>
  <c r="I67" i="15"/>
  <c r="I65" i="15"/>
  <c r="I64" i="15"/>
  <c r="I62" i="15"/>
  <c r="I61" i="15"/>
  <c r="I60" i="15"/>
  <c r="I58" i="15"/>
  <c r="I57" i="15"/>
  <c r="I55" i="15"/>
  <c r="I54" i="15"/>
  <c r="I53" i="15"/>
  <c r="I51" i="15"/>
  <c r="I50" i="15"/>
  <c r="I48" i="15"/>
  <c r="I47" i="15"/>
  <c r="I46" i="15"/>
  <c r="I44" i="15"/>
  <c r="I43" i="15"/>
  <c r="I41" i="15"/>
  <c r="I40" i="15"/>
  <c r="I39" i="15"/>
  <c r="I37" i="15"/>
  <c r="I36" i="15"/>
  <c r="I34" i="15"/>
  <c r="I33" i="15"/>
  <c r="I32" i="15"/>
  <c r="I30" i="15"/>
  <c r="I29" i="15"/>
  <c r="I27" i="15"/>
  <c r="I26" i="15"/>
  <c r="I24" i="15"/>
  <c r="I23" i="15"/>
  <c r="I22" i="15"/>
  <c r="I20" i="15"/>
  <c r="I19" i="15"/>
  <c r="I18" i="15"/>
  <c r="I17" i="15"/>
  <c r="I14" i="15"/>
  <c r="I13" i="15"/>
  <c r="I12" i="15"/>
  <c r="I11" i="15"/>
  <c r="I10" i="15"/>
  <c r="I9" i="15"/>
  <c r="I7" i="15"/>
  <c r="I6" i="15"/>
  <c r="I5" i="15"/>
  <c r="I4" i="15"/>
  <c r="F76" i="15"/>
  <c r="F75" i="15"/>
  <c r="F74" i="15"/>
  <c r="F73" i="15"/>
  <c r="F72" i="15"/>
  <c r="F71" i="15"/>
  <c r="F70" i="15"/>
  <c r="F69" i="15"/>
  <c r="F68" i="15"/>
  <c r="F67" i="15"/>
  <c r="F65" i="15"/>
  <c r="F64" i="15"/>
  <c r="F62" i="15"/>
  <c r="F61" i="15"/>
  <c r="F60" i="15"/>
  <c r="F58" i="15"/>
  <c r="F57" i="15"/>
  <c r="F55" i="15"/>
  <c r="F54" i="15"/>
  <c r="F53" i="15"/>
  <c r="F51" i="15"/>
  <c r="F50" i="15"/>
  <c r="F48" i="15"/>
  <c r="F47" i="15"/>
  <c r="F46" i="15"/>
  <c r="F44" i="15"/>
  <c r="F43" i="15"/>
  <c r="F41" i="15"/>
  <c r="F40" i="15"/>
  <c r="F39" i="15"/>
  <c r="F37" i="15"/>
  <c r="F36" i="15"/>
  <c r="F34" i="15"/>
  <c r="F33" i="15"/>
  <c r="F32" i="15"/>
  <c r="F30" i="15"/>
  <c r="F29" i="15"/>
  <c r="F27" i="15"/>
  <c r="F26" i="15"/>
  <c r="F24" i="15"/>
  <c r="F23" i="15"/>
  <c r="F22" i="15"/>
  <c r="F20" i="15"/>
  <c r="F19" i="15"/>
  <c r="F18" i="15"/>
  <c r="F17" i="15"/>
  <c r="F14" i="15"/>
  <c r="F13" i="15"/>
  <c r="F12" i="15"/>
  <c r="F11" i="15"/>
  <c r="F10" i="15"/>
  <c r="F9" i="15"/>
  <c r="F7" i="15"/>
  <c r="F6" i="15"/>
  <c r="F5" i="15"/>
  <c r="F4" i="15"/>
  <c r="C24" i="15"/>
  <c r="C26" i="15"/>
  <c r="C27" i="15"/>
  <c r="C29" i="15"/>
  <c r="C30" i="15"/>
  <c r="C32" i="15"/>
  <c r="C33" i="15"/>
  <c r="C34" i="15"/>
  <c r="C36" i="15"/>
  <c r="C37" i="15"/>
  <c r="C39" i="15"/>
  <c r="C40" i="15"/>
  <c r="C41" i="15"/>
  <c r="C43" i="15"/>
  <c r="C44" i="15"/>
  <c r="C46" i="15"/>
  <c r="C47" i="15"/>
  <c r="C48" i="15"/>
  <c r="C50" i="15"/>
  <c r="C51" i="15"/>
  <c r="C53" i="15"/>
  <c r="C54" i="15"/>
  <c r="C55" i="15"/>
  <c r="C57" i="15"/>
  <c r="C58" i="15"/>
  <c r="C60" i="15"/>
  <c r="C61" i="15"/>
  <c r="C62" i="15"/>
  <c r="C64" i="15"/>
  <c r="C65" i="15"/>
  <c r="C67" i="15"/>
  <c r="C68" i="15"/>
  <c r="C69" i="15"/>
  <c r="C70" i="15"/>
  <c r="C72" i="15"/>
  <c r="C73" i="15"/>
  <c r="C74" i="15"/>
  <c r="C75" i="15"/>
  <c r="C76" i="15"/>
  <c r="C5" i="15"/>
  <c r="C6" i="15"/>
  <c r="C7" i="15"/>
  <c r="C9" i="15"/>
  <c r="C10" i="15"/>
  <c r="C11" i="15"/>
  <c r="C12" i="15"/>
  <c r="C13" i="15"/>
  <c r="C14" i="15"/>
  <c r="C17" i="15"/>
  <c r="C18" i="15"/>
  <c r="C19" i="15"/>
  <c r="C20" i="15"/>
  <c r="C22" i="15"/>
  <c r="C23" i="15"/>
  <c r="C4" i="15"/>
  <c r="AC78" i="15"/>
  <c r="AU78" i="15"/>
  <c r="AR78" i="15"/>
  <c r="AO78" i="15"/>
  <c r="AL78" i="15"/>
  <c r="AI78" i="15"/>
  <c r="AF78" i="15"/>
  <c r="Z78" i="15"/>
  <c r="W78" i="15"/>
  <c r="T78" i="15"/>
  <c r="Q78" i="15"/>
  <c r="N78" i="15"/>
  <c r="K78" i="15"/>
  <c r="AB413" i="2"/>
  <c r="C28" i="4"/>
  <c r="C54" i="4"/>
  <c r="AB477" i="2"/>
  <c r="AB197" i="2"/>
  <c r="AB205" i="2"/>
  <c r="AC205" i="2"/>
  <c r="Y2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P35" i="2"/>
  <c r="AB193" i="2"/>
  <c r="AB201" i="2"/>
  <c r="AB209" i="2"/>
  <c r="AB213" i="2"/>
  <c r="AB217" i="2"/>
  <c r="AB221" i="2"/>
  <c r="AB225" i="2"/>
  <c r="AB229" i="2"/>
  <c r="AB233" i="2"/>
  <c r="AB237" i="2"/>
  <c r="AB241" i="2"/>
  <c r="AB245" i="2"/>
  <c r="AB249" i="2"/>
  <c r="Y18" i="2"/>
  <c r="Y19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33" i="2"/>
  <c r="Y34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50" i="2"/>
  <c r="Y69" i="2"/>
  <c r="Y71" i="2"/>
  <c r="Y73" i="2"/>
  <c r="Y75" i="2"/>
  <c r="Y77" i="2"/>
  <c r="Y79" i="2"/>
  <c r="Y82" i="2"/>
  <c r="Y83" i="2"/>
  <c r="Y86" i="2"/>
  <c r="Y89" i="2"/>
  <c r="Y92" i="2"/>
  <c r="Y95" i="2"/>
  <c r="Y98" i="2"/>
  <c r="Y101" i="2"/>
  <c r="Y104" i="2"/>
  <c r="Y107" i="2"/>
  <c r="Y110" i="2"/>
  <c r="Y113" i="2"/>
  <c r="Y116" i="2"/>
  <c r="Y119" i="2"/>
  <c r="Y122" i="2"/>
  <c r="Y125" i="2"/>
  <c r="Y128" i="2"/>
  <c r="Y131" i="2"/>
  <c r="Y135" i="2"/>
  <c r="Y139" i="2"/>
  <c r="Y143" i="2"/>
  <c r="Y147" i="2"/>
  <c r="Y151" i="2"/>
  <c r="Y155" i="2"/>
  <c r="Y159" i="2"/>
  <c r="Y161" i="2"/>
  <c r="Y165" i="2"/>
  <c r="Y169" i="2"/>
  <c r="Y173" i="2"/>
  <c r="Y177" i="2"/>
  <c r="Y181" i="2"/>
  <c r="Y185" i="2"/>
  <c r="Y189" i="2"/>
  <c r="Y193" i="2"/>
  <c r="P19" i="2"/>
  <c r="Q72" i="4"/>
  <c r="R2" i="4"/>
  <c r="N2" i="4"/>
  <c r="L28" i="4"/>
  <c r="L29" i="4"/>
  <c r="M2" i="4"/>
  <c r="Q2" i="4"/>
  <c r="V2" i="4"/>
  <c r="D133" i="4"/>
  <c r="I125" i="4"/>
  <c r="C133" i="4"/>
  <c r="H125" i="4"/>
  <c r="J125" i="4"/>
  <c r="D132" i="4"/>
  <c r="I124" i="4"/>
  <c r="C132" i="4"/>
  <c r="H124" i="4"/>
  <c r="J124" i="4"/>
  <c r="D131" i="4"/>
  <c r="I123" i="4"/>
  <c r="C131" i="4"/>
  <c r="H123" i="4"/>
  <c r="J123" i="4"/>
  <c r="D130" i="4"/>
  <c r="I122" i="4"/>
  <c r="C130" i="4"/>
  <c r="H122" i="4"/>
  <c r="J122" i="4"/>
  <c r="D129" i="4"/>
  <c r="I121" i="4"/>
  <c r="C129" i="4"/>
  <c r="H121" i="4"/>
  <c r="J121" i="4"/>
  <c r="D128" i="4"/>
  <c r="I120" i="4"/>
  <c r="C128" i="4"/>
  <c r="H120" i="4"/>
  <c r="J120" i="4"/>
  <c r="D127" i="4"/>
  <c r="I119" i="4"/>
  <c r="C127" i="4"/>
  <c r="H119" i="4"/>
  <c r="J119" i="4"/>
  <c r="D126" i="4"/>
  <c r="I118" i="4"/>
  <c r="C126" i="4"/>
  <c r="H118" i="4"/>
  <c r="J118" i="4"/>
  <c r="D124" i="4"/>
  <c r="D125" i="4"/>
  <c r="I117" i="4"/>
  <c r="C124" i="4"/>
  <c r="C125" i="4"/>
  <c r="H117" i="4"/>
  <c r="J117" i="4"/>
  <c r="D122" i="4"/>
  <c r="D123" i="4"/>
  <c r="I116" i="4"/>
  <c r="C122" i="4"/>
  <c r="C123" i="4"/>
  <c r="H116" i="4"/>
  <c r="J116" i="4"/>
  <c r="D120" i="4"/>
  <c r="D121" i="4"/>
  <c r="I115" i="4"/>
  <c r="C120" i="4"/>
  <c r="C121" i="4"/>
  <c r="H115" i="4"/>
  <c r="J115" i="4"/>
  <c r="D118" i="4"/>
  <c r="D119" i="4"/>
  <c r="I114" i="4"/>
  <c r="C118" i="4"/>
  <c r="C119" i="4"/>
  <c r="H114" i="4"/>
  <c r="J114" i="4"/>
  <c r="D116" i="4"/>
  <c r="D117" i="4"/>
  <c r="I113" i="4"/>
  <c r="C116" i="4"/>
  <c r="C117" i="4"/>
  <c r="H113" i="4"/>
  <c r="J113" i="4"/>
  <c r="D114" i="4"/>
  <c r="D115" i="4"/>
  <c r="I112" i="4"/>
  <c r="C114" i="4"/>
  <c r="C115" i="4"/>
  <c r="H112" i="4"/>
  <c r="J112" i="4"/>
  <c r="D112" i="4"/>
  <c r="D113" i="4"/>
  <c r="I111" i="4"/>
  <c r="C112" i="4"/>
  <c r="C113" i="4"/>
  <c r="H111" i="4"/>
  <c r="J111" i="4"/>
  <c r="D110" i="4"/>
  <c r="D111" i="4"/>
  <c r="I110" i="4"/>
  <c r="C110" i="4"/>
  <c r="C111" i="4"/>
  <c r="H110" i="4"/>
  <c r="J110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L44" i="4"/>
  <c r="M10" i="4"/>
  <c r="N10" i="4"/>
  <c r="Q10" i="4"/>
  <c r="X10" i="4"/>
  <c r="Q83" i="4"/>
  <c r="P13" i="4"/>
  <c r="R13" i="4"/>
  <c r="W13" i="4"/>
  <c r="Q82" i="4"/>
  <c r="P12" i="4"/>
  <c r="R12" i="4"/>
  <c r="W12" i="4"/>
  <c r="Q81" i="4"/>
  <c r="P11" i="4"/>
  <c r="R11" i="4"/>
  <c r="W11" i="4"/>
  <c r="Q80" i="4"/>
  <c r="P10" i="4"/>
  <c r="R10" i="4"/>
  <c r="W10" i="4"/>
  <c r="L47" i="4"/>
  <c r="M13" i="4"/>
  <c r="N13" i="4"/>
  <c r="Q13" i="4"/>
  <c r="X13" i="4"/>
  <c r="L46" i="4"/>
  <c r="M12" i="4"/>
  <c r="N12" i="4"/>
  <c r="O12" i="4"/>
  <c r="Q12" i="4"/>
  <c r="X12" i="4"/>
  <c r="L45" i="4"/>
  <c r="M11" i="4"/>
  <c r="N11" i="4"/>
  <c r="O11" i="4"/>
  <c r="Q11" i="4"/>
  <c r="X11" i="4"/>
  <c r="K53" i="10"/>
  <c r="K54" i="10"/>
  <c r="K52" i="10"/>
  <c r="K51" i="10"/>
  <c r="L51" i="4"/>
  <c r="M17" i="4"/>
  <c r="N17" i="4"/>
  <c r="Q17" i="4"/>
  <c r="X17" i="4"/>
  <c r="L50" i="4"/>
  <c r="M16" i="4"/>
  <c r="N16" i="4"/>
  <c r="Q16" i="4"/>
  <c r="X16" i="4"/>
  <c r="L49" i="4"/>
  <c r="M15" i="4"/>
  <c r="N15" i="4"/>
  <c r="Q15" i="4"/>
  <c r="X15" i="4"/>
  <c r="L48" i="4"/>
  <c r="M14" i="4"/>
  <c r="N14" i="4"/>
  <c r="Q14" i="4"/>
  <c r="X14" i="4"/>
  <c r="L42" i="4"/>
  <c r="L43" i="4"/>
  <c r="M9" i="4"/>
  <c r="N9" i="4"/>
  <c r="Q9" i="4"/>
  <c r="X9" i="4"/>
  <c r="L40" i="4"/>
  <c r="L41" i="4"/>
  <c r="M8" i="4"/>
  <c r="N8" i="4"/>
  <c r="O8" i="4"/>
  <c r="Q8" i="4"/>
  <c r="X8" i="4"/>
  <c r="L38" i="4"/>
  <c r="L39" i="4"/>
  <c r="M7" i="4"/>
  <c r="N7" i="4"/>
  <c r="O7" i="4"/>
  <c r="Q7" i="4"/>
  <c r="X7" i="4"/>
  <c r="L36" i="4"/>
  <c r="L37" i="4"/>
  <c r="M6" i="4"/>
  <c r="N6" i="4"/>
  <c r="O6" i="4"/>
  <c r="Q6" i="4"/>
  <c r="X6" i="4"/>
  <c r="L34" i="4"/>
  <c r="L35" i="4"/>
  <c r="M5" i="4"/>
  <c r="N5" i="4"/>
  <c r="Q5" i="4"/>
  <c r="X5" i="4"/>
  <c r="L32" i="4"/>
  <c r="L33" i="4"/>
  <c r="M4" i="4"/>
  <c r="N4" i="4"/>
  <c r="Q4" i="4"/>
  <c r="X4" i="4"/>
  <c r="L30" i="4"/>
  <c r="L31" i="4"/>
  <c r="M3" i="4"/>
  <c r="N3" i="4"/>
  <c r="Q3" i="4"/>
  <c r="X3" i="4"/>
  <c r="O2" i="4"/>
  <c r="X2" i="4"/>
  <c r="W2" i="4"/>
  <c r="Q87" i="4"/>
  <c r="R17" i="4"/>
  <c r="V17" i="4"/>
  <c r="Q86" i="4"/>
  <c r="R16" i="4"/>
  <c r="V16" i="4"/>
  <c r="Q85" i="4"/>
  <c r="R15" i="4"/>
  <c r="V15" i="4"/>
  <c r="Q84" i="4"/>
  <c r="P14" i="4"/>
  <c r="R14" i="4"/>
  <c r="V14" i="4"/>
  <c r="V13" i="4"/>
  <c r="V12" i="4"/>
  <c r="V11" i="4"/>
  <c r="V10" i="4"/>
  <c r="Q79" i="4"/>
  <c r="P9" i="4"/>
  <c r="R9" i="4"/>
  <c r="V9" i="4"/>
  <c r="Q78" i="4"/>
  <c r="R8" i="4"/>
  <c r="V8" i="4"/>
  <c r="Q77" i="4"/>
  <c r="P7" i="4"/>
  <c r="R7" i="4"/>
  <c r="V7" i="4"/>
  <c r="Q76" i="4"/>
  <c r="R6" i="4"/>
  <c r="V6" i="4"/>
  <c r="Q75" i="4"/>
  <c r="P5" i="4"/>
  <c r="R5" i="4"/>
  <c r="V5" i="4"/>
  <c r="Q74" i="4"/>
  <c r="P4" i="4"/>
  <c r="R4" i="4"/>
  <c r="V4" i="4"/>
  <c r="Q73" i="4"/>
  <c r="R3" i="4"/>
  <c r="V3" i="4"/>
  <c r="C4" i="4"/>
  <c r="C5" i="4"/>
  <c r="K3" i="4"/>
  <c r="AD389" i="2"/>
  <c r="AD513" i="2"/>
  <c r="AD581" i="2"/>
  <c r="Z925" i="2"/>
  <c r="Z921" i="2"/>
  <c r="Z917" i="2"/>
  <c r="Z913" i="2"/>
  <c r="Z909" i="2"/>
  <c r="Z905" i="2"/>
  <c r="Z901" i="2"/>
  <c r="Z897" i="2"/>
  <c r="Z893" i="2"/>
  <c r="Z889" i="2"/>
  <c r="Z885" i="2"/>
  <c r="Z881" i="2"/>
  <c r="Z877" i="2"/>
  <c r="AB829" i="2"/>
  <c r="AC829" i="2"/>
  <c r="Z873" i="2"/>
  <c r="Z869" i="2"/>
  <c r="Z865" i="2"/>
  <c r="Z861" i="2"/>
  <c r="Z857" i="2"/>
  <c r="Z853" i="2"/>
  <c r="Z849" i="2"/>
  <c r="Z845" i="2"/>
  <c r="Z841" i="2"/>
  <c r="Z837" i="2"/>
  <c r="Z833" i="2"/>
  <c r="Z829" i="2"/>
  <c r="Z825" i="2"/>
  <c r="Z821" i="2"/>
  <c r="Z817" i="2"/>
  <c r="Z813" i="2"/>
  <c r="Z809" i="2"/>
  <c r="Z805" i="2"/>
  <c r="Z801" i="2"/>
  <c r="Z797" i="2"/>
  <c r="Z793" i="2"/>
  <c r="Z789" i="2"/>
  <c r="Z785" i="2"/>
  <c r="Z781" i="2"/>
  <c r="Z777" i="2"/>
  <c r="Z773" i="2"/>
  <c r="Z769" i="2"/>
  <c r="Z765" i="2"/>
  <c r="Z761" i="2"/>
  <c r="Z757" i="2"/>
  <c r="Z753" i="2"/>
  <c r="Z749" i="2"/>
  <c r="Z745" i="2"/>
  <c r="Z741" i="2"/>
  <c r="Z737" i="2"/>
  <c r="Z733" i="2"/>
  <c r="Z729" i="2"/>
  <c r="Z725" i="2"/>
  <c r="Z721" i="2"/>
  <c r="Z717" i="2"/>
  <c r="Z713" i="2"/>
  <c r="Z709" i="2"/>
  <c r="Z705" i="2"/>
  <c r="Z701" i="2"/>
  <c r="Z697" i="2"/>
  <c r="Z693" i="2"/>
  <c r="Z689" i="2"/>
  <c r="Z685" i="2"/>
  <c r="Z681" i="2"/>
  <c r="Z677" i="2"/>
  <c r="Z673" i="2"/>
  <c r="Z669" i="2"/>
  <c r="Z665" i="2"/>
  <c r="Z661" i="2"/>
  <c r="Z657" i="2"/>
  <c r="Z653" i="2"/>
  <c r="Z649" i="2"/>
  <c r="Z645" i="2"/>
  <c r="Z641" i="2"/>
  <c r="Z637" i="2"/>
  <c r="Z625" i="2"/>
  <c r="Z633" i="2"/>
  <c r="Z629" i="2"/>
  <c r="Z621" i="2"/>
  <c r="Z617" i="2"/>
  <c r="Z613" i="2"/>
  <c r="Z609" i="2"/>
  <c r="Z605" i="2"/>
  <c r="Z601" i="2"/>
  <c r="Z597" i="2"/>
  <c r="Z593" i="2"/>
  <c r="Z589" i="2"/>
  <c r="Z585" i="2"/>
  <c r="Z581" i="2"/>
  <c r="Z577" i="2"/>
  <c r="Z573" i="2"/>
  <c r="Z569" i="2"/>
  <c r="Z565" i="2"/>
  <c r="Z561" i="2"/>
  <c r="Z557" i="2"/>
  <c r="Z553" i="2"/>
  <c r="Z549" i="2"/>
  <c r="Z545" i="2"/>
  <c r="Z541" i="2"/>
  <c r="Z537" i="2"/>
  <c r="Z533" i="2"/>
  <c r="Z529" i="2"/>
  <c r="Z525" i="2"/>
  <c r="Z521" i="2"/>
  <c r="Z517" i="2"/>
  <c r="Z513" i="2"/>
  <c r="Z509" i="2"/>
  <c r="Z505" i="2"/>
  <c r="Z501" i="2"/>
  <c r="Z497" i="2"/>
  <c r="Z493" i="2"/>
  <c r="Z489" i="2"/>
  <c r="Z485" i="2"/>
  <c r="Z481" i="2"/>
  <c r="Z477" i="2"/>
  <c r="Z473" i="2"/>
  <c r="Z469" i="2"/>
  <c r="Z465" i="2"/>
  <c r="Z461" i="2"/>
  <c r="Z457" i="2"/>
  <c r="Z453" i="2"/>
  <c r="Z449" i="2"/>
  <c r="Z445" i="2"/>
  <c r="Z193" i="2"/>
  <c r="Z249" i="2"/>
  <c r="Z245" i="2"/>
  <c r="Z241" i="2"/>
  <c r="Z237" i="2"/>
  <c r="Z233" i="2"/>
  <c r="Z229" i="2"/>
  <c r="Z225" i="2"/>
  <c r="Z221" i="2"/>
  <c r="Z217" i="2"/>
  <c r="Z213" i="2"/>
  <c r="Z209" i="2"/>
  <c r="Z205" i="2"/>
  <c r="Z201" i="2"/>
  <c r="Z197" i="2"/>
  <c r="Z313" i="2"/>
  <c r="Z309" i="2"/>
  <c r="Z305" i="2"/>
  <c r="Z301" i="2"/>
  <c r="Z297" i="2"/>
  <c r="Z293" i="2"/>
  <c r="Z289" i="2"/>
  <c r="Z285" i="2"/>
  <c r="Z281" i="2"/>
  <c r="Z277" i="2"/>
  <c r="Z273" i="2"/>
  <c r="Z269" i="2"/>
  <c r="Z265" i="2"/>
  <c r="Z261" i="2"/>
  <c r="Z257" i="2"/>
  <c r="Z253" i="2"/>
  <c r="Z377" i="2"/>
  <c r="Z373" i="2"/>
  <c r="Z369" i="2"/>
  <c r="Z365" i="2"/>
  <c r="Z361" i="2"/>
  <c r="Z357" i="2"/>
  <c r="Z353" i="2"/>
  <c r="Z349" i="2"/>
  <c r="Z345" i="2"/>
  <c r="Z341" i="2"/>
  <c r="Z337" i="2"/>
  <c r="Z333" i="2"/>
  <c r="Z329" i="2"/>
  <c r="Z325" i="2"/>
  <c r="Z321" i="2"/>
  <c r="Z317" i="2"/>
  <c r="Z441" i="2"/>
  <c r="Z437" i="2"/>
  <c r="Z433" i="2"/>
  <c r="Z429" i="2"/>
  <c r="Z425" i="2"/>
  <c r="Z421" i="2"/>
  <c r="Z417" i="2"/>
  <c r="Z413" i="2"/>
  <c r="Z409" i="2"/>
  <c r="Z405" i="2"/>
  <c r="Z401" i="2"/>
  <c r="Z397" i="2"/>
  <c r="Z393" i="2"/>
  <c r="Z389" i="2"/>
  <c r="Z385" i="2"/>
  <c r="Z381" i="2"/>
  <c r="P442" i="2"/>
  <c r="P441" i="2"/>
  <c r="P440" i="2"/>
  <c r="P346" i="2"/>
  <c r="Q345" i="2"/>
  <c r="Q346" i="2"/>
  <c r="P345" i="2"/>
  <c r="AB573" i="2"/>
  <c r="AC573" i="2"/>
  <c r="AB577" i="2"/>
  <c r="AC577" i="2"/>
  <c r="AB585" i="2"/>
  <c r="AC585" i="2"/>
  <c r="AB589" i="2"/>
  <c r="AC589" i="2"/>
  <c r="AB593" i="2"/>
  <c r="AC593" i="2"/>
  <c r="AB597" i="2"/>
  <c r="AC597" i="2"/>
  <c r="AB601" i="2"/>
  <c r="AC601" i="2"/>
  <c r="AB605" i="2"/>
  <c r="AC605" i="2"/>
  <c r="AB609" i="2"/>
  <c r="AC609" i="2"/>
  <c r="AB613" i="2"/>
  <c r="AC613" i="2"/>
  <c r="AB617" i="2"/>
  <c r="AC617" i="2"/>
  <c r="AB621" i="2"/>
  <c r="AC621" i="2"/>
  <c r="AB629" i="2"/>
  <c r="AC629" i="2"/>
  <c r="AB633" i="2"/>
  <c r="AC633" i="2"/>
  <c r="AD573" i="2"/>
  <c r="AB381" i="2"/>
  <c r="AC381" i="2"/>
  <c r="AB385" i="2"/>
  <c r="AC385" i="2"/>
  <c r="AB393" i="2"/>
  <c r="AC393" i="2"/>
  <c r="AB397" i="2"/>
  <c r="AC397" i="2"/>
  <c r="AB401" i="2"/>
  <c r="AC401" i="2"/>
  <c r="AB405" i="2"/>
  <c r="AC405" i="2"/>
  <c r="AB409" i="2"/>
  <c r="AC409" i="2"/>
  <c r="AC413" i="2"/>
  <c r="AB417" i="2"/>
  <c r="AC417" i="2"/>
  <c r="AB421" i="2"/>
  <c r="AC421" i="2"/>
  <c r="AB425" i="2"/>
  <c r="AC425" i="2"/>
  <c r="AB429" i="2"/>
  <c r="AC429" i="2"/>
  <c r="AB433" i="2"/>
  <c r="AC433" i="2"/>
  <c r="AB437" i="2"/>
  <c r="AC437" i="2"/>
  <c r="AD381" i="2"/>
  <c r="AB317" i="2"/>
  <c r="AC317" i="2"/>
  <c r="AB321" i="2"/>
  <c r="AC321" i="2"/>
  <c r="AB325" i="2"/>
  <c r="AC325" i="2"/>
  <c r="AB329" i="2"/>
  <c r="AC329" i="2"/>
  <c r="AB333" i="2"/>
  <c r="AC333" i="2"/>
  <c r="AB337" i="2"/>
  <c r="AC337" i="2"/>
  <c r="AB341" i="2"/>
  <c r="AC341" i="2"/>
  <c r="AB345" i="2"/>
  <c r="AC345" i="2"/>
  <c r="AB349" i="2"/>
  <c r="AC349" i="2"/>
  <c r="AB353" i="2"/>
  <c r="AC353" i="2"/>
  <c r="AB357" i="2"/>
  <c r="AC357" i="2"/>
  <c r="AB361" i="2"/>
  <c r="AC361" i="2"/>
  <c r="AB365" i="2"/>
  <c r="AC365" i="2"/>
  <c r="AB369" i="2"/>
  <c r="AC369" i="2"/>
  <c r="AB373" i="2"/>
  <c r="AC373" i="2"/>
  <c r="AB377" i="2"/>
  <c r="AC377" i="2"/>
  <c r="AD317" i="2"/>
  <c r="AB253" i="2"/>
  <c r="AC253" i="2"/>
  <c r="AB257" i="2"/>
  <c r="AC257" i="2"/>
  <c r="AB261" i="2"/>
  <c r="AC261" i="2"/>
  <c r="AB265" i="2"/>
  <c r="AC265" i="2"/>
  <c r="AB269" i="2"/>
  <c r="AC269" i="2"/>
  <c r="AB273" i="2"/>
  <c r="AC273" i="2"/>
  <c r="AB277" i="2"/>
  <c r="AC277" i="2"/>
  <c r="AB281" i="2"/>
  <c r="AC281" i="2"/>
  <c r="AB285" i="2"/>
  <c r="AC285" i="2"/>
  <c r="AB289" i="2"/>
  <c r="AC289" i="2"/>
  <c r="AB293" i="2"/>
  <c r="AC293" i="2"/>
  <c r="AB297" i="2"/>
  <c r="AC297" i="2"/>
  <c r="AB301" i="2"/>
  <c r="AC301" i="2"/>
  <c r="AB305" i="2"/>
  <c r="AC305" i="2"/>
  <c r="AB309" i="2"/>
  <c r="AC309" i="2"/>
  <c r="AB313" i="2"/>
  <c r="AC313" i="2"/>
  <c r="AD253" i="2"/>
  <c r="AC193" i="2"/>
  <c r="AC197" i="2"/>
  <c r="AC201" i="2"/>
  <c r="AC209" i="2"/>
  <c r="AC213" i="2"/>
  <c r="AC217" i="2"/>
  <c r="AC221" i="2"/>
  <c r="AC225" i="2"/>
  <c r="AC229" i="2"/>
  <c r="AC233" i="2"/>
  <c r="AC237" i="2"/>
  <c r="AC241" i="2"/>
  <c r="AC245" i="2"/>
  <c r="AC249" i="2"/>
  <c r="AD193" i="2"/>
  <c r="AA805" i="2"/>
  <c r="Y829" i="2"/>
  <c r="Y717" i="2"/>
  <c r="AB717" i="2"/>
  <c r="AC717" i="2"/>
  <c r="Y681" i="2"/>
  <c r="AB681" i="2"/>
  <c r="AC681" i="2"/>
  <c r="AB701" i="2"/>
  <c r="AC701" i="2"/>
  <c r="AB705" i="2"/>
  <c r="AC705" i="2"/>
  <c r="AB709" i="2"/>
  <c r="AC709" i="2"/>
  <c r="AB713" i="2"/>
  <c r="AC713" i="2"/>
  <c r="AB721" i="2"/>
  <c r="AC721" i="2"/>
  <c r="AB725" i="2"/>
  <c r="AC725" i="2"/>
  <c r="AB729" i="2"/>
  <c r="AC729" i="2"/>
  <c r="AB733" i="2"/>
  <c r="AC733" i="2"/>
  <c r="AB737" i="2"/>
  <c r="AC737" i="2"/>
  <c r="AB741" i="2"/>
  <c r="AC741" i="2"/>
  <c r="AB745" i="2"/>
  <c r="AC745" i="2"/>
  <c r="AB749" i="2"/>
  <c r="AC749" i="2"/>
  <c r="AB753" i="2"/>
  <c r="AC753" i="2"/>
  <c r="AB757" i="2"/>
  <c r="AC757" i="2"/>
  <c r="AB761" i="2"/>
  <c r="AC761" i="2"/>
  <c r="AB389" i="2"/>
  <c r="AC389" i="2"/>
  <c r="AB441" i="2"/>
  <c r="AC441" i="2"/>
  <c r="AB445" i="2"/>
  <c r="AC445" i="2"/>
  <c r="AB449" i="2"/>
  <c r="AC449" i="2"/>
  <c r="AB453" i="2"/>
  <c r="AC453" i="2"/>
  <c r="AB457" i="2"/>
  <c r="AC457" i="2"/>
  <c r="AB461" i="2"/>
  <c r="AC461" i="2"/>
  <c r="AB465" i="2"/>
  <c r="AC465" i="2"/>
  <c r="AB469" i="2"/>
  <c r="AC469" i="2"/>
  <c r="AB473" i="2"/>
  <c r="AC473" i="2"/>
  <c r="AC477" i="2"/>
  <c r="AB481" i="2"/>
  <c r="AC481" i="2"/>
  <c r="AB485" i="2"/>
  <c r="AC485" i="2"/>
  <c r="AB489" i="2"/>
  <c r="AC489" i="2"/>
  <c r="AB493" i="2"/>
  <c r="AC493" i="2"/>
  <c r="AB497" i="2"/>
  <c r="AC497" i="2"/>
  <c r="AB501" i="2"/>
  <c r="AC501" i="2"/>
  <c r="AB505" i="2"/>
  <c r="AC505" i="2"/>
  <c r="AB509" i="2"/>
  <c r="AC509" i="2"/>
  <c r="AB513" i="2"/>
  <c r="AC513" i="2"/>
  <c r="AB517" i="2"/>
  <c r="AC517" i="2"/>
  <c r="AB521" i="2"/>
  <c r="AC521" i="2"/>
  <c r="AB525" i="2"/>
  <c r="AC525" i="2"/>
  <c r="AB529" i="2"/>
  <c r="AC529" i="2"/>
  <c r="AB533" i="2"/>
  <c r="AC533" i="2"/>
  <c r="AB537" i="2"/>
  <c r="AC537" i="2"/>
  <c r="AB541" i="2"/>
  <c r="AC541" i="2"/>
  <c r="AB545" i="2"/>
  <c r="AC545" i="2"/>
  <c r="AB549" i="2"/>
  <c r="AC549" i="2"/>
  <c r="AB553" i="2"/>
  <c r="AC553" i="2"/>
  <c r="AB557" i="2"/>
  <c r="AC557" i="2"/>
  <c r="AB561" i="2"/>
  <c r="AC561" i="2"/>
  <c r="AB565" i="2"/>
  <c r="AC565" i="2"/>
  <c r="AB569" i="2"/>
  <c r="AC569" i="2"/>
  <c r="AB581" i="2"/>
  <c r="AC581" i="2"/>
  <c r="AB625" i="2"/>
  <c r="AC625" i="2"/>
  <c r="AB637" i="2"/>
  <c r="AC637" i="2"/>
  <c r="AB641" i="2"/>
  <c r="AC641" i="2"/>
  <c r="AB645" i="2"/>
  <c r="AC645" i="2"/>
  <c r="AB649" i="2"/>
  <c r="AC649" i="2"/>
  <c r="AB653" i="2"/>
  <c r="AC653" i="2"/>
  <c r="AB657" i="2"/>
  <c r="AC657" i="2"/>
  <c r="AB661" i="2"/>
  <c r="AC661" i="2"/>
  <c r="AB665" i="2"/>
  <c r="AC665" i="2"/>
  <c r="AB669" i="2"/>
  <c r="AC669" i="2"/>
  <c r="AB673" i="2"/>
  <c r="AC673" i="2"/>
  <c r="AB677" i="2"/>
  <c r="AC677" i="2"/>
  <c r="AB685" i="2"/>
  <c r="AC685" i="2"/>
  <c r="AB689" i="2"/>
  <c r="AC689" i="2"/>
  <c r="AB693" i="2"/>
  <c r="AC693" i="2"/>
  <c r="AB697" i="2"/>
  <c r="AC697" i="2"/>
  <c r="AB765" i="2"/>
  <c r="AC765" i="2"/>
  <c r="AB769" i="2"/>
  <c r="AC769" i="2"/>
  <c r="AB773" i="2"/>
  <c r="AC773" i="2"/>
  <c r="AB777" i="2"/>
  <c r="AC777" i="2"/>
  <c r="AB781" i="2"/>
  <c r="AC781" i="2"/>
  <c r="AB785" i="2"/>
  <c r="AC785" i="2"/>
  <c r="AB789" i="2"/>
  <c r="AC789" i="2"/>
  <c r="AB793" i="2"/>
  <c r="AC793" i="2"/>
  <c r="AB797" i="2"/>
  <c r="AC797" i="2"/>
  <c r="AB801" i="2"/>
  <c r="AC801" i="2"/>
  <c r="AB805" i="2"/>
  <c r="AC805" i="2"/>
  <c r="AB809" i="2"/>
  <c r="AC809" i="2"/>
  <c r="AB813" i="2"/>
  <c r="AC813" i="2"/>
  <c r="AB817" i="2"/>
  <c r="AC817" i="2"/>
  <c r="AB821" i="2"/>
  <c r="AC821" i="2"/>
  <c r="AB825" i="2"/>
  <c r="AC825" i="2"/>
  <c r="AB833" i="2"/>
  <c r="AC833" i="2"/>
  <c r="AB837" i="2"/>
  <c r="AC837" i="2"/>
  <c r="AB841" i="2"/>
  <c r="AC841" i="2"/>
  <c r="AB845" i="2"/>
  <c r="AC845" i="2"/>
  <c r="AB849" i="2"/>
  <c r="AC849" i="2"/>
  <c r="AB853" i="2"/>
  <c r="AC853" i="2"/>
  <c r="AB857" i="2"/>
  <c r="AC857" i="2"/>
  <c r="AB861" i="2"/>
  <c r="AC861" i="2"/>
  <c r="AB865" i="2"/>
  <c r="AC865" i="2"/>
  <c r="AB869" i="2"/>
  <c r="AC869" i="2"/>
  <c r="AB873" i="2"/>
  <c r="AC873" i="2"/>
  <c r="AB877" i="2"/>
  <c r="AC877" i="2"/>
  <c r="AB881" i="2"/>
  <c r="AC881" i="2"/>
  <c r="AB885" i="2"/>
  <c r="AC885" i="2"/>
  <c r="AB889" i="2"/>
  <c r="AC889" i="2"/>
  <c r="AB893" i="2"/>
  <c r="AC893" i="2"/>
  <c r="AB897" i="2"/>
  <c r="AC897" i="2"/>
  <c r="AB901" i="2"/>
  <c r="AC901" i="2"/>
  <c r="AB905" i="2"/>
  <c r="AC905" i="2"/>
  <c r="AB909" i="2"/>
  <c r="AC909" i="2"/>
  <c r="AB913" i="2"/>
  <c r="AC913" i="2"/>
  <c r="AB917" i="2"/>
  <c r="AC917" i="2"/>
  <c r="AB921" i="2"/>
  <c r="AC921" i="2"/>
  <c r="AB925" i="2"/>
  <c r="AC925" i="2"/>
  <c r="AC929" i="2"/>
  <c r="AA925" i="2"/>
  <c r="Y925" i="2"/>
  <c r="AA921" i="2"/>
  <c r="Y921" i="2"/>
  <c r="AA917" i="2"/>
  <c r="Y917" i="2"/>
  <c r="AA913" i="2"/>
  <c r="Y913" i="2"/>
  <c r="AA909" i="2"/>
  <c r="Y909" i="2"/>
  <c r="AA905" i="2"/>
  <c r="Y905" i="2"/>
  <c r="AA901" i="2"/>
  <c r="Y901" i="2"/>
  <c r="AA897" i="2"/>
  <c r="Y897" i="2"/>
  <c r="AA893" i="2"/>
  <c r="Y893" i="2"/>
  <c r="AA889" i="2"/>
  <c r="Y889" i="2"/>
  <c r="AA885" i="2"/>
  <c r="Y885" i="2"/>
  <c r="AA881" i="2"/>
  <c r="Y881" i="2"/>
  <c r="AA877" i="2"/>
  <c r="Y877" i="2"/>
  <c r="AA873" i="2"/>
  <c r="Y873" i="2"/>
  <c r="AA869" i="2"/>
  <c r="Y869" i="2"/>
  <c r="AA865" i="2"/>
  <c r="Y865" i="2"/>
  <c r="AA861" i="2"/>
  <c r="Y861" i="2"/>
  <c r="AA857" i="2"/>
  <c r="Y857" i="2"/>
  <c r="AA853" i="2"/>
  <c r="Y853" i="2"/>
  <c r="AA849" i="2"/>
  <c r="Y849" i="2"/>
  <c r="AA845" i="2"/>
  <c r="Y845" i="2"/>
  <c r="AA841" i="2"/>
  <c r="Y841" i="2"/>
  <c r="AA837" i="2"/>
  <c r="Y837" i="2"/>
  <c r="AA833" i="2"/>
  <c r="Y833" i="2"/>
  <c r="AA829" i="2"/>
  <c r="AA825" i="2"/>
  <c r="Y825" i="2"/>
  <c r="Y821" i="2"/>
  <c r="AA821" i="2"/>
  <c r="AA817" i="2"/>
  <c r="Y817" i="2"/>
  <c r="AA813" i="2"/>
  <c r="Y813" i="2"/>
  <c r="AA809" i="2"/>
  <c r="Y809" i="2"/>
  <c r="Y805" i="2"/>
  <c r="AA801" i="2"/>
  <c r="Y801" i="2"/>
  <c r="AA797" i="2"/>
  <c r="Y797" i="2"/>
  <c r="AA793" i="2"/>
  <c r="Y793" i="2"/>
  <c r="AA789" i="2"/>
  <c r="Y789" i="2"/>
  <c r="AA785" i="2"/>
  <c r="Y785" i="2"/>
  <c r="AA781" i="2"/>
  <c r="Y781" i="2"/>
  <c r="AA777" i="2"/>
  <c r="Y777" i="2"/>
  <c r="AA773" i="2"/>
  <c r="Y773" i="2"/>
  <c r="AA769" i="2"/>
  <c r="Y769" i="2"/>
  <c r="Y765" i="2"/>
  <c r="AA765" i="2"/>
  <c r="AA761" i="2"/>
  <c r="Y761" i="2"/>
  <c r="AA757" i="2"/>
  <c r="Y757" i="2"/>
  <c r="AA753" i="2"/>
  <c r="Y753" i="2"/>
  <c r="AA749" i="2"/>
  <c r="Y749" i="2"/>
  <c r="AA745" i="2"/>
  <c r="Y745" i="2"/>
  <c r="AA741" i="2"/>
  <c r="Y741" i="2"/>
  <c r="AA737" i="2"/>
  <c r="Y737" i="2"/>
  <c r="AA733" i="2"/>
  <c r="Y733" i="2"/>
  <c r="AA729" i="2"/>
  <c r="Y729" i="2"/>
  <c r="AA725" i="2"/>
  <c r="Y725" i="2"/>
  <c r="AA721" i="2"/>
  <c r="Y721" i="2"/>
  <c r="AA717" i="2"/>
  <c r="AA713" i="2"/>
  <c r="Y713" i="2"/>
  <c r="AA709" i="2"/>
  <c r="Y709" i="2"/>
  <c r="AA705" i="2"/>
  <c r="Y705" i="2"/>
  <c r="Y701" i="2"/>
  <c r="AA701" i="2"/>
  <c r="AA697" i="2"/>
  <c r="Y697" i="2"/>
  <c r="AA693" i="2"/>
  <c r="Y693" i="2"/>
  <c r="AA689" i="2"/>
  <c r="Y689" i="2"/>
  <c r="AA685" i="2"/>
  <c r="Y685" i="2"/>
  <c r="AA681" i="2"/>
  <c r="AA677" i="2"/>
  <c r="Y677" i="2"/>
  <c r="AA673" i="2"/>
  <c r="Y673" i="2"/>
  <c r="AA669" i="2"/>
  <c r="Y669" i="2"/>
  <c r="AA665" i="2"/>
  <c r="Y665" i="2"/>
  <c r="AA661" i="2"/>
  <c r="Y661" i="2"/>
  <c r="AA657" i="2"/>
  <c r="Y657" i="2"/>
  <c r="AA653" i="2"/>
  <c r="Y653" i="2"/>
  <c r="AA649" i="2"/>
  <c r="Y649" i="2"/>
  <c r="AA645" i="2"/>
  <c r="Y645" i="2"/>
  <c r="AA641" i="2"/>
  <c r="Y641" i="2"/>
  <c r="AA637" i="2"/>
  <c r="Y637" i="2"/>
  <c r="Y613" i="2"/>
  <c r="AA633" i="2"/>
  <c r="Y633" i="2"/>
  <c r="AA629" i="2"/>
  <c r="Y629" i="2"/>
  <c r="AA625" i="2"/>
  <c r="Y625" i="2"/>
  <c r="AA621" i="2"/>
  <c r="Y621" i="2"/>
  <c r="AA617" i="2"/>
  <c r="Y617" i="2"/>
  <c r="AA613" i="2"/>
  <c r="AA609" i="2"/>
  <c r="Y609" i="2"/>
  <c r="AA605" i="2"/>
  <c r="Y605" i="2"/>
  <c r="AA601" i="2"/>
  <c r="Y601" i="2"/>
  <c r="AA597" i="2"/>
  <c r="Y597" i="2"/>
  <c r="AA593" i="2"/>
  <c r="Y593" i="2"/>
  <c r="AA589" i="2"/>
  <c r="Y589" i="2"/>
  <c r="AA585" i="2"/>
  <c r="Y585" i="2"/>
  <c r="AA581" i="2"/>
  <c r="Y581" i="2"/>
  <c r="AA577" i="2"/>
  <c r="Y577" i="2"/>
  <c r="Y573" i="2"/>
  <c r="AA573" i="2"/>
  <c r="AA541" i="2"/>
  <c r="AA521" i="2"/>
  <c r="AA569" i="2"/>
  <c r="Y569" i="2"/>
  <c r="AA565" i="2"/>
  <c r="Y565" i="2"/>
  <c r="AA561" i="2"/>
  <c r="Y561" i="2"/>
  <c r="AA557" i="2"/>
  <c r="Y557" i="2"/>
  <c r="AA553" i="2"/>
  <c r="Y553" i="2"/>
  <c r="AA549" i="2"/>
  <c r="Y549" i="2"/>
  <c r="AA545" i="2"/>
  <c r="Y545" i="2"/>
  <c r="Y541" i="2"/>
  <c r="AA537" i="2"/>
  <c r="Y537" i="2"/>
  <c r="AA533" i="2"/>
  <c r="Y533" i="2"/>
  <c r="AA529" i="2"/>
  <c r="Y529" i="2"/>
  <c r="AA525" i="2"/>
  <c r="Y525" i="2"/>
  <c r="Y521" i="2"/>
  <c r="AA517" i="2"/>
  <c r="Y517" i="2"/>
  <c r="AA513" i="2"/>
  <c r="Y513" i="2"/>
  <c r="AA509" i="2"/>
  <c r="Y509" i="2"/>
  <c r="AA465" i="2"/>
  <c r="AA505" i="2"/>
  <c r="Y505" i="2"/>
  <c r="AA501" i="2"/>
  <c r="Y501" i="2"/>
  <c r="AA497" i="2"/>
  <c r="Y497" i="2"/>
  <c r="AA493" i="2"/>
  <c r="Y493" i="2"/>
  <c r="AA489" i="2"/>
  <c r="Y489" i="2"/>
  <c r="AA485" i="2"/>
  <c r="Y485" i="2"/>
  <c r="AA481" i="2"/>
  <c r="Y481" i="2"/>
  <c r="AA477" i="2"/>
  <c r="Y477" i="2"/>
  <c r="AA473" i="2"/>
  <c r="Y473" i="2"/>
  <c r="AA469" i="2"/>
  <c r="Y469" i="2"/>
  <c r="Y465" i="2"/>
  <c r="AA461" i="2"/>
  <c r="Y461" i="2"/>
  <c r="AA457" i="2"/>
  <c r="Y457" i="2"/>
  <c r="AA453" i="2"/>
  <c r="Y453" i="2"/>
  <c r="AA449" i="2"/>
  <c r="Y449" i="2"/>
  <c r="Y445" i="2"/>
  <c r="AA445" i="2"/>
  <c r="AA441" i="2"/>
  <c r="Y441" i="2"/>
  <c r="AA437" i="2"/>
  <c r="Y437" i="2"/>
  <c r="AA433" i="2"/>
  <c r="Y433" i="2"/>
  <c r="AA429" i="2"/>
  <c r="Y429" i="2"/>
  <c r="AA425" i="2"/>
  <c r="Y425" i="2"/>
  <c r="AA421" i="2"/>
  <c r="Y421" i="2"/>
  <c r="AA417" i="2"/>
  <c r="Y417" i="2"/>
  <c r="AA413" i="2"/>
  <c r="Y413" i="2"/>
  <c r="AA409" i="2"/>
  <c r="Y409" i="2"/>
  <c r="AA405" i="2"/>
  <c r="Y405" i="2"/>
  <c r="AA401" i="2"/>
  <c r="Y401" i="2"/>
  <c r="AA397" i="2"/>
  <c r="Y397" i="2"/>
  <c r="AA393" i="2"/>
  <c r="Y393" i="2"/>
  <c r="AA389" i="2"/>
  <c r="Y389" i="2"/>
  <c r="AA385" i="2"/>
  <c r="Y385" i="2"/>
  <c r="AA381" i="2"/>
  <c r="Y381" i="2"/>
  <c r="Y345" i="2"/>
  <c r="AA377" i="2"/>
  <c r="Y377" i="2"/>
  <c r="AA373" i="2"/>
  <c r="Y373" i="2"/>
  <c r="AA369" i="2"/>
  <c r="Y369" i="2"/>
  <c r="AA365" i="2"/>
  <c r="Y365" i="2"/>
  <c r="AA361" i="2"/>
  <c r="Y361" i="2"/>
  <c r="AA357" i="2"/>
  <c r="Y357" i="2"/>
  <c r="AA353" i="2"/>
  <c r="Y353" i="2"/>
  <c r="AA349" i="2"/>
  <c r="Y349" i="2"/>
  <c r="AA345" i="2"/>
  <c r="AA341" i="2"/>
  <c r="Y341" i="2"/>
  <c r="AA337" i="2"/>
  <c r="Y337" i="2"/>
  <c r="AA333" i="2"/>
  <c r="Y333" i="2"/>
  <c r="AA329" i="2"/>
  <c r="Y329" i="2"/>
  <c r="AA325" i="2"/>
  <c r="Y325" i="2"/>
  <c r="AA321" i="2"/>
  <c r="Y321" i="2"/>
  <c r="Y317" i="2"/>
  <c r="AA317" i="2"/>
  <c r="AA277" i="2"/>
  <c r="Y253" i="2"/>
  <c r="AA253" i="2"/>
  <c r="AA313" i="2"/>
  <c r="Y313" i="2"/>
  <c r="AA309" i="2"/>
  <c r="Y309" i="2"/>
  <c r="AA305" i="2"/>
  <c r="Y305" i="2"/>
  <c r="AA301" i="2"/>
  <c r="Y301" i="2"/>
  <c r="AA297" i="2"/>
  <c r="Y297" i="2"/>
  <c r="AA293" i="2"/>
  <c r="Y293" i="2"/>
  <c r="AA289" i="2"/>
  <c r="Y289" i="2"/>
  <c r="AA285" i="2"/>
  <c r="Y285" i="2"/>
  <c r="AA281" i="2"/>
  <c r="Y281" i="2"/>
  <c r="Y277" i="2"/>
  <c r="AA273" i="2"/>
  <c r="Y273" i="2"/>
  <c r="AA269" i="2"/>
  <c r="Y269" i="2"/>
  <c r="AA265" i="2"/>
  <c r="Y265" i="2"/>
  <c r="AA261" i="2"/>
  <c r="Y261" i="2"/>
  <c r="AA257" i="2"/>
  <c r="Y257" i="2"/>
  <c r="Y237" i="2"/>
  <c r="Y249" i="2"/>
  <c r="P171" i="2"/>
  <c r="Y229" i="2"/>
  <c r="Y217" i="2"/>
  <c r="Y213" i="2"/>
  <c r="Y209" i="2"/>
  <c r="Y197" i="2"/>
  <c r="AA249" i="2"/>
  <c r="AA245" i="2"/>
  <c r="Y245" i="2"/>
  <c r="AA241" i="2"/>
  <c r="Y241" i="2"/>
  <c r="AA237" i="2"/>
  <c r="AA233" i="2"/>
  <c r="Y233" i="2"/>
  <c r="AA229" i="2"/>
  <c r="AA225" i="2"/>
  <c r="Y225" i="2"/>
  <c r="AA221" i="2"/>
  <c r="Y221" i="2"/>
  <c r="AA217" i="2"/>
  <c r="AA213" i="2"/>
  <c r="AA209" i="2"/>
  <c r="AA205" i="2"/>
  <c r="Y205" i="2"/>
  <c r="AA201" i="2"/>
  <c r="Y201" i="2"/>
  <c r="AA197" i="2"/>
  <c r="AA193" i="2"/>
  <c r="P928" i="2"/>
  <c r="Q928" i="2"/>
  <c r="R928" i="2"/>
  <c r="P927" i="2"/>
  <c r="Q927" i="2"/>
  <c r="R927" i="2"/>
  <c r="P925" i="2"/>
  <c r="P926" i="2"/>
  <c r="Q925" i="2"/>
  <c r="Q926" i="2"/>
  <c r="S926" i="2"/>
  <c r="R926" i="2"/>
  <c r="S925" i="2"/>
  <c r="R925" i="2"/>
  <c r="P924" i="2"/>
  <c r="Q924" i="2"/>
  <c r="R924" i="2"/>
  <c r="P923" i="2"/>
  <c r="Q923" i="2"/>
  <c r="R923" i="2"/>
  <c r="P921" i="2"/>
  <c r="P922" i="2"/>
  <c r="Q921" i="2"/>
  <c r="Q922" i="2"/>
  <c r="S922" i="2"/>
  <c r="R922" i="2"/>
  <c r="S921" i="2"/>
  <c r="R921" i="2"/>
  <c r="P920" i="2"/>
  <c r="Q920" i="2"/>
  <c r="R920" i="2"/>
  <c r="P919" i="2"/>
  <c r="Q919" i="2"/>
  <c r="R919" i="2"/>
  <c r="P917" i="2"/>
  <c r="P918" i="2"/>
  <c r="Q917" i="2"/>
  <c r="Q918" i="2"/>
  <c r="S918" i="2"/>
  <c r="R918" i="2"/>
  <c r="S917" i="2"/>
  <c r="R917" i="2"/>
  <c r="P916" i="2"/>
  <c r="Q916" i="2"/>
  <c r="R916" i="2"/>
  <c r="P915" i="2"/>
  <c r="Q915" i="2"/>
  <c r="R915" i="2"/>
  <c r="P913" i="2"/>
  <c r="P914" i="2"/>
  <c r="Q913" i="2"/>
  <c r="Q914" i="2"/>
  <c r="S914" i="2"/>
  <c r="R914" i="2"/>
  <c r="S913" i="2"/>
  <c r="R913" i="2"/>
  <c r="P907" i="2"/>
  <c r="P896" i="2"/>
  <c r="Q896" i="2"/>
  <c r="R896" i="2"/>
  <c r="P895" i="2"/>
  <c r="Q895" i="2"/>
  <c r="R895" i="2"/>
  <c r="P894" i="2"/>
  <c r="Q894" i="2"/>
  <c r="R894" i="2"/>
  <c r="P893" i="2"/>
  <c r="Q893" i="2"/>
  <c r="R893" i="2"/>
  <c r="Q892" i="2"/>
  <c r="P892" i="2"/>
  <c r="Q889" i="2"/>
  <c r="P889" i="2"/>
  <c r="Q885" i="2"/>
  <c r="P885" i="2"/>
  <c r="R877" i="2"/>
  <c r="P912" i="2"/>
  <c r="Q912" i="2"/>
  <c r="R912" i="2"/>
  <c r="P911" i="2"/>
  <c r="Q911" i="2"/>
  <c r="R911" i="2"/>
  <c r="P909" i="2"/>
  <c r="P910" i="2"/>
  <c r="Q909" i="2"/>
  <c r="Q910" i="2"/>
  <c r="S910" i="2"/>
  <c r="R910" i="2"/>
  <c r="S909" i="2"/>
  <c r="R909" i="2"/>
  <c r="P908" i="2"/>
  <c r="Q908" i="2"/>
  <c r="R908" i="2"/>
  <c r="Q907" i="2"/>
  <c r="R907" i="2"/>
  <c r="P905" i="2"/>
  <c r="P906" i="2"/>
  <c r="Q905" i="2"/>
  <c r="Q906" i="2"/>
  <c r="S906" i="2"/>
  <c r="R906" i="2"/>
  <c r="S905" i="2"/>
  <c r="R905" i="2"/>
  <c r="P904" i="2"/>
  <c r="Q904" i="2"/>
  <c r="R904" i="2"/>
  <c r="P903" i="2"/>
  <c r="Q903" i="2"/>
  <c r="R903" i="2"/>
  <c r="P901" i="2"/>
  <c r="P902" i="2"/>
  <c r="Q901" i="2"/>
  <c r="Q902" i="2"/>
  <c r="S902" i="2"/>
  <c r="R902" i="2"/>
  <c r="S901" i="2"/>
  <c r="R901" i="2"/>
  <c r="P900" i="2"/>
  <c r="Q900" i="2"/>
  <c r="R900" i="2"/>
  <c r="P899" i="2"/>
  <c r="Q899" i="2"/>
  <c r="R899" i="2"/>
  <c r="P897" i="2"/>
  <c r="P898" i="2"/>
  <c r="Q897" i="2"/>
  <c r="Q898" i="2"/>
  <c r="S898" i="2"/>
  <c r="R898" i="2"/>
  <c r="S897" i="2"/>
  <c r="R897" i="2"/>
  <c r="R892" i="2"/>
  <c r="R891" i="2"/>
  <c r="P890" i="2"/>
  <c r="Q890" i="2"/>
  <c r="S890" i="2"/>
  <c r="R890" i="2"/>
  <c r="S889" i="2"/>
  <c r="R889" i="2"/>
  <c r="P888" i="2"/>
  <c r="Q888" i="2"/>
  <c r="R888" i="2"/>
  <c r="P887" i="2"/>
  <c r="Q887" i="2"/>
  <c r="R887" i="2"/>
  <c r="P886" i="2"/>
  <c r="Q886" i="2"/>
  <c r="S886" i="2"/>
  <c r="R886" i="2"/>
  <c r="S885" i="2"/>
  <c r="R885" i="2"/>
  <c r="P884" i="2"/>
  <c r="Q884" i="2"/>
  <c r="R884" i="2"/>
  <c r="P883" i="2"/>
  <c r="Q883" i="2"/>
  <c r="R883" i="2"/>
  <c r="S882" i="2"/>
  <c r="R882" i="2"/>
  <c r="S881" i="2"/>
  <c r="R881" i="2"/>
  <c r="P880" i="2"/>
  <c r="Q880" i="2"/>
  <c r="R880" i="2"/>
  <c r="P879" i="2"/>
  <c r="Q879" i="2"/>
  <c r="R879" i="2"/>
  <c r="P878" i="2"/>
  <c r="Q878" i="2"/>
  <c r="S878" i="2"/>
  <c r="R878" i="2"/>
  <c r="S877" i="2"/>
  <c r="Q876" i="2"/>
  <c r="P876" i="2"/>
  <c r="Q875" i="2"/>
  <c r="P875" i="2"/>
  <c r="Q874" i="2"/>
  <c r="P874" i="2"/>
  <c r="Q872" i="2"/>
  <c r="P872" i="2"/>
  <c r="Q871" i="2"/>
  <c r="P871" i="2"/>
  <c r="Q870" i="2"/>
  <c r="P870" i="2"/>
  <c r="Q869" i="2"/>
  <c r="P869" i="2"/>
  <c r="Q868" i="2"/>
  <c r="P868" i="2"/>
  <c r="Q867" i="2"/>
  <c r="P867" i="2"/>
  <c r="Q866" i="2"/>
  <c r="P866" i="2"/>
  <c r="Q865" i="2"/>
  <c r="P865" i="2"/>
  <c r="Q864" i="2"/>
  <c r="P864" i="2"/>
  <c r="Q862" i="2"/>
  <c r="P862" i="2"/>
  <c r="Q860" i="2"/>
  <c r="P860" i="2"/>
  <c r="Q859" i="2"/>
  <c r="P859" i="2"/>
  <c r="Q858" i="2"/>
  <c r="P858" i="2"/>
  <c r="Q857" i="2"/>
  <c r="P857" i="2"/>
  <c r="Q856" i="2"/>
  <c r="P856" i="2"/>
  <c r="Q854" i="2"/>
  <c r="P854" i="2"/>
  <c r="Q853" i="2"/>
  <c r="P853" i="2"/>
  <c r="Q852" i="2"/>
  <c r="P852" i="2"/>
  <c r="Q851" i="2"/>
  <c r="P851" i="2"/>
  <c r="Q850" i="2"/>
  <c r="P850" i="2"/>
  <c r="Q848" i="2"/>
  <c r="P848" i="2"/>
  <c r="Q847" i="2"/>
  <c r="P847" i="2"/>
  <c r="Q846" i="2"/>
  <c r="P846" i="2"/>
  <c r="Q845" i="2"/>
  <c r="P845" i="2"/>
  <c r="Q844" i="2"/>
  <c r="P844" i="2"/>
  <c r="Q843" i="2"/>
  <c r="P843" i="2"/>
  <c r="Q842" i="2"/>
  <c r="P842" i="2"/>
  <c r="Q841" i="2"/>
  <c r="P841" i="2"/>
  <c r="Q840" i="2"/>
  <c r="P840" i="2"/>
  <c r="Q838" i="2"/>
  <c r="P838" i="2"/>
  <c r="Q837" i="2"/>
  <c r="P837" i="2"/>
  <c r="Q836" i="2"/>
  <c r="P836" i="2"/>
  <c r="Q835" i="2"/>
  <c r="P835" i="2"/>
  <c r="Q834" i="2"/>
  <c r="P834" i="2"/>
  <c r="Q832" i="2"/>
  <c r="P832" i="2"/>
  <c r="Q831" i="2"/>
  <c r="P831" i="2"/>
  <c r="Q830" i="2"/>
  <c r="P830" i="2"/>
  <c r="Q828" i="2"/>
  <c r="P828" i="2"/>
  <c r="Q827" i="2"/>
  <c r="P827" i="2"/>
  <c r="Q826" i="2"/>
  <c r="P826" i="2"/>
  <c r="Q825" i="2"/>
  <c r="P825" i="2"/>
  <c r="Q824" i="2"/>
  <c r="P824" i="2"/>
  <c r="Q823" i="2"/>
  <c r="P823" i="2"/>
  <c r="Q822" i="2"/>
  <c r="P822" i="2"/>
  <c r="Q821" i="2"/>
  <c r="P821" i="2"/>
  <c r="S834" i="2"/>
  <c r="R876" i="2"/>
  <c r="R875" i="2"/>
  <c r="S874" i="2"/>
  <c r="R874" i="2"/>
  <c r="S873" i="2"/>
  <c r="R873" i="2"/>
  <c r="R872" i="2"/>
  <c r="R871" i="2"/>
  <c r="S870" i="2"/>
  <c r="R870" i="2"/>
  <c r="S869" i="2"/>
  <c r="R869" i="2"/>
  <c r="R868" i="2"/>
  <c r="R867" i="2"/>
  <c r="S866" i="2"/>
  <c r="R866" i="2"/>
  <c r="S865" i="2"/>
  <c r="R865" i="2"/>
  <c r="R864" i="2"/>
  <c r="R863" i="2"/>
  <c r="S862" i="2"/>
  <c r="R862" i="2"/>
  <c r="S861" i="2"/>
  <c r="R861" i="2"/>
  <c r="R860" i="2"/>
  <c r="R859" i="2"/>
  <c r="S858" i="2"/>
  <c r="R858" i="2"/>
  <c r="S857" i="2"/>
  <c r="R857" i="2"/>
  <c r="R856" i="2"/>
  <c r="R855" i="2"/>
  <c r="S854" i="2"/>
  <c r="R854" i="2"/>
  <c r="S853" i="2"/>
  <c r="R853" i="2"/>
  <c r="R852" i="2"/>
  <c r="R851" i="2"/>
  <c r="S850" i="2"/>
  <c r="R850" i="2"/>
  <c r="S849" i="2"/>
  <c r="R849" i="2"/>
  <c r="R848" i="2"/>
  <c r="R847" i="2"/>
  <c r="S846" i="2"/>
  <c r="R846" i="2"/>
  <c r="S845" i="2"/>
  <c r="R845" i="2"/>
  <c r="R844" i="2"/>
  <c r="R843" i="2"/>
  <c r="S842" i="2"/>
  <c r="R842" i="2"/>
  <c r="S841" i="2"/>
  <c r="R841" i="2"/>
  <c r="R840" i="2"/>
  <c r="R839" i="2"/>
  <c r="S838" i="2"/>
  <c r="R838" i="2"/>
  <c r="S837" i="2"/>
  <c r="R837" i="2"/>
  <c r="R836" i="2"/>
  <c r="R835" i="2"/>
  <c r="R834" i="2"/>
  <c r="S833" i="2"/>
  <c r="R833" i="2"/>
  <c r="R832" i="2"/>
  <c r="R831" i="2"/>
  <c r="S830" i="2"/>
  <c r="R830" i="2"/>
  <c r="S829" i="2"/>
  <c r="R829" i="2"/>
  <c r="R828" i="2"/>
  <c r="R827" i="2"/>
  <c r="S826" i="2"/>
  <c r="R826" i="2"/>
  <c r="S825" i="2"/>
  <c r="R825" i="2"/>
  <c r="R824" i="2"/>
  <c r="R823" i="2"/>
  <c r="S822" i="2"/>
  <c r="R822" i="2"/>
  <c r="S821" i="2"/>
  <c r="R821" i="2"/>
  <c r="P128" i="2"/>
  <c r="P189" i="2"/>
  <c r="P249" i="2"/>
  <c r="P313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6" i="2"/>
  <c r="P587" i="2"/>
  <c r="P588" i="2"/>
  <c r="P589" i="2"/>
  <c r="P590" i="2"/>
  <c r="P591" i="2"/>
  <c r="P592" i="2"/>
  <c r="P593" i="2"/>
  <c r="P594" i="2"/>
  <c r="P595" i="2"/>
  <c r="P596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8" i="2"/>
  <c r="P639" i="2"/>
  <c r="P640" i="2"/>
  <c r="P642" i="2"/>
  <c r="P643" i="2"/>
  <c r="P644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70" i="2"/>
  <c r="P671" i="2"/>
  <c r="P672" i="2"/>
  <c r="P673" i="2"/>
  <c r="P674" i="2"/>
  <c r="P675" i="2"/>
  <c r="P676" i="2"/>
  <c r="P677" i="2"/>
  <c r="P678" i="2"/>
  <c r="P679" i="2"/>
  <c r="P680" i="2"/>
  <c r="P682" i="2"/>
  <c r="P683" i="2"/>
  <c r="P684" i="2"/>
  <c r="P686" i="2"/>
  <c r="P687" i="2"/>
  <c r="P688" i="2"/>
  <c r="P689" i="2"/>
  <c r="P690" i="2"/>
  <c r="P691" i="2"/>
  <c r="P692" i="2"/>
  <c r="P693" i="2"/>
  <c r="P694" i="2"/>
  <c r="P695" i="2"/>
  <c r="P696" i="2"/>
  <c r="P698" i="2"/>
  <c r="P699" i="2"/>
  <c r="P700" i="2"/>
  <c r="P704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9" i="2"/>
  <c r="P740" i="2"/>
  <c r="P742" i="2"/>
  <c r="P743" i="2"/>
  <c r="P744" i="2"/>
  <c r="P745" i="2"/>
  <c r="P746" i="2"/>
  <c r="P747" i="2"/>
  <c r="P748" i="2"/>
  <c r="P750" i="2"/>
  <c r="P752" i="2"/>
  <c r="P753" i="2"/>
  <c r="P754" i="2"/>
  <c r="P755" i="2"/>
  <c r="P756" i="2"/>
  <c r="P757" i="2"/>
  <c r="P758" i="2"/>
  <c r="P759" i="2"/>
  <c r="P760" i="2"/>
  <c r="P763" i="2"/>
  <c r="P764" i="2"/>
  <c r="P766" i="2"/>
  <c r="P767" i="2"/>
  <c r="P768" i="2"/>
  <c r="P769" i="2"/>
  <c r="P770" i="2"/>
  <c r="P771" i="2"/>
  <c r="P772" i="2"/>
  <c r="P774" i="2"/>
  <c r="P775" i="2"/>
  <c r="P776" i="2"/>
  <c r="P778" i="2"/>
  <c r="P779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8" i="2"/>
  <c r="P799" i="2"/>
  <c r="P800" i="2"/>
  <c r="P803" i="2"/>
  <c r="P804" i="2"/>
  <c r="P805" i="2"/>
  <c r="P806" i="2"/>
  <c r="P807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W17" i="4"/>
  <c r="W16" i="4"/>
  <c r="W15" i="4"/>
  <c r="W14" i="4"/>
  <c r="W9" i="4"/>
  <c r="W8" i="4"/>
  <c r="W7" i="4"/>
  <c r="W6" i="4"/>
  <c r="W5" i="4"/>
  <c r="W4" i="4"/>
  <c r="W3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N86" i="4"/>
  <c r="N87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Q813" i="2"/>
  <c r="Q809" i="2"/>
  <c r="Q772" i="2"/>
  <c r="Q771" i="2"/>
  <c r="Q770" i="2"/>
  <c r="Q769" i="2"/>
  <c r="Q768" i="2"/>
  <c r="Q767" i="2"/>
  <c r="Q766" i="2"/>
  <c r="Q820" i="2"/>
  <c r="R820" i="2"/>
  <c r="Q819" i="2"/>
  <c r="R819" i="2"/>
  <c r="Q817" i="2"/>
  <c r="Q818" i="2"/>
  <c r="S818" i="2"/>
  <c r="R818" i="2"/>
  <c r="S817" i="2"/>
  <c r="R817" i="2"/>
  <c r="Q816" i="2"/>
  <c r="R816" i="2"/>
  <c r="Q815" i="2"/>
  <c r="R815" i="2"/>
  <c r="Q814" i="2"/>
  <c r="S814" i="2"/>
  <c r="R814" i="2"/>
  <c r="S813" i="2"/>
  <c r="R813" i="2"/>
  <c r="Q812" i="2"/>
  <c r="R812" i="2"/>
  <c r="Q811" i="2"/>
  <c r="R811" i="2"/>
  <c r="Q810" i="2"/>
  <c r="S810" i="2"/>
  <c r="R810" i="2"/>
  <c r="S809" i="2"/>
  <c r="R809" i="2"/>
  <c r="R808" i="2"/>
  <c r="Q807" i="2"/>
  <c r="R807" i="2"/>
  <c r="Q805" i="2"/>
  <c r="Q806" i="2"/>
  <c r="S806" i="2"/>
  <c r="R806" i="2"/>
  <c r="S805" i="2"/>
  <c r="R805" i="2"/>
  <c r="Q804" i="2"/>
  <c r="R804" i="2"/>
  <c r="Q803" i="2"/>
  <c r="R803" i="2"/>
  <c r="S802" i="2"/>
  <c r="R802" i="2"/>
  <c r="S801" i="2"/>
  <c r="R801" i="2"/>
  <c r="Q800" i="2"/>
  <c r="R800" i="2"/>
  <c r="Q799" i="2"/>
  <c r="R799" i="2"/>
  <c r="Q798" i="2"/>
  <c r="S798" i="2"/>
  <c r="R798" i="2"/>
  <c r="S797" i="2"/>
  <c r="R797" i="2"/>
  <c r="Q796" i="2"/>
  <c r="R796" i="2"/>
  <c r="Q795" i="2"/>
  <c r="R795" i="2"/>
  <c r="Q793" i="2"/>
  <c r="Q794" i="2"/>
  <c r="S794" i="2"/>
  <c r="R794" i="2"/>
  <c r="S793" i="2"/>
  <c r="R793" i="2"/>
  <c r="Q792" i="2"/>
  <c r="R792" i="2"/>
  <c r="Q791" i="2"/>
  <c r="R791" i="2"/>
  <c r="Q789" i="2"/>
  <c r="Q790" i="2"/>
  <c r="S790" i="2"/>
  <c r="R790" i="2"/>
  <c r="S789" i="2"/>
  <c r="R789" i="2"/>
  <c r="Q788" i="2"/>
  <c r="R788" i="2"/>
  <c r="Q787" i="2"/>
  <c r="R787" i="2"/>
  <c r="Q785" i="2"/>
  <c r="Q786" i="2"/>
  <c r="S786" i="2"/>
  <c r="R786" i="2"/>
  <c r="S785" i="2"/>
  <c r="R785" i="2"/>
  <c r="Q784" i="2"/>
  <c r="R784" i="2"/>
  <c r="Q783" i="2"/>
  <c r="R783" i="2"/>
  <c r="Q781" i="2"/>
  <c r="Q782" i="2"/>
  <c r="S782" i="2"/>
  <c r="R782" i="2"/>
  <c r="S781" i="2"/>
  <c r="R781" i="2"/>
  <c r="R780" i="2"/>
  <c r="Q779" i="2"/>
  <c r="R779" i="2"/>
  <c r="Q778" i="2"/>
  <c r="S778" i="2"/>
  <c r="R778" i="2"/>
  <c r="S777" i="2"/>
  <c r="R777" i="2"/>
  <c r="Q776" i="2"/>
  <c r="R776" i="2"/>
  <c r="Q775" i="2"/>
  <c r="R775" i="2"/>
  <c r="Q774" i="2"/>
  <c r="S774" i="2"/>
  <c r="R774" i="2"/>
  <c r="S773" i="2"/>
  <c r="R773" i="2"/>
  <c r="R772" i="2"/>
  <c r="R771" i="2"/>
  <c r="S770" i="2"/>
  <c r="R770" i="2"/>
  <c r="S769" i="2"/>
  <c r="R769" i="2"/>
  <c r="R768" i="2"/>
  <c r="R767" i="2"/>
  <c r="S766" i="2"/>
  <c r="R766" i="2"/>
  <c r="S765" i="2"/>
  <c r="R765" i="2"/>
  <c r="Q714" i="2"/>
  <c r="Q764" i="2"/>
  <c r="Q763" i="2"/>
  <c r="Q760" i="2"/>
  <c r="Q759" i="2"/>
  <c r="Q758" i="2"/>
  <c r="Q757" i="2"/>
  <c r="Q756" i="2"/>
  <c r="Q755" i="2"/>
  <c r="Q754" i="2"/>
  <c r="Q753" i="2"/>
  <c r="Q752" i="2"/>
  <c r="Q750" i="2"/>
  <c r="Q748" i="2"/>
  <c r="Q747" i="2"/>
  <c r="Q746" i="2"/>
  <c r="Q745" i="2"/>
  <c r="Q744" i="2"/>
  <c r="Q743" i="2"/>
  <c r="Q742" i="2"/>
  <c r="Q740" i="2"/>
  <c r="Q739" i="2"/>
  <c r="Q736" i="2"/>
  <c r="Q735" i="2"/>
  <c r="Q734" i="2"/>
  <c r="Q733" i="2"/>
  <c r="Q732" i="2"/>
  <c r="Q731" i="2"/>
  <c r="Q730" i="2"/>
  <c r="Q729" i="2"/>
  <c r="Q728" i="2"/>
  <c r="Q727" i="2"/>
  <c r="Q726" i="2"/>
  <c r="Q725" i="2"/>
  <c r="Q724" i="2"/>
  <c r="Q723" i="2"/>
  <c r="Q722" i="2"/>
  <c r="Q721" i="2"/>
  <c r="Q720" i="2"/>
  <c r="Q719" i="2"/>
  <c r="Q718" i="2"/>
  <c r="Q717" i="2"/>
  <c r="Q716" i="2"/>
  <c r="Q715" i="2"/>
  <c r="Q713" i="2"/>
  <c r="Q712" i="2"/>
  <c r="Q711" i="2"/>
  <c r="Q710" i="2"/>
  <c r="Q709" i="2"/>
  <c r="Q708" i="2"/>
  <c r="Q707" i="2"/>
  <c r="Q706" i="2"/>
  <c r="Q704" i="2"/>
  <c r="R764" i="2"/>
  <c r="R763" i="2"/>
  <c r="S762" i="2"/>
  <c r="R762" i="2"/>
  <c r="S761" i="2"/>
  <c r="R761" i="2"/>
  <c r="R760" i="2"/>
  <c r="R759" i="2"/>
  <c r="S758" i="2"/>
  <c r="R758" i="2"/>
  <c r="S757" i="2"/>
  <c r="R757" i="2"/>
  <c r="R756" i="2"/>
  <c r="R755" i="2"/>
  <c r="S754" i="2"/>
  <c r="R754" i="2"/>
  <c r="S753" i="2"/>
  <c r="R753" i="2"/>
  <c r="R752" i="2"/>
  <c r="R751" i="2"/>
  <c r="S750" i="2"/>
  <c r="R750" i="2"/>
  <c r="S749" i="2"/>
  <c r="R749" i="2"/>
  <c r="R748" i="2"/>
  <c r="R747" i="2"/>
  <c r="S746" i="2"/>
  <c r="R746" i="2"/>
  <c r="S745" i="2"/>
  <c r="R745" i="2"/>
  <c r="R744" i="2"/>
  <c r="R743" i="2"/>
  <c r="S742" i="2"/>
  <c r="R742" i="2"/>
  <c r="S741" i="2"/>
  <c r="R741" i="2"/>
  <c r="R740" i="2"/>
  <c r="R739" i="2"/>
  <c r="S738" i="2"/>
  <c r="R738" i="2"/>
  <c r="S737" i="2"/>
  <c r="R737" i="2"/>
  <c r="R736" i="2"/>
  <c r="R735" i="2"/>
  <c r="S734" i="2"/>
  <c r="R734" i="2"/>
  <c r="S733" i="2"/>
  <c r="R733" i="2"/>
  <c r="R732" i="2"/>
  <c r="R731" i="2"/>
  <c r="S730" i="2"/>
  <c r="R730" i="2"/>
  <c r="S729" i="2"/>
  <c r="R729" i="2"/>
  <c r="R728" i="2"/>
  <c r="R727" i="2"/>
  <c r="S726" i="2"/>
  <c r="R726" i="2"/>
  <c r="S725" i="2"/>
  <c r="R725" i="2"/>
  <c r="R724" i="2"/>
  <c r="R723" i="2"/>
  <c r="S722" i="2"/>
  <c r="R722" i="2"/>
  <c r="S721" i="2"/>
  <c r="R721" i="2"/>
  <c r="R720" i="2"/>
  <c r="R719" i="2"/>
  <c r="S718" i="2"/>
  <c r="R718" i="2"/>
  <c r="S717" i="2"/>
  <c r="R717" i="2"/>
  <c r="R716" i="2"/>
  <c r="R715" i="2"/>
  <c r="S714" i="2"/>
  <c r="R714" i="2"/>
  <c r="S713" i="2"/>
  <c r="R713" i="2"/>
  <c r="R712" i="2"/>
  <c r="R711" i="2"/>
  <c r="S710" i="2"/>
  <c r="R710" i="2"/>
  <c r="S709" i="2"/>
  <c r="R709" i="2"/>
  <c r="R708" i="2"/>
  <c r="R707" i="2"/>
  <c r="S706" i="2"/>
  <c r="R706" i="2"/>
  <c r="S705" i="2"/>
  <c r="R705" i="2"/>
  <c r="R704" i="2"/>
  <c r="R703" i="2"/>
  <c r="S702" i="2"/>
  <c r="R702" i="2"/>
  <c r="S701" i="2"/>
  <c r="R701" i="2"/>
  <c r="D2" i="4"/>
  <c r="D3" i="4"/>
  <c r="L2" i="4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BD68" i="5"/>
  <c r="BE68" i="5"/>
  <c r="BD67" i="5"/>
  <c r="BE67" i="5"/>
  <c r="BD66" i="5"/>
  <c r="BE66" i="5"/>
  <c r="BD65" i="5"/>
  <c r="BE65" i="5"/>
  <c r="BD64" i="5"/>
  <c r="BE64" i="5"/>
  <c r="BD63" i="5"/>
  <c r="BE63" i="5"/>
  <c r="BD62" i="5"/>
  <c r="BE62" i="5"/>
  <c r="BD61" i="5"/>
  <c r="BE61" i="5"/>
  <c r="BD60" i="5"/>
  <c r="BE60" i="5"/>
  <c r="BD59" i="5"/>
  <c r="BE59" i="5"/>
  <c r="BD58" i="5"/>
  <c r="BE58" i="5"/>
  <c r="BD57" i="5"/>
  <c r="BE57" i="5"/>
  <c r="BD56" i="5"/>
  <c r="BE56" i="5"/>
  <c r="BD55" i="5"/>
  <c r="BE55" i="5"/>
  <c r="BD54" i="5"/>
  <c r="BE54" i="5"/>
  <c r="BD53" i="5"/>
  <c r="BE53" i="5"/>
  <c r="BD52" i="5"/>
  <c r="BE52" i="5"/>
  <c r="BD51" i="5"/>
  <c r="BE51" i="5"/>
  <c r="BD50" i="5"/>
  <c r="BE50" i="5"/>
  <c r="BD49" i="5"/>
  <c r="BE49" i="5"/>
  <c r="BD48" i="5"/>
  <c r="BE48" i="5"/>
  <c r="BD47" i="5"/>
  <c r="BE47" i="5"/>
  <c r="BD46" i="5"/>
  <c r="BE46" i="5"/>
  <c r="BD45" i="5"/>
  <c r="BE45" i="5"/>
  <c r="BD44" i="5"/>
  <c r="BE44" i="5"/>
  <c r="BD43" i="5"/>
  <c r="BE43" i="5"/>
  <c r="BD42" i="5"/>
  <c r="BE42" i="5"/>
  <c r="BD41" i="5"/>
  <c r="BE41" i="5"/>
  <c r="BD40" i="5"/>
  <c r="BE40" i="5"/>
  <c r="BD39" i="5"/>
  <c r="BE39" i="5"/>
  <c r="BD38" i="5"/>
  <c r="BE38" i="5"/>
  <c r="BD37" i="5"/>
  <c r="BE37" i="5"/>
  <c r="BD36" i="5"/>
  <c r="BE36" i="5"/>
  <c r="BD35" i="5"/>
  <c r="BE35" i="5"/>
  <c r="BD34" i="5"/>
  <c r="BE34" i="5"/>
  <c r="BD33" i="5"/>
  <c r="BE33" i="5"/>
  <c r="BD32" i="5"/>
  <c r="BE32" i="5"/>
  <c r="BD31" i="5"/>
  <c r="BE31" i="5"/>
  <c r="BD30" i="5"/>
  <c r="BE30" i="5"/>
  <c r="BD29" i="5"/>
  <c r="BE29" i="5"/>
  <c r="BD28" i="5"/>
  <c r="BE28" i="5"/>
  <c r="BD27" i="5"/>
  <c r="BE27" i="5"/>
  <c r="BD26" i="5"/>
  <c r="BE26" i="5"/>
  <c r="BD25" i="5"/>
  <c r="BE25" i="5"/>
  <c r="BD24" i="5"/>
  <c r="BE24" i="5"/>
  <c r="BD23" i="5"/>
  <c r="BE23" i="5"/>
  <c r="BD22" i="5"/>
  <c r="BE22" i="5"/>
  <c r="BD21" i="5"/>
  <c r="BE21" i="5"/>
  <c r="BD20" i="5"/>
  <c r="BE20" i="5"/>
  <c r="BD19" i="5"/>
  <c r="BE19" i="5"/>
  <c r="BD18" i="5"/>
  <c r="BE18" i="5"/>
  <c r="BD17" i="5"/>
  <c r="BE17" i="5"/>
  <c r="BD16" i="5"/>
  <c r="BE16" i="5"/>
  <c r="BD15" i="5"/>
  <c r="BE15" i="5"/>
  <c r="BD14" i="5"/>
  <c r="BE14" i="5"/>
  <c r="BD13" i="5"/>
  <c r="BE13" i="5"/>
  <c r="BD12" i="5"/>
  <c r="BE12" i="5"/>
  <c r="BD11" i="5"/>
  <c r="BE11" i="5"/>
  <c r="BD10" i="5"/>
  <c r="BE10" i="5"/>
  <c r="BD9" i="5"/>
  <c r="BE9" i="5"/>
  <c r="BD8" i="5"/>
  <c r="BE8" i="5"/>
  <c r="BD7" i="5"/>
  <c r="BE7" i="5"/>
  <c r="BD6" i="5"/>
  <c r="BE6" i="5"/>
  <c r="BD5" i="5"/>
  <c r="BE5" i="5"/>
  <c r="BD4" i="5"/>
  <c r="BE4" i="5"/>
  <c r="BE3" i="5"/>
  <c r="B8" i="6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BN68" i="5"/>
  <c r="BO68" i="5"/>
  <c r="BN67" i="5"/>
  <c r="BO67" i="5"/>
  <c r="BN66" i="5"/>
  <c r="BO66" i="5"/>
  <c r="BN65" i="5"/>
  <c r="BO65" i="5"/>
  <c r="BN64" i="5"/>
  <c r="BO64" i="5"/>
  <c r="BN63" i="5"/>
  <c r="BO63" i="5"/>
  <c r="BN62" i="5"/>
  <c r="BO62" i="5"/>
  <c r="BN61" i="5"/>
  <c r="BO61" i="5"/>
  <c r="BN60" i="5"/>
  <c r="BO60" i="5"/>
  <c r="BN59" i="5"/>
  <c r="BO59" i="5"/>
  <c r="BN58" i="5"/>
  <c r="BO58" i="5"/>
  <c r="BN57" i="5"/>
  <c r="BO57" i="5"/>
  <c r="BN56" i="5"/>
  <c r="BO56" i="5"/>
  <c r="BN55" i="5"/>
  <c r="BO55" i="5"/>
  <c r="BN54" i="5"/>
  <c r="BO54" i="5"/>
  <c r="BN53" i="5"/>
  <c r="BO53" i="5"/>
  <c r="BN52" i="5"/>
  <c r="BO52" i="5"/>
  <c r="BN51" i="5"/>
  <c r="BO51" i="5"/>
  <c r="BN50" i="5"/>
  <c r="BO50" i="5"/>
  <c r="BN49" i="5"/>
  <c r="BO49" i="5"/>
  <c r="BN48" i="5"/>
  <c r="BO48" i="5"/>
  <c r="BN47" i="5"/>
  <c r="BO47" i="5"/>
  <c r="BN46" i="5"/>
  <c r="BO46" i="5"/>
  <c r="BN45" i="5"/>
  <c r="BO45" i="5"/>
  <c r="BN44" i="5"/>
  <c r="BO44" i="5"/>
  <c r="BN43" i="5"/>
  <c r="BO43" i="5"/>
  <c r="BN42" i="5"/>
  <c r="BO42" i="5"/>
  <c r="BN41" i="5"/>
  <c r="BO41" i="5"/>
  <c r="BN40" i="5"/>
  <c r="BO40" i="5"/>
  <c r="BN39" i="5"/>
  <c r="BO39" i="5"/>
  <c r="BN38" i="5"/>
  <c r="BO38" i="5"/>
  <c r="BN37" i="5"/>
  <c r="BO37" i="5"/>
  <c r="BN36" i="5"/>
  <c r="BO36" i="5"/>
  <c r="BN35" i="5"/>
  <c r="BO35" i="5"/>
  <c r="BN34" i="5"/>
  <c r="BO34" i="5"/>
  <c r="BN33" i="5"/>
  <c r="BO33" i="5"/>
  <c r="BN32" i="5"/>
  <c r="BO32" i="5"/>
  <c r="BN31" i="5"/>
  <c r="BO31" i="5"/>
  <c r="BN30" i="5"/>
  <c r="BO30" i="5"/>
  <c r="BN29" i="5"/>
  <c r="BO29" i="5"/>
  <c r="BN28" i="5"/>
  <c r="BO28" i="5"/>
  <c r="BN27" i="5"/>
  <c r="BO27" i="5"/>
  <c r="BN26" i="5"/>
  <c r="BO26" i="5"/>
  <c r="BN25" i="5"/>
  <c r="BO25" i="5"/>
  <c r="BN24" i="5"/>
  <c r="BO24" i="5"/>
  <c r="BN23" i="5"/>
  <c r="BO23" i="5"/>
  <c r="BN22" i="5"/>
  <c r="BO22" i="5"/>
  <c r="BN21" i="5"/>
  <c r="BO21" i="5"/>
  <c r="BN20" i="5"/>
  <c r="BO20" i="5"/>
  <c r="BN19" i="5"/>
  <c r="BO19" i="5"/>
  <c r="BN18" i="5"/>
  <c r="BO18" i="5"/>
  <c r="BN17" i="5"/>
  <c r="BO17" i="5"/>
  <c r="BN16" i="5"/>
  <c r="BO16" i="5"/>
  <c r="BN15" i="5"/>
  <c r="BO15" i="5"/>
  <c r="BN14" i="5"/>
  <c r="BO14" i="5"/>
  <c r="BN13" i="5"/>
  <c r="BO13" i="5"/>
  <c r="BN12" i="5"/>
  <c r="BO12" i="5"/>
  <c r="BN11" i="5"/>
  <c r="BO11" i="5"/>
  <c r="BN10" i="5"/>
  <c r="BO10" i="5"/>
  <c r="BN9" i="5"/>
  <c r="BO9" i="5"/>
  <c r="BN8" i="5"/>
  <c r="BO8" i="5"/>
  <c r="BN7" i="5"/>
  <c r="BO7" i="5"/>
  <c r="BN6" i="5"/>
  <c r="BO6" i="5"/>
  <c r="BN5" i="5"/>
  <c r="BO5" i="5"/>
  <c r="BN4" i="5"/>
  <c r="BO4" i="5"/>
  <c r="BO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BL68" i="5"/>
  <c r="BM68" i="5"/>
  <c r="BL67" i="5"/>
  <c r="BM67" i="5"/>
  <c r="BL66" i="5"/>
  <c r="BM66" i="5"/>
  <c r="BL65" i="5"/>
  <c r="BM65" i="5"/>
  <c r="BL64" i="5"/>
  <c r="BM64" i="5"/>
  <c r="BL63" i="5"/>
  <c r="BM63" i="5"/>
  <c r="BL62" i="5"/>
  <c r="BM62" i="5"/>
  <c r="BL61" i="5"/>
  <c r="BM61" i="5"/>
  <c r="BL60" i="5"/>
  <c r="BM60" i="5"/>
  <c r="BL59" i="5"/>
  <c r="BM59" i="5"/>
  <c r="BL58" i="5"/>
  <c r="BM58" i="5"/>
  <c r="BL57" i="5"/>
  <c r="BM57" i="5"/>
  <c r="BL56" i="5"/>
  <c r="BM56" i="5"/>
  <c r="BL55" i="5"/>
  <c r="BM55" i="5"/>
  <c r="BL54" i="5"/>
  <c r="BM54" i="5"/>
  <c r="BL53" i="5"/>
  <c r="BM53" i="5"/>
  <c r="BL52" i="5"/>
  <c r="BM52" i="5"/>
  <c r="BL51" i="5"/>
  <c r="BM51" i="5"/>
  <c r="BL50" i="5"/>
  <c r="BM50" i="5"/>
  <c r="BL49" i="5"/>
  <c r="BM49" i="5"/>
  <c r="BL48" i="5"/>
  <c r="BM48" i="5"/>
  <c r="BL47" i="5"/>
  <c r="BM47" i="5"/>
  <c r="BL46" i="5"/>
  <c r="BM46" i="5"/>
  <c r="BL45" i="5"/>
  <c r="BM45" i="5"/>
  <c r="BL44" i="5"/>
  <c r="BM44" i="5"/>
  <c r="BL43" i="5"/>
  <c r="BM43" i="5"/>
  <c r="BL42" i="5"/>
  <c r="BM42" i="5"/>
  <c r="BL41" i="5"/>
  <c r="BM41" i="5"/>
  <c r="BL40" i="5"/>
  <c r="BM40" i="5"/>
  <c r="BL39" i="5"/>
  <c r="BM39" i="5"/>
  <c r="BL38" i="5"/>
  <c r="BM38" i="5"/>
  <c r="BL37" i="5"/>
  <c r="BM37" i="5"/>
  <c r="BL36" i="5"/>
  <c r="BM36" i="5"/>
  <c r="BL35" i="5"/>
  <c r="BM35" i="5"/>
  <c r="BL34" i="5"/>
  <c r="BM34" i="5"/>
  <c r="BL33" i="5"/>
  <c r="BM33" i="5"/>
  <c r="BL32" i="5"/>
  <c r="BM32" i="5"/>
  <c r="BL31" i="5"/>
  <c r="BM31" i="5"/>
  <c r="BL30" i="5"/>
  <c r="BM30" i="5"/>
  <c r="BL29" i="5"/>
  <c r="BM29" i="5"/>
  <c r="BL28" i="5"/>
  <c r="BM28" i="5"/>
  <c r="BL27" i="5"/>
  <c r="BM27" i="5"/>
  <c r="BL26" i="5"/>
  <c r="BM26" i="5"/>
  <c r="BL25" i="5"/>
  <c r="BM25" i="5"/>
  <c r="BL24" i="5"/>
  <c r="BM24" i="5"/>
  <c r="BL23" i="5"/>
  <c r="BM23" i="5"/>
  <c r="BL22" i="5"/>
  <c r="BM22" i="5"/>
  <c r="BL21" i="5"/>
  <c r="BM21" i="5"/>
  <c r="BL20" i="5"/>
  <c r="BM20" i="5"/>
  <c r="BL19" i="5"/>
  <c r="BM19" i="5"/>
  <c r="BL18" i="5"/>
  <c r="BM18" i="5"/>
  <c r="BL17" i="5"/>
  <c r="BM17" i="5"/>
  <c r="BL16" i="5"/>
  <c r="BM16" i="5"/>
  <c r="BL15" i="5"/>
  <c r="BM15" i="5"/>
  <c r="BL14" i="5"/>
  <c r="BM14" i="5"/>
  <c r="BL13" i="5"/>
  <c r="BM13" i="5"/>
  <c r="BL12" i="5"/>
  <c r="BM12" i="5"/>
  <c r="BL11" i="5"/>
  <c r="BM11" i="5"/>
  <c r="BL10" i="5"/>
  <c r="BM10" i="5"/>
  <c r="BL9" i="5"/>
  <c r="BM9" i="5"/>
  <c r="BL8" i="5"/>
  <c r="BM8" i="5"/>
  <c r="BL7" i="5"/>
  <c r="BM7" i="5"/>
  <c r="BL6" i="5"/>
  <c r="BM6" i="5"/>
  <c r="BL5" i="5"/>
  <c r="BM5" i="5"/>
  <c r="BL4" i="5"/>
  <c r="BM4" i="5"/>
  <c r="BM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BJ68" i="5"/>
  <c r="BK68" i="5"/>
  <c r="BJ67" i="5"/>
  <c r="BK67" i="5"/>
  <c r="BJ66" i="5"/>
  <c r="BK66" i="5"/>
  <c r="BJ65" i="5"/>
  <c r="BK65" i="5"/>
  <c r="BJ64" i="5"/>
  <c r="BK64" i="5"/>
  <c r="BJ63" i="5"/>
  <c r="BK63" i="5"/>
  <c r="BJ62" i="5"/>
  <c r="BK62" i="5"/>
  <c r="BJ61" i="5"/>
  <c r="BK61" i="5"/>
  <c r="BJ60" i="5"/>
  <c r="BK60" i="5"/>
  <c r="BJ59" i="5"/>
  <c r="BK59" i="5"/>
  <c r="BJ58" i="5"/>
  <c r="BK58" i="5"/>
  <c r="BJ57" i="5"/>
  <c r="BK57" i="5"/>
  <c r="BJ56" i="5"/>
  <c r="BK56" i="5"/>
  <c r="BJ55" i="5"/>
  <c r="BK55" i="5"/>
  <c r="BJ54" i="5"/>
  <c r="BK54" i="5"/>
  <c r="BJ53" i="5"/>
  <c r="BK53" i="5"/>
  <c r="BJ52" i="5"/>
  <c r="BK52" i="5"/>
  <c r="BJ51" i="5"/>
  <c r="BK51" i="5"/>
  <c r="BJ50" i="5"/>
  <c r="BK50" i="5"/>
  <c r="BJ49" i="5"/>
  <c r="BK49" i="5"/>
  <c r="BJ48" i="5"/>
  <c r="BK48" i="5"/>
  <c r="BJ47" i="5"/>
  <c r="BK47" i="5"/>
  <c r="BJ46" i="5"/>
  <c r="BK46" i="5"/>
  <c r="BJ45" i="5"/>
  <c r="BK45" i="5"/>
  <c r="BJ44" i="5"/>
  <c r="BK44" i="5"/>
  <c r="BJ43" i="5"/>
  <c r="BK43" i="5"/>
  <c r="BJ42" i="5"/>
  <c r="BK42" i="5"/>
  <c r="BJ41" i="5"/>
  <c r="BK41" i="5"/>
  <c r="BJ40" i="5"/>
  <c r="BK40" i="5"/>
  <c r="BJ39" i="5"/>
  <c r="BK39" i="5"/>
  <c r="BJ38" i="5"/>
  <c r="BK38" i="5"/>
  <c r="BJ37" i="5"/>
  <c r="BK37" i="5"/>
  <c r="BJ36" i="5"/>
  <c r="BK36" i="5"/>
  <c r="BJ35" i="5"/>
  <c r="BK35" i="5"/>
  <c r="BJ34" i="5"/>
  <c r="BK34" i="5"/>
  <c r="BJ33" i="5"/>
  <c r="BK33" i="5"/>
  <c r="BJ32" i="5"/>
  <c r="BK32" i="5"/>
  <c r="BJ31" i="5"/>
  <c r="BK31" i="5"/>
  <c r="BJ30" i="5"/>
  <c r="BK30" i="5"/>
  <c r="BJ29" i="5"/>
  <c r="BK29" i="5"/>
  <c r="BJ28" i="5"/>
  <c r="BK28" i="5"/>
  <c r="BJ27" i="5"/>
  <c r="BK27" i="5"/>
  <c r="BJ26" i="5"/>
  <c r="BK26" i="5"/>
  <c r="BJ25" i="5"/>
  <c r="BK25" i="5"/>
  <c r="BJ24" i="5"/>
  <c r="BK24" i="5"/>
  <c r="BJ23" i="5"/>
  <c r="BK23" i="5"/>
  <c r="BJ22" i="5"/>
  <c r="BK22" i="5"/>
  <c r="BJ21" i="5"/>
  <c r="BK21" i="5"/>
  <c r="BJ20" i="5"/>
  <c r="BK20" i="5"/>
  <c r="BJ19" i="5"/>
  <c r="BK19" i="5"/>
  <c r="BJ18" i="5"/>
  <c r="BK18" i="5"/>
  <c r="BJ17" i="5"/>
  <c r="BK17" i="5"/>
  <c r="BJ16" i="5"/>
  <c r="BK16" i="5"/>
  <c r="BJ15" i="5"/>
  <c r="BK15" i="5"/>
  <c r="BJ14" i="5"/>
  <c r="BK14" i="5"/>
  <c r="BJ13" i="5"/>
  <c r="BK13" i="5"/>
  <c r="BJ12" i="5"/>
  <c r="BK12" i="5"/>
  <c r="BJ11" i="5"/>
  <c r="BK11" i="5"/>
  <c r="BJ10" i="5"/>
  <c r="BK10" i="5"/>
  <c r="BJ9" i="5"/>
  <c r="BK9" i="5"/>
  <c r="BJ8" i="5"/>
  <c r="BK8" i="5"/>
  <c r="BJ7" i="5"/>
  <c r="BK7" i="5"/>
  <c r="BJ6" i="5"/>
  <c r="BK6" i="5"/>
  <c r="BJ5" i="5"/>
  <c r="BK5" i="5"/>
  <c r="BJ4" i="5"/>
  <c r="BK4" i="5"/>
  <c r="BK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BH68" i="5"/>
  <c r="BI68" i="5"/>
  <c r="BH67" i="5"/>
  <c r="BI67" i="5"/>
  <c r="BH66" i="5"/>
  <c r="BI66" i="5"/>
  <c r="BH65" i="5"/>
  <c r="BI65" i="5"/>
  <c r="BH64" i="5"/>
  <c r="BI64" i="5"/>
  <c r="BH63" i="5"/>
  <c r="BI63" i="5"/>
  <c r="BH62" i="5"/>
  <c r="BI62" i="5"/>
  <c r="BH61" i="5"/>
  <c r="BI61" i="5"/>
  <c r="BH60" i="5"/>
  <c r="BI60" i="5"/>
  <c r="BH59" i="5"/>
  <c r="BI59" i="5"/>
  <c r="BH58" i="5"/>
  <c r="BI58" i="5"/>
  <c r="BH57" i="5"/>
  <c r="BI57" i="5"/>
  <c r="BH56" i="5"/>
  <c r="BI56" i="5"/>
  <c r="BH55" i="5"/>
  <c r="BI55" i="5"/>
  <c r="BH54" i="5"/>
  <c r="BI54" i="5"/>
  <c r="BH53" i="5"/>
  <c r="BI53" i="5"/>
  <c r="BH52" i="5"/>
  <c r="BI52" i="5"/>
  <c r="BH51" i="5"/>
  <c r="BI51" i="5"/>
  <c r="BH50" i="5"/>
  <c r="BI50" i="5"/>
  <c r="BH49" i="5"/>
  <c r="BI49" i="5"/>
  <c r="BH48" i="5"/>
  <c r="BI48" i="5"/>
  <c r="BH47" i="5"/>
  <c r="BI47" i="5"/>
  <c r="BH46" i="5"/>
  <c r="BI46" i="5"/>
  <c r="BH45" i="5"/>
  <c r="BI45" i="5"/>
  <c r="BH44" i="5"/>
  <c r="BI44" i="5"/>
  <c r="BH43" i="5"/>
  <c r="BI43" i="5"/>
  <c r="BH42" i="5"/>
  <c r="BI42" i="5"/>
  <c r="BH41" i="5"/>
  <c r="BI41" i="5"/>
  <c r="BH40" i="5"/>
  <c r="BI40" i="5"/>
  <c r="BH39" i="5"/>
  <c r="BI39" i="5"/>
  <c r="BH38" i="5"/>
  <c r="BI38" i="5"/>
  <c r="BH37" i="5"/>
  <c r="BI37" i="5"/>
  <c r="BH36" i="5"/>
  <c r="BI36" i="5"/>
  <c r="BH35" i="5"/>
  <c r="BI35" i="5"/>
  <c r="BH34" i="5"/>
  <c r="BI34" i="5"/>
  <c r="BH33" i="5"/>
  <c r="BI33" i="5"/>
  <c r="BH32" i="5"/>
  <c r="BI32" i="5"/>
  <c r="BH31" i="5"/>
  <c r="BI31" i="5"/>
  <c r="BH30" i="5"/>
  <c r="BI30" i="5"/>
  <c r="BH29" i="5"/>
  <c r="BI29" i="5"/>
  <c r="BH28" i="5"/>
  <c r="BI28" i="5"/>
  <c r="BH27" i="5"/>
  <c r="BI27" i="5"/>
  <c r="BH26" i="5"/>
  <c r="BI26" i="5"/>
  <c r="BH25" i="5"/>
  <c r="BI25" i="5"/>
  <c r="BH24" i="5"/>
  <c r="BI24" i="5"/>
  <c r="BH23" i="5"/>
  <c r="BI23" i="5"/>
  <c r="BH22" i="5"/>
  <c r="BI22" i="5"/>
  <c r="BH21" i="5"/>
  <c r="BI21" i="5"/>
  <c r="BH20" i="5"/>
  <c r="BI20" i="5"/>
  <c r="BH19" i="5"/>
  <c r="BI19" i="5"/>
  <c r="BH18" i="5"/>
  <c r="BI18" i="5"/>
  <c r="BH17" i="5"/>
  <c r="BI17" i="5"/>
  <c r="BH16" i="5"/>
  <c r="BI16" i="5"/>
  <c r="BH15" i="5"/>
  <c r="BI15" i="5"/>
  <c r="BH14" i="5"/>
  <c r="BI14" i="5"/>
  <c r="BH13" i="5"/>
  <c r="BI13" i="5"/>
  <c r="BH12" i="5"/>
  <c r="BI12" i="5"/>
  <c r="BH11" i="5"/>
  <c r="BI11" i="5"/>
  <c r="BH10" i="5"/>
  <c r="BI10" i="5"/>
  <c r="BH9" i="5"/>
  <c r="BI9" i="5"/>
  <c r="BH8" i="5"/>
  <c r="BI8" i="5"/>
  <c r="BH7" i="5"/>
  <c r="BI7" i="5"/>
  <c r="BH6" i="5"/>
  <c r="BI6" i="5"/>
  <c r="BH5" i="5"/>
  <c r="BI5" i="5"/>
  <c r="BH4" i="5"/>
  <c r="BI4" i="5"/>
  <c r="BI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BF68" i="5"/>
  <c r="BG68" i="5"/>
  <c r="BF67" i="5"/>
  <c r="BG67" i="5"/>
  <c r="BF66" i="5"/>
  <c r="BG66" i="5"/>
  <c r="BF65" i="5"/>
  <c r="BG65" i="5"/>
  <c r="BF64" i="5"/>
  <c r="BG64" i="5"/>
  <c r="BF63" i="5"/>
  <c r="BG63" i="5"/>
  <c r="BF62" i="5"/>
  <c r="BG62" i="5"/>
  <c r="BF61" i="5"/>
  <c r="BG61" i="5"/>
  <c r="BF60" i="5"/>
  <c r="BG60" i="5"/>
  <c r="BF59" i="5"/>
  <c r="BG59" i="5"/>
  <c r="BF58" i="5"/>
  <c r="BG58" i="5"/>
  <c r="BF57" i="5"/>
  <c r="BG57" i="5"/>
  <c r="BF56" i="5"/>
  <c r="BG56" i="5"/>
  <c r="BF55" i="5"/>
  <c r="BG55" i="5"/>
  <c r="BF54" i="5"/>
  <c r="BG54" i="5"/>
  <c r="BF53" i="5"/>
  <c r="BG53" i="5"/>
  <c r="BF52" i="5"/>
  <c r="BG52" i="5"/>
  <c r="BF51" i="5"/>
  <c r="BG51" i="5"/>
  <c r="BF50" i="5"/>
  <c r="BG50" i="5"/>
  <c r="BF49" i="5"/>
  <c r="BG49" i="5"/>
  <c r="BF48" i="5"/>
  <c r="BG48" i="5"/>
  <c r="BF47" i="5"/>
  <c r="BG47" i="5"/>
  <c r="BF46" i="5"/>
  <c r="BG46" i="5"/>
  <c r="BF45" i="5"/>
  <c r="BG45" i="5"/>
  <c r="BF44" i="5"/>
  <c r="BG44" i="5"/>
  <c r="BF43" i="5"/>
  <c r="BG43" i="5"/>
  <c r="BF42" i="5"/>
  <c r="BG42" i="5"/>
  <c r="BF41" i="5"/>
  <c r="BG41" i="5"/>
  <c r="BF40" i="5"/>
  <c r="BG40" i="5"/>
  <c r="BF39" i="5"/>
  <c r="BG39" i="5"/>
  <c r="BF38" i="5"/>
  <c r="BG38" i="5"/>
  <c r="BF37" i="5"/>
  <c r="BG37" i="5"/>
  <c r="BF36" i="5"/>
  <c r="BG36" i="5"/>
  <c r="BF35" i="5"/>
  <c r="BG35" i="5"/>
  <c r="BF34" i="5"/>
  <c r="BG34" i="5"/>
  <c r="BF33" i="5"/>
  <c r="BG33" i="5"/>
  <c r="BF32" i="5"/>
  <c r="BG32" i="5"/>
  <c r="BF31" i="5"/>
  <c r="BG31" i="5"/>
  <c r="BF30" i="5"/>
  <c r="BG30" i="5"/>
  <c r="BF29" i="5"/>
  <c r="BG29" i="5"/>
  <c r="BF28" i="5"/>
  <c r="BG28" i="5"/>
  <c r="BF27" i="5"/>
  <c r="BG27" i="5"/>
  <c r="BF26" i="5"/>
  <c r="BG26" i="5"/>
  <c r="BF25" i="5"/>
  <c r="BG25" i="5"/>
  <c r="BF24" i="5"/>
  <c r="BG24" i="5"/>
  <c r="BF23" i="5"/>
  <c r="BG23" i="5"/>
  <c r="BF22" i="5"/>
  <c r="BG22" i="5"/>
  <c r="BF21" i="5"/>
  <c r="BG21" i="5"/>
  <c r="BF20" i="5"/>
  <c r="BG20" i="5"/>
  <c r="BF19" i="5"/>
  <c r="BG19" i="5"/>
  <c r="BF18" i="5"/>
  <c r="BG18" i="5"/>
  <c r="BF17" i="5"/>
  <c r="BG17" i="5"/>
  <c r="BF16" i="5"/>
  <c r="BG16" i="5"/>
  <c r="BF15" i="5"/>
  <c r="BG15" i="5"/>
  <c r="BF14" i="5"/>
  <c r="BG14" i="5"/>
  <c r="BF13" i="5"/>
  <c r="BG13" i="5"/>
  <c r="BF12" i="5"/>
  <c r="BG12" i="5"/>
  <c r="BF11" i="5"/>
  <c r="BG11" i="5"/>
  <c r="BF10" i="5"/>
  <c r="BG10" i="5"/>
  <c r="BF9" i="5"/>
  <c r="BG9" i="5"/>
  <c r="BF8" i="5"/>
  <c r="BG8" i="5"/>
  <c r="BF7" i="5"/>
  <c r="BG7" i="5"/>
  <c r="BF6" i="5"/>
  <c r="BG6" i="5"/>
  <c r="BF5" i="5"/>
  <c r="BG5" i="5"/>
  <c r="BF4" i="5"/>
  <c r="BG4" i="5"/>
  <c r="BG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BB68" i="5"/>
  <c r="BC68" i="5"/>
  <c r="BB67" i="5"/>
  <c r="BC67" i="5"/>
  <c r="BB66" i="5"/>
  <c r="BC66" i="5"/>
  <c r="BB65" i="5"/>
  <c r="BC65" i="5"/>
  <c r="BB64" i="5"/>
  <c r="BC64" i="5"/>
  <c r="BB63" i="5"/>
  <c r="BC63" i="5"/>
  <c r="BB62" i="5"/>
  <c r="BC62" i="5"/>
  <c r="BB61" i="5"/>
  <c r="BC61" i="5"/>
  <c r="BB60" i="5"/>
  <c r="BC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C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AZ68" i="5"/>
  <c r="BA68" i="5"/>
  <c r="AZ67" i="5"/>
  <c r="BA67" i="5"/>
  <c r="AZ66" i="5"/>
  <c r="BA66" i="5"/>
  <c r="AZ65" i="5"/>
  <c r="BA65" i="5"/>
  <c r="AZ64" i="5"/>
  <c r="BA64" i="5"/>
  <c r="AZ63" i="5"/>
  <c r="BA63" i="5"/>
  <c r="AZ62" i="5"/>
  <c r="BA62" i="5"/>
  <c r="AZ61" i="5"/>
  <c r="BA61" i="5"/>
  <c r="AZ60" i="5"/>
  <c r="BA60" i="5"/>
  <c r="AZ59" i="5"/>
  <c r="BA59" i="5"/>
  <c r="AZ58" i="5"/>
  <c r="BA58" i="5"/>
  <c r="AZ57" i="5"/>
  <c r="BA57" i="5"/>
  <c r="AZ56" i="5"/>
  <c r="BA56" i="5"/>
  <c r="AZ55" i="5"/>
  <c r="BA55" i="5"/>
  <c r="AZ54" i="5"/>
  <c r="BA54" i="5"/>
  <c r="AZ53" i="5"/>
  <c r="BA53" i="5"/>
  <c r="AZ52" i="5"/>
  <c r="BA52" i="5"/>
  <c r="AZ51" i="5"/>
  <c r="BA51" i="5"/>
  <c r="AZ50" i="5"/>
  <c r="BA50" i="5"/>
  <c r="AZ49" i="5"/>
  <c r="BA49" i="5"/>
  <c r="AZ48" i="5"/>
  <c r="BA48" i="5"/>
  <c r="AZ47" i="5"/>
  <c r="BA47" i="5"/>
  <c r="AZ46" i="5"/>
  <c r="BA46" i="5"/>
  <c r="AZ45" i="5"/>
  <c r="BA45" i="5"/>
  <c r="AZ44" i="5"/>
  <c r="BA44" i="5"/>
  <c r="AZ43" i="5"/>
  <c r="BA43" i="5"/>
  <c r="AZ42" i="5"/>
  <c r="BA42" i="5"/>
  <c r="AZ41" i="5"/>
  <c r="BA41" i="5"/>
  <c r="AZ40" i="5"/>
  <c r="BA40" i="5"/>
  <c r="AZ39" i="5"/>
  <c r="BA39" i="5"/>
  <c r="AZ38" i="5"/>
  <c r="BA38" i="5"/>
  <c r="AZ37" i="5"/>
  <c r="BA37" i="5"/>
  <c r="AZ36" i="5"/>
  <c r="BA36" i="5"/>
  <c r="AZ35" i="5"/>
  <c r="BA35" i="5"/>
  <c r="AZ34" i="5"/>
  <c r="BA34" i="5"/>
  <c r="AZ33" i="5"/>
  <c r="BA33" i="5"/>
  <c r="AZ32" i="5"/>
  <c r="BA32" i="5"/>
  <c r="AZ31" i="5"/>
  <c r="BA31" i="5"/>
  <c r="AZ30" i="5"/>
  <c r="BA30" i="5"/>
  <c r="AZ29" i="5"/>
  <c r="BA29" i="5"/>
  <c r="AZ28" i="5"/>
  <c r="BA28" i="5"/>
  <c r="AZ27" i="5"/>
  <c r="BA27" i="5"/>
  <c r="AZ26" i="5"/>
  <c r="BA26" i="5"/>
  <c r="AZ25" i="5"/>
  <c r="BA25" i="5"/>
  <c r="AZ24" i="5"/>
  <c r="BA24" i="5"/>
  <c r="AZ23" i="5"/>
  <c r="BA23" i="5"/>
  <c r="AZ22" i="5"/>
  <c r="BA22" i="5"/>
  <c r="AZ21" i="5"/>
  <c r="BA21" i="5"/>
  <c r="AZ20" i="5"/>
  <c r="BA20" i="5"/>
  <c r="AZ19" i="5"/>
  <c r="BA19" i="5"/>
  <c r="AZ18" i="5"/>
  <c r="BA18" i="5"/>
  <c r="AZ17" i="5"/>
  <c r="BA17" i="5"/>
  <c r="AZ16" i="5"/>
  <c r="BA16" i="5"/>
  <c r="AZ15" i="5"/>
  <c r="BA15" i="5"/>
  <c r="AZ14" i="5"/>
  <c r="BA14" i="5"/>
  <c r="AZ13" i="5"/>
  <c r="BA13" i="5"/>
  <c r="AZ12" i="5"/>
  <c r="BA12" i="5"/>
  <c r="AZ11" i="5"/>
  <c r="BA11" i="5"/>
  <c r="AZ10" i="5"/>
  <c r="BA10" i="5"/>
  <c r="AZ9" i="5"/>
  <c r="BA9" i="5"/>
  <c r="AZ8" i="5"/>
  <c r="BA8" i="5"/>
  <c r="AZ7" i="5"/>
  <c r="BA7" i="5"/>
  <c r="AZ6" i="5"/>
  <c r="BA6" i="5"/>
  <c r="AZ5" i="5"/>
  <c r="BA5" i="5"/>
  <c r="AZ4" i="5"/>
  <c r="BA4" i="5"/>
  <c r="BA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AX48" i="5"/>
  <c r="AY48" i="5"/>
  <c r="AX47" i="5"/>
  <c r="AY47" i="5"/>
  <c r="AX46" i="5"/>
  <c r="AY46" i="5"/>
  <c r="AX45" i="5"/>
  <c r="AY45" i="5"/>
  <c r="AX44" i="5"/>
  <c r="AY44" i="5"/>
  <c r="AX43" i="5"/>
  <c r="AY43" i="5"/>
  <c r="AX42" i="5"/>
  <c r="AY42" i="5"/>
  <c r="AX41" i="5"/>
  <c r="AY41" i="5"/>
  <c r="AX40" i="5"/>
  <c r="AY40" i="5"/>
  <c r="AX39" i="5"/>
  <c r="AY39" i="5"/>
  <c r="AX38" i="5"/>
  <c r="AY38" i="5"/>
  <c r="AX37" i="5"/>
  <c r="AY37" i="5"/>
  <c r="AX36" i="5"/>
  <c r="AY36" i="5"/>
  <c r="AX35" i="5"/>
  <c r="AY35" i="5"/>
  <c r="AX34" i="5"/>
  <c r="AY34" i="5"/>
  <c r="AX33" i="5"/>
  <c r="AY33" i="5"/>
  <c r="AX32" i="5"/>
  <c r="AY32" i="5"/>
  <c r="AX31" i="5"/>
  <c r="AY31" i="5"/>
  <c r="AX30" i="5"/>
  <c r="AY30" i="5"/>
  <c r="AX29" i="5"/>
  <c r="AY29" i="5"/>
  <c r="AX28" i="5"/>
  <c r="AY28" i="5"/>
  <c r="AX27" i="5"/>
  <c r="AY27" i="5"/>
  <c r="AX26" i="5"/>
  <c r="AY26" i="5"/>
  <c r="AX25" i="5"/>
  <c r="AY25" i="5"/>
  <c r="AX24" i="5"/>
  <c r="AY24" i="5"/>
  <c r="AX23" i="5"/>
  <c r="AY23" i="5"/>
  <c r="AX22" i="5"/>
  <c r="AY22" i="5"/>
  <c r="AX21" i="5"/>
  <c r="AY21" i="5"/>
  <c r="AX20" i="5"/>
  <c r="AY20" i="5"/>
  <c r="AX19" i="5"/>
  <c r="AY19" i="5"/>
  <c r="AX18" i="5"/>
  <c r="AY18" i="5"/>
  <c r="AX17" i="5"/>
  <c r="AY17" i="5"/>
  <c r="AX16" i="5"/>
  <c r="AY16" i="5"/>
  <c r="AX15" i="5"/>
  <c r="AY15" i="5"/>
  <c r="AX14" i="5"/>
  <c r="AY14" i="5"/>
  <c r="AX13" i="5"/>
  <c r="AY13" i="5"/>
  <c r="AX12" i="5"/>
  <c r="AY12" i="5"/>
  <c r="AX11" i="5"/>
  <c r="AY11" i="5"/>
  <c r="AX10" i="5"/>
  <c r="AY10" i="5"/>
  <c r="AX9" i="5"/>
  <c r="AY9" i="5"/>
  <c r="AX8" i="5"/>
  <c r="AY8" i="5"/>
  <c r="AX7" i="5"/>
  <c r="AY7" i="5"/>
  <c r="AX6" i="5"/>
  <c r="AY6" i="5"/>
  <c r="AX5" i="5"/>
  <c r="AY5" i="5"/>
  <c r="AX4" i="5"/>
  <c r="AY4" i="5"/>
  <c r="AY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AV48" i="5"/>
  <c r="AW48" i="5"/>
  <c r="AV47" i="5"/>
  <c r="AW47" i="5"/>
  <c r="AV46" i="5"/>
  <c r="AW46" i="5"/>
  <c r="AV45" i="5"/>
  <c r="AW45" i="5"/>
  <c r="AV44" i="5"/>
  <c r="AW44" i="5"/>
  <c r="AV43" i="5"/>
  <c r="AW43" i="5"/>
  <c r="AV42" i="5"/>
  <c r="AW42" i="5"/>
  <c r="AV41" i="5"/>
  <c r="AW41" i="5"/>
  <c r="AV40" i="5"/>
  <c r="AW40" i="5"/>
  <c r="AV39" i="5"/>
  <c r="AW39" i="5"/>
  <c r="AV38" i="5"/>
  <c r="AW38" i="5"/>
  <c r="AV37" i="5"/>
  <c r="AW37" i="5"/>
  <c r="AV36" i="5"/>
  <c r="AW36" i="5"/>
  <c r="AV35" i="5"/>
  <c r="AW35" i="5"/>
  <c r="AV34" i="5"/>
  <c r="AW34" i="5"/>
  <c r="AV33" i="5"/>
  <c r="AW33" i="5"/>
  <c r="AV32" i="5"/>
  <c r="AW32" i="5"/>
  <c r="AV31" i="5"/>
  <c r="AW31" i="5"/>
  <c r="AV30" i="5"/>
  <c r="AW30" i="5"/>
  <c r="AV29" i="5"/>
  <c r="AW29" i="5"/>
  <c r="AV28" i="5"/>
  <c r="AW28" i="5"/>
  <c r="AV27" i="5"/>
  <c r="AW27" i="5"/>
  <c r="AV26" i="5"/>
  <c r="AW26" i="5"/>
  <c r="AV25" i="5"/>
  <c r="AW25" i="5"/>
  <c r="AV24" i="5"/>
  <c r="AW24" i="5"/>
  <c r="AV23" i="5"/>
  <c r="AW23" i="5"/>
  <c r="AV22" i="5"/>
  <c r="AW22" i="5"/>
  <c r="AV21" i="5"/>
  <c r="AW21" i="5"/>
  <c r="AV20" i="5"/>
  <c r="AW20" i="5"/>
  <c r="AV19" i="5"/>
  <c r="AW19" i="5"/>
  <c r="AV18" i="5"/>
  <c r="AW18" i="5"/>
  <c r="AV17" i="5"/>
  <c r="AW17" i="5"/>
  <c r="AV16" i="5"/>
  <c r="AW16" i="5"/>
  <c r="AV15" i="5"/>
  <c r="AW15" i="5"/>
  <c r="AV14" i="5"/>
  <c r="AW14" i="5"/>
  <c r="AV13" i="5"/>
  <c r="AW13" i="5"/>
  <c r="AV12" i="5"/>
  <c r="AW12" i="5"/>
  <c r="AV11" i="5"/>
  <c r="AW11" i="5"/>
  <c r="AV10" i="5"/>
  <c r="AW10" i="5"/>
  <c r="AV9" i="5"/>
  <c r="AW9" i="5"/>
  <c r="AV8" i="5"/>
  <c r="AW8" i="5"/>
  <c r="AV7" i="5"/>
  <c r="AW7" i="5"/>
  <c r="AV6" i="5"/>
  <c r="AW6" i="5"/>
  <c r="AV5" i="5"/>
  <c r="AW5" i="5"/>
  <c r="AV4" i="5"/>
  <c r="AW4" i="5"/>
  <c r="AW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AT48" i="5"/>
  <c r="AU48" i="5"/>
  <c r="AT47" i="5"/>
  <c r="AU47" i="5"/>
  <c r="AT46" i="5"/>
  <c r="AU46" i="5"/>
  <c r="AT45" i="5"/>
  <c r="AU45" i="5"/>
  <c r="AT44" i="5"/>
  <c r="AU44" i="5"/>
  <c r="AT43" i="5"/>
  <c r="AU43" i="5"/>
  <c r="AT42" i="5"/>
  <c r="AU42" i="5"/>
  <c r="AT41" i="5"/>
  <c r="AU41" i="5"/>
  <c r="AT40" i="5"/>
  <c r="AU40" i="5"/>
  <c r="AT39" i="5"/>
  <c r="AU39" i="5"/>
  <c r="AT38" i="5"/>
  <c r="AU38" i="5"/>
  <c r="AT37" i="5"/>
  <c r="AU37" i="5"/>
  <c r="AT36" i="5"/>
  <c r="AU36" i="5"/>
  <c r="AT35" i="5"/>
  <c r="AU35" i="5"/>
  <c r="AT34" i="5"/>
  <c r="AU34" i="5"/>
  <c r="AT33" i="5"/>
  <c r="AU33" i="5"/>
  <c r="AT32" i="5"/>
  <c r="AU32" i="5"/>
  <c r="AT31" i="5"/>
  <c r="AU31" i="5"/>
  <c r="AT30" i="5"/>
  <c r="AU30" i="5"/>
  <c r="AT29" i="5"/>
  <c r="AU29" i="5"/>
  <c r="AT28" i="5"/>
  <c r="AU28" i="5"/>
  <c r="AT27" i="5"/>
  <c r="AU27" i="5"/>
  <c r="AT26" i="5"/>
  <c r="AU26" i="5"/>
  <c r="AT25" i="5"/>
  <c r="AU25" i="5"/>
  <c r="AT24" i="5"/>
  <c r="AU24" i="5"/>
  <c r="AT23" i="5"/>
  <c r="AU23" i="5"/>
  <c r="AT22" i="5"/>
  <c r="AU22" i="5"/>
  <c r="AT21" i="5"/>
  <c r="AU21" i="5"/>
  <c r="AT20" i="5"/>
  <c r="AU20" i="5"/>
  <c r="AT19" i="5"/>
  <c r="AU19" i="5"/>
  <c r="AT18" i="5"/>
  <c r="AU18" i="5"/>
  <c r="AT17" i="5"/>
  <c r="AU17" i="5"/>
  <c r="AT16" i="5"/>
  <c r="AU16" i="5"/>
  <c r="AT15" i="5"/>
  <c r="AU15" i="5"/>
  <c r="AT14" i="5"/>
  <c r="AU14" i="5"/>
  <c r="AT13" i="5"/>
  <c r="AU13" i="5"/>
  <c r="AT12" i="5"/>
  <c r="AU12" i="5"/>
  <c r="AT11" i="5"/>
  <c r="AU11" i="5"/>
  <c r="AT10" i="5"/>
  <c r="AU10" i="5"/>
  <c r="AT9" i="5"/>
  <c r="AU9" i="5"/>
  <c r="AT8" i="5"/>
  <c r="AU8" i="5"/>
  <c r="AT7" i="5"/>
  <c r="AU7" i="5"/>
  <c r="AT6" i="5"/>
  <c r="AU6" i="5"/>
  <c r="AT5" i="5"/>
  <c r="AU5" i="5"/>
  <c r="AT4" i="5"/>
  <c r="AU4" i="5"/>
  <c r="AU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AR48" i="5"/>
  <c r="AS48" i="5"/>
  <c r="AR47" i="5"/>
  <c r="AS47" i="5"/>
  <c r="AR46" i="5"/>
  <c r="AS46" i="5"/>
  <c r="AR45" i="5"/>
  <c r="AS45" i="5"/>
  <c r="AR44" i="5"/>
  <c r="AS44" i="5"/>
  <c r="AR43" i="5"/>
  <c r="AS43" i="5"/>
  <c r="AR42" i="5"/>
  <c r="AS42" i="5"/>
  <c r="AR41" i="5"/>
  <c r="AS41" i="5"/>
  <c r="AR40" i="5"/>
  <c r="AS40" i="5"/>
  <c r="AR39" i="5"/>
  <c r="AS39" i="5"/>
  <c r="AR38" i="5"/>
  <c r="AS38" i="5"/>
  <c r="AR37" i="5"/>
  <c r="AS37" i="5"/>
  <c r="AR36" i="5"/>
  <c r="AS36" i="5"/>
  <c r="AR35" i="5"/>
  <c r="AS35" i="5"/>
  <c r="AR34" i="5"/>
  <c r="AS34" i="5"/>
  <c r="AR33" i="5"/>
  <c r="AS33" i="5"/>
  <c r="AR32" i="5"/>
  <c r="AS32" i="5"/>
  <c r="AR31" i="5"/>
  <c r="AS31" i="5"/>
  <c r="AR30" i="5"/>
  <c r="AS30" i="5"/>
  <c r="AR29" i="5"/>
  <c r="AS29" i="5"/>
  <c r="AR28" i="5"/>
  <c r="AS28" i="5"/>
  <c r="AR27" i="5"/>
  <c r="AS27" i="5"/>
  <c r="AR26" i="5"/>
  <c r="AS26" i="5"/>
  <c r="AR25" i="5"/>
  <c r="AS25" i="5"/>
  <c r="AR24" i="5"/>
  <c r="AS24" i="5"/>
  <c r="AR23" i="5"/>
  <c r="AS23" i="5"/>
  <c r="AR22" i="5"/>
  <c r="AS22" i="5"/>
  <c r="AR21" i="5"/>
  <c r="AS21" i="5"/>
  <c r="AR20" i="5"/>
  <c r="AS20" i="5"/>
  <c r="AR19" i="5"/>
  <c r="AS19" i="5"/>
  <c r="AR18" i="5"/>
  <c r="AS18" i="5"/>
  <c r="AR17" i="5"/>
  <c r="AS17" i="5"/>
  <c r="AR16" i="5"/>
  <c r="AS16" i="5"/>
  <c r="AR15" i="5"/>
  <c r="AS15" i="5"/>
  <c r="AR14" i="5"/>
  <c r="AS14" i="5"/>
  <c r="AR13" i="5"/>
  <c r="AS13" i="5"/>
  <c r="AR12" i="5"/>
  <c r="AS12" i="5"/>
  <c r="AR11" i="5"/>
  <c r="AS11" i="5"/>
  <c r="AR10" i="5"/>
  <c r="AS10" i="5"/>
  <c r="AR9" i="5"/>
  <c r="AS9" i="5"/>
  <c r="AR8" i="5"/>
  <c r="AS8" i="5"/>
  <c r="AR7" i="5"/>
  <c r="AS7" i="5"/>
  <c r="AR6" i="5"/>
  <c r="AS6" i="5"/>
  <c r="AR5" i="5"/>
  <c r="AS5" i="5"/>
  <c r="AR4" i="5"/>
  <c r="AS4" i="5"/>
  <c r="AS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AP59" i="5"/>
  <c r="AQ59" i="5"/>
  <c r="AP58" i="5"/>
  <c r="AQ58" i="5"/>
  <c r="AP57" i="5"/>
  <c r="AQ57" i="5"/>
  <c r="AP56" i="5"/>
  <c r="AQ56" i="5"/>
  <c r="AP55" i="5"/>
  <c r="AQ55" i="5"/>
  <c r="AP54" i="5"/>
  <c r="AQ54" i="5"/>
  <c r="AP53" i="5"/>
  <c r="AQ53" i="5"/>
  <c r="AP52" i="5"/>
  <c r="AQ52" i="5"/>
  <c r="AP51" i="5"/>
  <c r="AQ51" i="5"/>
  <c r="AP50" i="5"/>
  <c r="AQ50" i="5"/>
  <c r="AP49" i="5"/>
  <c r="AQ49" i="5"/>
  <c r="AP48" i="5"/>
  <c r="AQ48" i="5"/>
  <c r="AP47" i="5"/>
  <c r="AQ47" i="5"/>
  <c r="AP46" i="5"/>
  <c r="AQ46" i="5"/>
  <c r="AP45" i="5"/>
  <c r="AQ45" i="5"/>
  <c r="AP44" i="5"/>
  <c r="AQ44" i="5"/>
  <c r="AP43" i="5"/>
  <c r="AQ43" i="5"/>
  <c r="AP42" i="5"/>
  <c r="AQ42" i="5"/>
  <c r="AP41" i="5"/>
  <c r="AQ41" i="5"/>
  <c r="AP40" i="5"/>
  <c r="AQ40" i="5"/>
  <c r="AP39" i="5"/>
  <c r="AQ39" i="5"/>
  <c r="AP38" i="5"/>
  <c r="AQ38" i="5"/>
  <c r="AP37" i="5"/>
  <c r="AQ37" i="5"/>
  <c r="AP36" i="5"/>
  <c r="AQ36" i="5"/>
  <c r="AP35" i="5"/>
  <c r="AQ35" i="5"/>
  <c r="AP34" i="5"/>
  <c r="AQ34" i="5"/>
  <c r="AP33" i="5"/>
  <c r="AQ33" i="5"/>
  <c r="AP32" i="5"/>
  <c r="AQ32" i="5"/>
  <c r="AP31" i="5"/>
  <c r="AQ31" i="5"/>
  <c r="AP30" i="5"/>
  <c r="AQ30" i="5"/>
  <c r="AP29" i="5"/>
  <c r="AQ29" i="5"/>
  <c r="AP28" i="5"/>
  <c r="AQ28" i="5"/>
  <c r="AP27" i="5"/>
  <c r="AQ27" i="5"/>
  <c r="AP26" i="5"/>
  <c r="AQ26" i="5"/>
  <c r="AP25" i="5"/>
  <c r="AQ25" i="5"/>
  <c r="AP24" i="5"/>
  <c r="AQ24" i="5"/>
  <c r="AP23" i="5"/>
  <c r="AQ23" i="5"/>
  <c r="AP22" i="5"/>
  <c r="AQ22" i="5"/>
  <c r="AP21" i="5"/>
  <c r="AQ21" i="5"/>
  <c r="AP20" i="5"/>
  <c r="AQ20" i="5"/>
  <c r="AP19" i="5"/>
  <c r="AQ19" i="5"/>
  <c r="AP18" i="5"/>
  <c r="AQ18" i="5"/>
  <c r="AP17" i="5"/>
  <c r="AQ17" i="5"/>
  <c r="AP16" i="5"/>
  <c r="AQ16" i="5"/>
  <c r="AP15" i="5"/>
  <c r="AQ15" i="5"/>
  <c r="AP14" i="5"/>
  <c r="AQ14" i="5"/>
  <c r="AP13" i="5"/>
  <c r="AQ13" i="5"/>
  <c r="AP12" i="5"/>
  <c r="AQ12" i="5"/>
  <c r="AP11" i="5"/>
  <c r="AQ11" i="5"/>
  <c r="AP10" i="5"/>
  <c r="AQ10" i="5"/>
  <c r="AP9" i="5"/>
  <c r="AQ9" i="5"/>
  <c r="AP8" i="5"/>
  <c r="AQ8" i="5"/>
  <c r="AP7" i="5"/>
  <c r="AQ7" i="5"/>
  <c r="AP6" i="5"/>
  <c r="AQ6" i="5"/>
  <c r="AP5" i="5"/>
  <c r="AQ5" i="5"/>
  <c r="AP4" i="5"/>
  <c r="AQ4" i="5"/>
  <c r="AP3" i="5"/>
  <c r="AQ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AN59" i="5"/>
  <c r="AO59" i="5"/>
  <c r="AN58" i="5"/>
  <c r="AO58" i="5"/>
  <c r="AN57" i="5"/>
  <c r="AO57" i="5"/>
  <c r="AN56" i="5"/>
  <c r="AO56" i="5"/>
  <c r="AN55" i="5"/>
  <c r="AO55" i="5"/>
  <c r="AN54" i="5"/>
  <c r="AO54" i="5"/>
  <c r="AN53" i="5"/>
  <c r="AO53" i="5"/>
  <c r="AN52" i="5"/>
  <c r="AO52" i="5"/>
  <c r="AN51" i="5"/>
  <c r="AO51" i="5"/>
  <c r="AN50" i="5"/>
  <c r="AO50" i="5"/>
  <c r="AN49" i="5"/>
  <c r="AO49" i="5"/>
  <c r="AN48" i="5"/>
  <c r="AO48" i="5"/>
  <c r="AN47" i="5"/>
  <c r="AO47" i="5"/>
  <c r="AN46" i="5"/>
  <c r="AO46" i="5"/>
  <c r="AN45" i="5"/>
  <c r="AO45" i="5"/>
  <c r="AN44" i="5"/>
  <c r="AO44" i="5"/>
  <c r="AN43" i="5"/>
  <c r="AO43" i="5"/>
  <c r="AN42" i="5"/>
  <c r="AO42" i="5"/>
  <c r="AN41" i="5"/>
  <c r="AO41" i="5"/>
  <c r="AN40" i="5"/>
  <c r="AO40" i="5"/>
  <c r="AN39" i="5"/>
  <c r="AO39" i="5"/>
  <c r="AN38" i="5"/>
  <c r="AO38" i="5"/>
  <c r="AN37" i="5"/>
  <c r="AO37" i="5"/>
  <c r="AN36" i="5"/>
  <c r="AO36" i="5"/>
  <c r="AN35" i="5"/>
  <c r="AO35" i="5"/>
  <c r="AN34" i="5"/>
  <c r="AO34" i="5"/>
  <c r="AN33" i="5"/>
  <c r="AO33" i="5"/>
  <c r="AN32" i="5"/>
  <c r="AO32" i="5"/>
  <c r="AN31" i="5"/>
  <c r="AO31" i="5"/>
  <c r="AN30" i="5"/>
  <c r="AO30" i="5"/>
  <c r="AN29" i="5"/>
  <c r="AO29" i="5"/>
  <c r="AN28" i="5"/>
  <c r="AO28" i="5"/>
  <c r="AN27" i="5"/>
  <c r="AO27" i="5"/>
  <c r="AN26" i="5"/>
  <c r="AO26" i="5"/>
  <c r="AN25" i="5"/>
  <c r="AO25" i="5"/>
  <c r="AN24" i="5"/>
  <c r="AO24" i="5"/>
  <c r="AN23" i="5"/>
  <c r="AO23" i="5"/>
  <c r="AN22" i="5"/>
  <c r="AO22" i="5"/>
  <c r="AN21" i="5"/>
  <c r="AO21" i="5"/>
  <c r="AN20" i="5"/>
  <c r="AO20" i="5"/>
  <c r="AN19" i="5"/>
  <c r="AO19" i="5"/>
  <c r="AN18" i="5"/>
  <c r="AO18" i="5"/>
  <c r="AN17" i="5"/>
  <c r="AO17" i="5"/>
  <c r="AN16" i="5"/>
  <c r="AO16" i="5"/>
  <c r="AN15" i="5"/>
  <c r="AO15" i="5"/>
  <c r="AN14" i="5"/>
  <c r="AO14" i="5"/>
  <c r="AN13" i="5"/>
  <c r="AO13" i="5"/>
  <c r="AN12" i="5"/>
  <c r="AO12" i="5"/>
  <c r="AN11" i="5"/>
  <c r="AO11" i="5"/>
  <c r="AN10" i="5"/>
  <c r="AO10" i="5"/>
  <c r="AN9" i="5"/>
  <c r="AO9" i="5"/>
  <c r="AN8" i="5"/>
  <c r="AO8" i="5"/>
  <c r="AN7" i="5"/>
  <c r="AO7" i="5"/>
  <c r="AN6" i="5"/>
  <c r="AO6" i="5"/>
  <c r="AN5" i="5"/>
  <c r="AO5" i="5"/>
  <c r="AN4" i="5"/>
  <c r="AO4" i="5"/>
  <c r="AN3" i="5"/>
  <c r="AO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AL59" i="5"/>
  <c r="AM59" i="5"/>
  <c r="AL58" i="5"/>
  <c r="AM58" i="5"/>
  <c r="AL57" i="5"/>
  <c r="AM57" i="5"/>
  <c r="AL56" i="5"/>
  <c r="AM56" i="5"/>
  <c r="AL55" i="5"/>
  <c r="AM55" i="5"/>
  <c r="AL54" i="5"/>
  <c r="AM54" i="5"/>
  <c r="AL53" i="5"/>
  <c r="AM53" i="5"/>
  <c r="AL52" i="5"/>
  <c r="AM52" i="5"/>
  <c r="AL51" i="5"/>
  <c r="AM51" i="5"/>
  <c r="AL50" i="5"/>
  <c r="AM50" i="5"/>
  <c r="AL49" i="5"/>
  <c r="AM49" i="5"/>
  <c r="AL48" i="5"/>
  <c r="AM48" i="5"/>
  <c r="AL47" i="5"/>
  <c r="AM47" i="5"/>
  <c r="AL46" i="5"/>
  <c r="AM46" i="5"/>
  <c r="AL45" i="5"/>
  <c r="AM45" i="5"/>
  <c r="AL44" i="5"/>
  <c r="AM44" i="5"/>
  <c r="AL43" i="5"/>
  <c r="AM43" i="5"/>
  <c r="AL42" i="5"/>
  <c r="AM42" i="5"/>
  <c r="AL41" i="5"/>
  <c r="AM41" i="5"/>
  <c r="AL40" i="5"/>
  <c r="AM40" i="5"/>
  <c r="AL39" i="5"/>
  <c r="AM39" i="5"/>
  <c r="AL38" i="5"/>
  <c r="AM38" i="5"/>
  <c r="AL37" i="5"/>
  <c r="AM37" i="5"/>
  <c r="AL36" i="5"/>
  <c r="AM36" i="5"/>
  <c r="AL35" i="5"/>
  <c r="AM35" i="5"/>
  <c r="AL34" i="5"/>
  <c r="AM34" i="5"/>
  <c r="AL33" i="5"/>
  <c r="AM33" i="5"/>
  <c r="AL32" i="5"/>
  <c r="AM32" i="5"/>
  <c r="AL31" i="5"/>
  <c r="AM31" i="5"/>
  <c r="AL30" i="5"/>
  <c r="AM30" i="5"/>
  <c r="AL29" i="5"/>
  <c r="AM29" i="5"/>
  <c r="AL28" i="5"/>
  <c r="AM28" i="5"/>
  <c r="AL27" i="5"/>
  <c r="AM27" i="5"/>
  <c r="AL26" i="5"/>
  <c r="AM26" i="5"/>
  <c r="AL25" i="5"/>
  <c r="AM25" i="5"/>
  <c r="AL24" i="5"/>
  <c r="AM24" i="5"/>
  <c r="AL23" i="5"/>
  <c r="AM23" i="5"/>
  <c r="AL22" i="5"/>
  <c r="AM22" i="5"/>
  <c r="AL21" i="5"/>
  <c r="AM21" i="5"/>
  <c r="AL20" i="5"/>
  <c r="AM20" i="5"/>
  <c r="AL19" i="5"/>
  <c r="AM19" i="5"/>
  <c r="AL18" i="5"/>
  <c r="AM18" i="5"/>
  <c r="AL17" i="5"/>
  <c r="AM17" i="5"/>
  <c r="AL16" i="5"/>
  <c r="AM16" i="5"/>
  <c r="AL15" i="5"/>
  <c r="AM15" i="5"/>
  <c r="AL14" i="5"/>
  <c r="AM14" i="5"/>
  <c r="AL13" i="5"/>
  <c r="AM13" i="5"/>
  <c r="AL12" i="5"/>
  <c r="AM12" i="5"/>
  <c r="AL11" i="5"/>
  <c r="AM11" i="5"/>
  <c r="AL10" i="5"/>
  <c r="AM10" i="5"/>
  <c r="AL9" i="5"/>
  <c r="AM9" i="5"/>
  <c r="AL8" i="5"/>
  <c r="AM8" i="5"/>
  <c r="AL7" i="5"/>
  <c r="AM7" i="5"/>
  <c r="AL6" i="5"/>
  <c r="AM6" i="5"/>
  <c r="AL5" i="5"/>
  <c r="AM5" i="5"/>
  <c r="AL4" i="5"/>
  <c r="AM4" i="5"/>
  <c r="AL3" i="5"/>
  <c r="AM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AJ59" i="5"/>
  <c r="AK59" i="5"/>
  <c r="AJ58" i="5"/>
  <c r="AK58" i="5"/>
  <c r="AJ57" i="5"/>
  <c r="AK57" i="5"/>
  <c r="AJ56" i="5"/>
  <c r="AK56" i="5"/>
  <c r="AJ55" i="5"/>
  <c r="AK55" i="5"/>
  <c r="AJ54" i="5"/>
  <c r="AK54" i="5"/>
  <c r="AJ53" i="5"/>
  <c r="AK53" i="5"/>
  <c r="AJ52" i="5"/>
  <c r="AK52" i="5"/>
  <c r="AJ51" i="5"/>
  <c r="AK51" i="5"/>
  <c r="AJ50" i="5"/>
  <c r="AK50" i="5"/>
  <c r="AJ49" i="5"/>
  <c r="AK49" i="5"/>
  <c r="AJ48" i="5"/>
  <c r="AK48" i="5"/>
  <c r="AJ47" i="5"/>
  <c r="AK47" i="5"/>
  <c r="AJ46" i="5"/>
  <c r="AK46" i="5"/>
  <c r="AJ45" i="5"/>
  <c r="AK45" i="5"/>
  <c r="AJ44" i="5"/>
  <c r="AK44" i="5"/>
  <c r="AJ43" i="5"/>
  <c r="AK43" i="5"/>
  <c r="AJ42" i="5"/>
  <c r="AK42" i="5"/>
  <c r="AJ41" i="5"/>
  <c r="AK41" i="5"/>
  <c r="AJ40" i="5"/>
  <c r="AK40" i="5"/>
  <c r="AJ39" i="5"/>
  <c r="AK39" i="5"/>
  <c r="AJ38" i="5"/>
  <c r="AK38" i="5"/>
  <c r="AJ37" i="5"/>
  <c r="AK37" i="5"/>
  <c r="AJ36" i="5"/>
  <c r="AK36" i="5"/>
  <c r="AJ35" i="5"/>
  <c r="AK35" i="5"/>
  <c r="AJ34" i="5"/>
  <c r="AK34" i="5"/>
  <c r="AJ33" i="5"/>
  <c r="AK33" i="5"/>
  <c r="AJ32" i="5"/>
  <c r="AK32" i="5"/>
  <c r="AJ31" i="5"/>
  <c r="AK31" i="5"/>
  <c r="AJ30" i="5"/>
  <c r="AK30" i="5"/>
  <c r="AJ29" i="5"/>
  <c r="AK29" i="5"/>
  <c r="AJ28" i="5"/>
  <c r="AK28" i="5"/>
  <c r="AJ27" i="5"/>
  <c r="AK27" i="5"/>
  <c r="AJ26" i="5"/>
  <c r="AK26" i="5"/>
  <c r="AJ25" i="5"/>
  <c r="AK25" i="5"/>
  <c r="AJ24" i="5"/>
  <c r="AK24" i="5"/>
  <c r="AJ23" i="5"/>
  <c r="AK23" i="5"/>
  <c r="AJ22" i="5"/>
  <c r="AK22" i="5"/>
  <c r="AJ21" i="5"/>
  <c r="AK21" i="5"/>
  <c r="AJ20" i="5"/>
  <c r="AK20" i="5"/>
  <c r="AJ19" i="5"/>
  <c r="AK19" i="5"/>
  <c r="AJ18" i="5"/>
  <c r="AK18" i="5"/>
  <c r="AJ17" i="5"/>
  <c r="AK17" i="5"/>
  <c r="AJ16" i="5"/>
  <c r="AK16" i="5"/>
  <c r="AJ15" i="5"/>
  <c r="AK15" i="5"/>
  <c r="AJ14" i="5"/>
  <c r="AK14" i="5"/>
  <c r="AJ13" i="5"/>
  <c r="AK13" i="5"/>
  <c r="AJ12" i="5"/>
  <c r="AK12" i="5"/>
  <c r="AJ11" i="5"/>
  <c r="AK11" i="5"/>
  <c r="AJ10" i="5"/>
  <c r="AK10" i="5"/>
  <c r="AJ9" i="5"/>
  <c r="AK9" i="5"/>
  <c r="AJ8" i="5"/>
  <c r="AK8" i="5"/>
  <c r="AJ7" i="5"/>
  <c r="AK7" i="5"/>
  <c r="AJ6" i="5"/>
  <c r="AK6" i="5"/>
  <c r="AJ5" i="5"/>
  <c r="AK5" i="5"/>
  <c r="AJ4" i="5"/>
  <c r="AK4" i="5"/>
  <c r="AJ3" i="5"/>
  <c r="AK3" i="5"/>
  <c r="B17" i="6"/>
  <c r="B16" i="6"/>
  <c r="B15" i="6"/>
  <c r="B14" i="6"/>
  <c r="B13" i="6"/>
  <c r="B12" i="6"/>
  <c r="B11" i="6"/>
  <c r="B10" i="6"/>
  <c r="B9" i="6"/>
  <c r="B7" i="6"/>
  <c r="B6" i="6"/>
  <c r="B5" i="6"/>
  <c r="B4" i="6"/>
  <c r="B3" i="6"/>
  <c r="B2" i="6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A5" i="5"/>
  <c r="AB5" i="5"/>
  <c r="AC5" i="5"/>
  <c r="AD5" i="5"/>
  <c r="AE5" i="5"/>
  <c r="AF5" i="5"/>
  <c r="AG5" i="5"/>
  <c r="AH5" i="5"/>
  <c r="AA6" i="5"/>
  <c r="AB6" i="5"/>
  <c r="AC6" i="5"/>
  <c r="AD6" i="5"/>
  <c r="AE6" i="5"/>
  <c r="AF6" i="5"/>
  <c r="AG6" i="5"/>
  <c r="AH6" i="5"/>
  <c r="AA7" i="5"/>
  <c r="AB7" i="5"/>
  <c r="AC7" i="5"/>
  <c r="AD7" i="5"/>
  <c r="AE7" i="5"/>
  <c r="AF7" i="5"/>
  <c r="AG7" i="5"/>
  <c r="AH7" i="5"/>
  <c r="AA8" i="5"/>
  <c r="AB8" i="5"/>
  <c r="AC8" i="5"/>
  <c r="AD8" i="5"/>
  <c r="AE8" i="5"/>
  <c r="AF8" i="5"/>
  <c r="AG8" i="5"/>
  <c r="AH8" i="5"/>
  <c r="AA9" i="5"/>
  <c r="AB9" i="5"/>
  <c r="AC9" i="5"/>
  <c r="AD9" i="5"/>
  <c r="AE9" i="5"/>
  <c r="AF9" i="5"/>
  <c r="AG9" i="5"/>
  <c r="AH9" i="5"/>
  <c r="AA10" i="5"/>
  <c r="AB10" i="5"/>
  <c r="AC10" i="5"/>
  <c r="AD10" i="5"/>
  <c r="AE10" i="5"/>
  <c r="AF10" i="5"/>
  <c r="AG10" i="5"/>
  <c r="AH10" i="5"/>
  <c r="AA11" i="5"/>
  <c r="AB11" i="5"/>
  <c r="AC11" i="5"/>
  <c r="AD11" i="5"/>
  <c r="AE11" i="5"/>
  <c r="AF11" i="5"/>
  <c r="AG11" i="5"/>
  <c r="AH11" i="5"/>
  <c r="AA12" i="5"/>
  <c r="AB12" i="5"/>
  <c r="AC12" i="5"/>
  <c r="AD12" i="5"/>
  <c r="AE12" i="5"/>
  <c r="AF12" i="5"/>
  <c r="AG12" i="5"/>
  <c r="AH12" i="5"/>
  <c r="AA13" i="5"/>
  <c r="AB13" i="5"/>
  <c r="AC13" i="5"/>
  <c r="AD13" i="5"/>
  <c r="AE13" i="5"/>
  <c r="AF13" i="5"/>
  <c r="AG13" i="5"/>
  <c r="AH13" i="5"/>
  <c r="AA14" i="5"/>
  <c r="AB14" i="5"/>
  <c r="AC14" i="5"/>
  <c r="AD14" i="5"/>
  <c r="AE14" i="5"/>
  <c r="AF14" i="5"/>
  <c r="AG14" i="5"/>
  <c r="AH14" i="5"/>
  <c r="AA15" i="5"/>
  <c r="AB15" i="5"/>
  <c r="AC15" i="5"/>
  <c r="AD15" i="5"/>
  <c r="AE15" i="5"/>
  <c r="AF15" i="5"/>
  <c r="AG15" i="5"/>
  <c r="AH15" i="5"/>
  <c r="AA16" i="5"/>
  <c r="AB16" i="5"/>
  <c r="AC16" i="5"/>
  <c r="AD16" i="5"/>
  <c r="AE16" i="5"/>
  <c r="AF16" i="5"/>
  <c r="AG16" i="5"/>
  <c r="AH16" i="5"/>
  <c r="AA17" i="5"/>
  <c r="AB17" i="5"/>
  <c r="AC17" i="5"/>
  <c r="AD17" i="5"/>
  <c r="AE17" i="5"/>
  <c r="AF17" i="5"/>
  <c r="AG17" i="5"/>
  <c r="AH17" i="5"/>
  <c r="AA18" i="5"/>
  <c r="AB18" i="5"/>
  <c r="AC18" i="5"/>
  <c r="AD18" i="5"/>
  <c r="AE18" i="5"/>
  <c r="AF18" i="5"/>
  <c r="AG18" i="5"/>
  <c r="AH18" i="5"/>
  <c r="AA19" i="5"/>
  <c r="AB19" i="5"/>
  <c r="AC19" i="5"/>
  <c r="AD19" i="5"/>
  <c r="AE19" i="5"/>
  <c r="AF19" i="5"/>
  <c r="AG19" i="5"/>
  <c r="AH19" i="5"/>
  <c r="AA20" i="5"/>
  <c r="AB20" i="5"/>
  <c r="AC20" i="5"/>
  <c r="AD20" i="5"/>
  <c r="AE20" i="5"/>
  <c r="AF20" i="5"/>
  <c r="AG20" i="5"/>
  <c r="AH20" i="5"/>
  <c r="AA21" i="5"/>
  <c r="AB21" i="5"/>
  <c r="AC21" i="5"/>
  <c r="AD21" i="5"/>
  <c r="AE21" i="5"/>
  <c r="AF21" i="5"/>
  <c r="AG21" i="5"/>
  <c r="AH21" i="5"/>
  <c r="AA22" i="5"/>
  <c r="AB22" i="5"/>
  <c r="AC22" i="5"/>
  <c r="AD22" i="5"/>
  <c r="AE22" i="5"/>
  <c r="AF22" i="5"/>
  <c r="AG22" i="5"/>
  <c r="AH22" i="5"/>
  <c r="AA23" i="5"/>
  <c r="AB23" i="5"/>
  <c r="AC23" i="5"/>
  <c r="AD23" i="5"/>
  <c r="AE23" i="5"/>
  <c r="AF23" i="5"/>
  <c r="AG23" i="5"/>
  <c r="AH23" i="5"/>
  <c r="AA24" i="5"/>
  <c r="AB24" i="5"/>
  <c r="AC24" i="5"/>
  <c r="AD24" i="5"/>
  <c r="AE24" i="5"/>
  <c r="AF24" i="5"/>
  <c r="AG24" i="5"/>
  <c r="AH24" i="5"/>
  <c r="AA25" i="5"/>
  <c r="AB25" i="5"/>
  <c r="AC25" i="5"/>
  <c r="AD25" i="5"/>
  <c r="AE25" i="5"/>
  <c r="AF25" i="5"/>
  <c r="AG25" i="5"/>
  <c r="AH25" i="5"/>
  <c r="AA26" i="5"/>
  <c r="AB26" i="5"/>
  <c r="AC26" i="5"/>
  <c r="AD26" i="5"/>
  <c r="AE26" i="5"/>
  <c r="AF26" i="5"/>
  <c r="AG26" i="5"/>
  <c r="AH26" i="5"/>
  <c r="AA27" i="5"/>
  <c r="AB27" i="5"/>
  <c r="AC27" i="5"/>
  <c r="AD27" i="5"/>
  <c r="AE27" i="5"/>
  <c r="AF27" i="5"/>
  <c r="AG27" i="5"/>
  <c r="AH27" i="5"/>
  <c r="AA28" i="5"/>
  <c r="AB28" i="5"/>
  <c r="AC28" i="5"/>
  <c r="AD28" i="5"/>
  <c r="AE28" i="5"/>
  <c r="AF28" i="5"/>
  <c r="AG28" i="5"/>
  <c r="AH28" i="5"/>
  <c r="AA29" i="5"/>
  <c r="AB29" i="5"/>
  <c r="AC29" i="5"/>
  <c r="AD29" i="5"/>
  <c r="AE29" i="5"/>
  <c r="AF29" i="5"/>
  <c r="AG29" i="5"/>
  <c r="AH29" i="5"/>
  <c r="AA30" i="5"/>
  <c r="AB30" i="5"/>
  <c r="AC30" i="5"/>
  <c r="AD30" i="5"/>
  <c r="AE30" i="5"/>
  <c r="AF30" i="5"/>
  <c r="AG30" i="5"/>
  <c r="AH30" i="5"/>
  <c r="AA31" i="5"/>
  <c r="AB31" i="5"/>
  <c r="AC31" i="5"/>
  <c r="AD31" i="5"/>
  <c r="AE31" i="5"/>
  <c r="AF31" i="5"/>
  <c r="AG31" i="5"/>
  <c r="AH31" i="5"/>
  <c r="AA32" i="5"/>
  <c r="AB32" i="5"/>
  <c r="AC32" i="5"/>
  <c r="AD32" i="5"/>
  <c r="AE32" i="5"/>
  <c r="AF32" i="5"/>
  <c r="AG32" i="5"/>
  <c r="AH32" i="5"/>
  <c r="AA33" i="5"/>
  <c r="AB33" i="5"/>
  <c r="AC33" i="5"/>
  <c r="AD33" i="5"/>
  <c r="AE33" i="5"/>
  <c r="AF33" i="5"/>
  <c r="AG33" i="5"/>
  <c r="AH33" i="5"/>
  <c r="AA34" i="5"/>
  <c r="AB34" i="5"/>
  <c r="AC34" i="5"/>
  <c r="AD34" i="5"/>
  <c r="AE34" i="5"/>
  <c r="AF34" i="5"/>
  <c r="AG34" i="5"/>
  <c r="AH34" i="5"/>
  <c r="AA35" i="5"/>
  <c r="AB35" i="5"/>
  <c r="AC35" i="5"/>
  <c r="AD35" i="5"/>
  <c r="AE35" i="5"/>
  <c r="AF35" i="5"/>
  <c r="AG35" i="5"/>
  <c r="AH35" i="5"/>
  <c r="AA36" i="5"/>
  <c r="AB36" i="5"/>
  <c r="AC36" i="5"/>
  <c r="AD36" i="5"/>
  <c r="AE36" i="5"/>
  <c r="AF36" i="5"/>
  <c r="AG36" i="5"/>
  <c r="AH36" i="5"/>
  <c r="AA37" i="5"/>
  <c r="AB37" i="5"/>
  <c r="AC37" i="5"/>
  <c r="AD37" i="5"/>
  <c r="AE37" i="5"/>
  <c r="AF37" i="5"/>
  <c r="AG37" i="5"/>
  <c r="AH37" i="5"/>
  <c r="AA38" i="5"/>
  <c r="AB38" i="5"/>
  <c r="AC38" i="5"/>
  <c r="AD38" i="5"/>
  <c r="AE38" i="5"/>
  <c r="AF38" i="5"/>
  <c r="AG38" i="5"/>
  <c r="AH38" i="5"/>
  <c r="AA39" i="5"/>
  <c r="AB39" i="5"/>
  <c r="AC39" i="5"/>
  <c r="AD39" i="5"/>
  <c r="AE39" i="5"/>
  <c r="AF39" i="5"/>
  <c r="AG39" i="5"/>
  <c r="AH39" i="5"/>
  <c r="AA40" i="5"/>
  <c r="AB40" i="5"/>
  <c r="AC40" i="5"/>
  <c r="AD40" i="5"/>
  <c r="AE40" i="5"/>
  <c r="AF40" i="5"/>
  <c r="AG40" i="5"/>
  <c r="AH40" i="5"/>
  <c r="AA41" i="5"/>
  <c r="AB41" i="5"/>
  <c r="AC41" i="5"/>
  <c r="AD41" i="5"/>
  <c r="AE41" i="5"/>
  <c r="AF41" i="5"/>
  <c r="AG41" i="5"/>
  <c r="AH41" i="5"/>
  <c r="AA42" i="5"/>
  <c r="AB42" i="5"/>
  <c r="AC42" i="5"/>
  <c r="AD42" i="5"/>
  <c r="AE42" i="5"/>
  <c r="AF42" i="5"/>
  <c r="AG42" i="5"/>
  <c r="AH42" i="5"/>
  <c r="AA43" i="5"/>
  <c r="AB43" i="5"/>
  <c r="AC43" i="5"/>
  <c r="AD43" i="5"/>
  <c r="AE43" i="5"/>
  <c r="AF43" i="5"/>
  <c r="AG43" i="5"/>
  <c r="AH43" i="5"/>
  <c r="AA44" i="5"/>
  <c r="AB44" i="5"/>
  <c r="AC44" i="5"/>
  <c r="AD44" i="5"/>
  <c r="AE44" i="5"/>
  <c r="AF44" i="5"/>
  <c r="AG44" i="5"/>
  <c r="AH44" i="5"/>
  <c r="AA45" i="5"/>
  <c r="AB45" i="5"/>
  <c r="AC45" i="5"/>
  <c r="AD45" i="5"/>
  <c r="AE45" i="5"/>
  <c r="AF45" i="5"/>
  <c r="AG45" i="5"/>
  <c r="AH45" i="5"/>
  <c r="AA46" i="5"/>
  <c r="AB46" i="5"/>
  <c r="AC46" i="5"/>
  <c r="AD46" i="5"/>
  <c r="AE46" i="5"/>
  <c r="AF46" i="5"/>
  <c r="AG46" i="5"/>
  <c r="AH46" i="5"/>
  <c r="AA47" i="5"/>
  <c r="AB47" i="5"/>
  <c r="AC47" i="5"/>
  <c r="AD47" i="5"/>
  <c r="AE47" i="5"/>
  <c r="AF47" i="5"/>
  <c r="AG47" i="5"/>
  <c r="AH47" i="5"/>
  <c r="AA48" i="5"/>
  <c r="AB48" i="5"/>
  <c r="AC48" i="5"/>
  <c r="AD48" i="5"/>
  <c r="AE48" i="5"/>
  <c r="AF48" i="5"/>
  <c r="AG48" i="5"/>
  <c r="AH48" i="5"/>
  <c r="AA49" i="5"/>
  <c r="AB49" i="5"/>
  <c r="AC49" i="5"/>
  <c r="AD49" i="5"/>
  <c r="AE49" i="5"/>
  <c r="AF49" i="5"/>
  <c r="AG49" i="5"/>
  <c r="AH49" i="5"/>
  <c r="AA50" i="5"/>
  <c r="AB50" i="5"/>
  <c r="AC50" i="5"/>
  <c r="AD50" i="5"/>
  <c r="AE50" i="5"/>
  <c r="AF50" i="5"/>
  <c r="AG50" i="5"/>
  <c r="AH50" i="5"/>
  <c r="AA51" i="5"/>
  <c r="AB51" i="5"/>
  <c r="AC51" i="5"/>
  <c r="AD51" i="5"/>
  <c r="AE51" i="5"/>
  <c r="AF51" i="5"/>
  <c r="AG51" i="5"/>
  <c r="AH51" i="5"/>
  <c r="AA52" i="5"/>
  <c r="AB52" i="5"/>
  <c r="AC52" i="5"/>
  <c r="AD52" i="5"/>
  <c r="AE52" i="5"/>
  <c r="AF52" i="5"/>
  <c r="AG52" i="5"/>
  <c r="AH52" i="5"/>
  <c r="AA53" i="5"/>
  <c r="AB53" i="5"/>
  <c r="AC53" i="5"/>
  <c r="AD53" i="5"/>
  <c r="AE53" i="5"/>
  <c r="AF53" i="5"/>
  <c r="AG53" i="5"/>
  <c r="AH53" i="5"/>
  <c r="AA54" i="5"/>
  <c r="AB54" i="5"/>
  <c r="AC54" i="5"/>
  <c r="AD54" i="5"/>
  <c r="AE54" i="5"/>
  <c r="AF54" i="5"/>
  <c r="AG54" i="5"/>
  <c r="AH54" i="5"/>
  <c r="AA55" i="5"/>
  <c r="AB55" i="5"/>
  <c r="AC55" i="5"/>
  <c r="AD55" i="5"/>
  <c r="AE55" i="5"/>
  <c r="AF55" i="5"/>
  <c r="AG55" i="5"/>
  <c r="AH55" i="5"/>
  <c r="AA56" i="5"/>
  <c r="AB56" i="5"/>
  <c r="AC56" i="5"/>
  <c r="AD56" i="5"/>
  <c r="AE56" i="5"/>
  <c r="AF56" i="5"/>
  <c r="AG56" i="5"/>
  <c r="AH56" i="5"/>
  <c r="AA57" i="5"/>
  <c r="AB57" i="5"/>
  <c r="AC57" i="5"/>
  <c r="AD57" i="5"/>
  <c r="AE57" i="5"/>
  <c r="AF57" i="5"/>
  <c r="AG57" i="5"/>
  <c r="AH57" i="5"/>
  <c r="AA58" i="5"/>
  <c r="AB58" i="5"/>
  <c r="AC58" i="5"/>
  <c r="AD58" i="5"/>
  <c r="AE58" i="5"/>
  <c r="AF58" i="5"/>
  <c r="AG58" i="5"/>
  <c r="AH58" i="5"/>
  <c r="AA59" i="5"/>
  <c r="AB59" i="5"/>
  <c r="AC59" i="5"/>
  <c r="AD59" i="5"/>
  <c r="AE59" i="5"/>
  <c r="AF59" i="5"/>
  <c r="AG59" i="5"/>
  <c r="AH59" i="5"/>
  <c r="AA60" i="5"/>
  <c r="AB60" i="5"/>
  <c r="AC60" i="5"/>
  <c r="AD60" i="5"/>
  <c r="AE60" i="5"/>
  <c r="AF60" i="5"/>
  <c r="AG60" i="5"/>
  <c r="AH60" i="5"/>
  <c r="AA61" i="5"/>
  <c r="AB61" i="5"/>
  <c r="AC61" i="5"/>
  <c r="AD61" i="5"/>
  <c r="AE61" i="5"/>
  <c r="AF61" i="5"/>
  <c r="AG61" i="5"/>
  <c r="AH61" i="5"/>
  <c r="AA62" i="5"/>
  <c r="AB62" i="5"/>
  <c r="AC62" i="5"/>
  <c r="AD62" i="5"/>
  <c r="AE62" i="5"/>
  <c r="AF62" i="5"/>
  <c r="AG62" i="5"/>
  <c r="AH62" i="5"/>
  <c r="AA63" i="5"/>
  <c r="AB63" i="5"/>
  <c r="AC63" i="5"/>
  <c r="AD63" i="5"/>
  <c r="AE63" i="5"/>
  <c r="AF63" i="5"/>
  <c r="AG63" i="5"/>
  <c r="AH63" i="5"/>
  <c r="AA64" i="5"/>
  <c r="AB64" i="5"/>
  <c r="AC64" i="5"/>
  <c r="AD64" i="5"/>
  <c r="AE64" i="5"/>
  <c r="AF64" i="5"/>
  <c r="AG64" i="5"/>
  <c r="AH64" i="5"/>
  <c r="AH4" i="5"/>
  <c r="AG4" i="5"/>
  <c r="AF4" i="5"/>
  <c r="AE4" i="5"/>
  <c r="AD4" i="5"/>
  <c r="AC4" i="5"/>
  <c r="AB4" i="5"/>
  <c r="AA4" i="5"/>
  <c r="A5" i="5"/>
  <c r="N49" i="5"/>
  <c r="U49" i="5"/>
  <c r="J49" i="5"/>
  <c r="O49" i="5"/>
  <c r="N50" i="5"/>
  <c r="U50" i="5"/>
  <c r="J50" i="5"/>
  <c r="O50" i="5"/>
  <c r="N51" i="5"/>
  <c r="U51" i="5"/>
  <c r="J51" i="5"/>
  <c r="O51" i="5"/>
  <c r="N52" i="5"/>
  <c r="U52" i="5"/>
  <c r="J52" i="5"/>
  <c r="O52" i="5"/>
  <c r="N53" i="5"/>
  <c r="U53" i="5"/>
  <c r="J53" i="5"/>
  <c r="O53" i="5"/>
  <c r="N54" i="5"/>
  <c r="U54" i="5"/>
  <c r="J54" i="5"/>
  <c r="O54" i="5"/>
  <c r="N55" i="5"/>
  <c r="U55" i="5"/>
  <c r="J55" i="5"/>
  <c r="O55" i="5"/>
  <c r="N56" i="5"/>
  <c r="U56" i="5"/>
  <c r="J56" i="5"/>
  <c r="O56" i="5"/>
  <c r="N57" i="5"/>
  <c r="U57" i="5"/>
  <c r="J57" i="5"/>
  <c r="O57" i="5"/>
  <c r="N58" i="5"/>
  <c r="U58" i="5"/>
  <c r="J58" i="5"/>
  <c r="O58" i="5"/>
  <c r="N59" i="5"/>
  <c r="U59" i="5"/>
  <c r="J59" i="5"/>
  <c r="O59" i="5"/>
  <c r="N60" i="5"/>
  <c r="U60" i="5"/>
  <c r="J60" i="5"/>
  <c r="O60" i="5"/>
  <c r="N61" i="5"/>
  <c r="U61" i="5"/>
  <c r="J61" i="5"/>
  <c r="O61" i="5"/>
  <c r="N62" i="5"/>
  <c r="U62" i="5"/>
  <c r="J62" i="5"/>
  <c r="O62" i="5"/>
  <c r="N63" i="5"/>
  <c r="U63" i="5"/>
  <c r="J63" i="5"/>
  <c r="O63" i="5"/>
  <c r="N64" i="5"/>
  <c r="U64" i="5"/>
  <c r="J64" i="5"/>
  <c r="O64" i="5"/>
  <c r="L60" i="5"/>
  <c r="L61" i="5"/>
  <c r="L62" i="5"/>
  <c r="L63" i="5"/>
  <c r="L64" i="5"/>
  <c r="R60" i="5"/>
  <c r="R61" i="5"/>
  <c r="R62" i="5"/>
  <c r="R63" i="5"/>
  <c r="R64" i="5"/>
  <c r="Y60" i="5"/>
  <c r="Y61" i="5"/>
  <c r="Y62" i="5"/>
  <c r="Y63" i="5"/>
  <c r="Y64" i="5"/>
  <c r="S60" i="5"/>
  <c r="S61" i="5"/>
  <c r="S62" i="5"/>
  <c r="S63" i="5"/>
  <c r="S64" i="5"/>
  <c r="M54" i="10"/>
  <c r="M53" i="10"/>
  <c r="M52" i="10"/>
  <c r="M51" i="10"/>
  <c r="H58" i="10"/>
  <c r="H61" i="10"/>
  <c r="H62" i="10"/>
  <c r="H63" i="10"/>
  <c r="H64" i="10"/>
  <c r="H65" i="10"/>
  <c r="L53" i="10"/>
  <c r="H66" i="10"/>
  <c r="H67" i="10"/>
  <c r="H68" i="10"/>
  <c r="H69" i="10"/>
  <c r="H70" i="10"/>
  <c r="L54" i="10"/>
  <c r="H56" i="10"/>
  <c r="H57" i="10"/>
  <c r="H59" i="10"/>
  <c r="H60" i="10"/>
  <c r="L52" i="10"/>
  <c r="H51" i="10"/>
  <c r="H52" i="10"/>
  <c r="H53" i="10"/>
  <c r="H54" i="10"/>
  <c r="H55" i="10"/>
  <c r="L51" i="10"/>
  <c r="L71" i="4"/>
  <c r="L87" i="4"/>
  <c r="L69" i="4"/>
  <c r="L107" i="4"/>
  <c r="L86" i="4"/>
  <c r="L68" i="4"/>
  <c r="L106" i="4"/>
  <c r="L85" i="4"/>
  <c r="L67" i="4"/>
  <c r="L105" i="4"/>
  <c r="L84" i="4"/>
  <c r="L66" i="4"/>
  <c r="L104" i="4"/>
  <c r="L83" i="4"/>
  <c r="L65" i="4"/>
  <c r="L103" i="4"/>
  <c r="L82" i="4"/>
  <c r="L64" i="4"/>
  <c r="L102" i="4"/>
  <c r="L81" i="4"/>
  <c r="L63" i="4"/>
  <c r="L101" i="4"/>
  <c r="L80" i="4"/>
  <c r="L62" i="4"/>
  <c r="L100" i="4"/>
  <c r="L79" i="4"/>
  <c r="L61" i="4"/>
  <c r="L99" i="4"/>
  <c r="L78" i="4"/>
  <c r="L60" i="4"/>
  <c r="L98" i="4"/>
  <c r="L77" i="4"/>
  <c r="L59" i="4"/>
  <c r="L97" i="4"/>
  <c r="L76" i="4"/>
  <c r="L58" i="4"/>
  <c r="L96" i="4"/>
  <c r="L75" i="4"/>
  <c r="L57" i="4"/>
  <c r="L95" i="4"/>
  <c r="L74" i="4"/>
  <c r="L56" i="4"/>
  <c r="L94" i="4"/>
  <c r="L73" i="4"/>
  <c r="L55" i="4"/>
  <c r="L93" i="4"/>
  <c r="L72" i="4"/>
  <c r="L54" i="4"/>
  <c r="L92" i="4"/>
  <c r="K37" i="4"/>
  <c r="J37" i="4"/>
  <c r="I37" i="4"/>
  <c r="H37" i="4"/>
  <c r="G37" i="4"/>
  <c r="Q680" i="2"/>
  <c r="Q657" i="2"/>
  <c r="Q656" i="2"/>
  <c r="Q655" i="2"/>
  <c r="Q654" i="2"/>
  <c r="Q653" i="2"/>
  <c r="Q652" i="2"/>
  <c r="Q651" i="2"/>
  <c r="Q650" i="2"/>
  <c r="Q649" i="2"/>
  <c r="Q648" i="2"/>
  <c r="Q647" i="2"/>
  <c r="Q646" i="2"/>
  <c r="Q644" i="2"/>
  <c r="Q643" i="2"/>
  <c r="Q642" i="2"/>
  <c r="Q700" i="2"/>
  <c r="R700" i="2"/>
  <c r="Q699" i="2"/>
  <c r="R699" i="2"/>
  <c r="Q698" i="2"/>
  <c r="S698" i="2"/>
  <c r="R698" i="2"/>
  <c r="S697" i="2"/>
  <c r="R697" i="2"/>
  <c r="Q696" i="2"/>
  <c r="R696" i="2"/>
  <c r="Q695" i="2"/>
  <c r="R695" i="2"/>
  <c r="Q693" i="2"/>
  <c r="Q694" i="2"/>
  <c r="S694" i="2"/>
  <c r="R694" i="2"/>
  <c r="S693" i="2"/>
  <c r="R693" i="2"/>
  <c r="Q692" i="2"/>
  <c r="R692" i="2"/>
  <c r="Q691" i="2"/>
  <c r="R691" i="2"/>
  <c r="Q689" i="2"/>
  <c r="Q690" i="2"/>
  <c r="S690" i="2"/>
  <c r="R690" i="2"/>
  <c r="S689" i="2"/>
  <c r="R689" i="2"/>
  <c r="Q688" i="2"/>
  <c r="R688" i="2"/>
  <c r="Q687" i="2"/>
  <c r="R687" i="2"/>
  <c r="Q686" i="2"/>
  <c r="S686" i="2"/>
  <c r="R686" i="2"/>
  <c r="S685" i="2"/>
  <c r="R685" i="2"/>
  <c r="Q684" i="2"/>
  <c r="R684" i="2"/>
  <c r="Q683" i="2"/>
  <c r="R683" i="2"/>
  <c r="Q682" i="2"/>
  <c r="S682" i="2"/>
  <c r="R682" i="2"/>
  <c r="S681" i="2"/>
  <c r="R681" i="2"/>
  <c r="R680" i="2"/>
  <c r="Q679" i="2"/>
  <c r="R679" i="2"/>
  <c r="Q677" i="2"/>
  <c r="Q678" i="2"/>
  <c r="S678" i="2"/>
  <c r="R678" i="2"/>
  <c r="S677" i="2"/>
  <c r="R677" i="2"/>
  <c r="Q676" i="2"/>
  <c r="R676" i="2"/>
  <c r="Q675" i="2"/>
  <c r="R675" i="2"/>
  <c r="Q673" i="2"/>
  <c r="Q674" i="2"/>
  <c r="S674" i="2"/>
  <c r="R674" i="2"/>
  <c r="S673" i="2"/>
  <c r="R673" i="2"/>
  <c r="Q672" i="2"/>
  <c r="R672" i="2"/>
  <c r="Q671" i="2"/>
  <c r="R671" i="2"/>
  <c r="Q670" i="2"/>
  <c r="S670" i="2"/>
  <c r="R670" i="2"/>
  <c r="S669" i="2"/>
  <c r="R669" i="2"/>
  <c r="Q668" i="2"/>
  <c r="R668" i="2"/>
  <c r="Q667" i="2"/>
  <c r="R667" i="2"/>
  <c r="Q665" i="2"/>
  <c r="Q666" i="2"/>
  <c r="S666" i="2"/>
  <c r="R666" i="2"/>
  <c r="S665" i="2"/>
  <c r="R665" i="2"/>
  <c r="Q664" i="2"/>
  <c r="R664" i="2"/>
  <c r="Q663" i="2"/>
  <c r="R663" i="2"/>
  <c r="Q661" i="2"/>
  <c r="Q662" i="2"/>
  <c r="S662" i="2"/>
  <c r="R662" i="2"/>
  <c r="S661" i="2"/>
  <c r="R661" i="2"/>
  <c r="Q660" i="2"/>
  <c r="R660" i="2"/>
  <c r="Q659" i="2"/>
  <c r="R659" i="2"/>
  <c r="Q658" i="2"/>
  <c r="S658" i="2"/>
  <c r="R658" i="2"/>
  <c r="S657" i="2"/>
  <c r="R657" i="2"/>
  <c r="R656" i="2"/>
  <c r="R655" i="2"/>
  <c r="S654" i="2"/>
  <c r="R654" i="2"/>
  <c r="S653" i="2"/>
  <c r="R653" i="2"/>
  <c r="R652" i="2"/>
  <c r="R651" i="2"/>
  <c r="S650" i="2"/>
  <c r="R650" i="2"/>
  <c r="S649" i="2"/>
  <c r="R649" i="2"/>
  <c r="R648" i="2"/>
  <c r="R647" i="2"/>
  <c r="S646" i="2"/>
  <c r="R646" i="2"/>
  <c r="S645" i="2"/>
  <c r="R645" i="2"/>
  <c r="R644" i="2"/>
  <c r="R643" i="2"/>
  <c r="S642" i="2"/>
  <c r="R642" i="2"/>
  <c r="S641" i="2"/>
  <c r="R641" i="2"/>
  <c r="Q640" i="2"/>
  <c r="R640" i="2"/>
  <c r="Q639" i="2"/>
  <c r="R639" i="2"/>
  <c r="Q638" i="2"/>
  <c r="S638" i="2"/>
  <c r="R638" i="2"/>
  <c r="S637" i="2"/>
  <c r="R637" i="2"/>
  <c r="Q580" i="2"/>
  <c r="H43" i="10"/>
  <c r="I43" i="10"/>
  <c r="K43" i="10"/>
  <c r="J43" i="10"/>
  <c r="Q636" i="2"/>
  <c r="R636" i="2"/>
  <c r="Q635" i="2"/>
  <c r="R635" i="2"/>
  <c r="Q633" i="2"/>
  <c r="Q634" i="2"/>
  <c r="S634" i="2"/>
  <c r="R634" i="2"/>
  <c r="S633" i="2"/>
  <c r="R633" i="2"/>
  <c r="Q632" i="2"/>
  <c r="R632" i="2"/>
  <c r="Q631" i="2"/>
  <c r="R631" i="2"/>
  <c r="Q629" i="2"/>
  <c r="Q630" i="2"/>
  <c r="S630" i="2"/>
  <c r="R630" i="2"/>
  <c r="S629" i="2"/>
  <c r="R629" i="2"/>
  <c r="Q628" i="2"/>
  <c r="R628" i="2"/>
  <c r="Q627" i="2"/>
  <c r="R627" i="2"/>
  <c r="Q625" i="2"/>
  <c r="Q626" i="2"/>
  <c r="S626" i="2"/>
  <c r="R626" i="2"/>
  <c r="S625" i="2"/>
  <c r="R625" i="2"/>
  <c r="Q624" i="2"/>
  <c r="R624" i="2"/>
  <c r="Q623" i="2"/>
  <c r="R623" i="2"/>
  <c r="Q621" i="2"/>
  <c r="Q622" i="2"/>
  <c r="S622" i="2"/>
  <c r="R622" i="2"/>
  <c r="S621" i="2"/>
  <c r="R621" i="2"/>
  <c r="Q620" i="2"/>
  <c r="R620" i="2"/>
  <c r="Q619" i="2"/>
  <c r="R619" i="2"/>
  <c r="Q617" i="2"/>
  <c r="Q618" i="2"/>
  <c r="S618" i="2"/>
  <c r="R618" i="2"/>
  <c r="S617" i="2"/>
  <c r="R617" i="2"/>
  <c r="Q616" i="2"/>
  <c r="R616" i="2"/>
  <c r="Q615" i="2"/>
  <c r="R615" i="2"/>
  <c r="Q613" i="2"/>
  <c r="Q614" i="2"/>
  <c r="S614" i="2"/>
  <c r="R614" i="2"/>
  <c r="S613" i="2"/>
  <c r="R613" i="2"/>
  <c r="Q612" i="2"/>
  <c r="R612" i="2"/>
  <c r="Q611" i="2"/>
  <c r="R611" i="2"/>
  <c r="Q609" i="2"/>
  <c r="Q610" i="2"/>
  <c r="S610" i="2"/>
  <c r="R610" i="2"/>
  <c r="S609" i="2"/>
  <c r="R609" i="2"/>
  <c r="Q608" i="2"/>
  <c r="R608" i="2"/>
  <c r="Q607" i="2"/>
  <c r="R607" i="2"/>
  <c r="Q605" i="2"/>
  <c r="Q606" i="2"/>
  <c r="S606" i="2"/>
  <c r="R606" i="2"/>
  <c r="S605" i="2"/>
  <c r="R605" i="2"/>
  <c r="Q604" i="2"/>
  <c r="R604" i="2"/>
  <c r="Q603" i="2"/>
  <c r="R603" i="2"/>
  <c r="Q601" i="2"/>
  <c r="Q602" i="2"/>
  <c r="S602" i="2"/>
  <c r="R602" i="2"/>
  <c r="S601" i="2"/>
  <c r="R601" i="2"/>
  <c r="Q600" i="2"/>
  <c r="R600" i="2"/>
  <c r="Q599" i="2"/>
  <c r="R599" i="2"/>
  <c r="Q597" i="2"/>
  <c r="Q598" i="2"/>
  <c r="S598" i="2"/>
  <c r="R598" i="2"/>
  <c r="S597" i="2"/>
  <c r="R597" i="2"/>
  <c r="Q596" i="2"/>
  <c r="R596" i="2"/>
  <c r="Q595" i="2"/>
  <c r="R595" i="2"/>
  <c r="Q593" i="2"/>
  <c r="Q594" i="2"/>
  <c r="S594" i="2"/>
  <c r="R594" i="2"/>
  <c r="S593" i="2"/>
  <c r="R593" i="2"/>
  <c r="Q592" i="2"/>
  <c r="R592" i="2"/>
  <c r="Q591" i="2"/>
  <c r="R591" i="2"/>
  <c r="Q589" i="2"/>
  <c r="Q590" i="2"/>
  <c r="S590" i="2"/>
  <c r="R590" i="2"/>
  <c r="S589" i="2"/>
  <c r="R589" i="2"/>
  <c r="Q588" i="2"/>
  <c r="R588" i="2"/>
  <c r="Q587" i="2"/>
  <c r="R587" i="2"/>
  <c r="Q585" i="2"/>
  <c r="Q586" i="2"/>
  <c r="S586" i="2"/>
  <c r="R586" i="2"/>
  <c r="S585" i="2"/>
  <c r="R585" i="2"/>
  <c r="Q584" i="2"/>
  <c r="R584" i="2"/>
  <c r="Q583" i="2"/>
  <c r="R583" i="2"/>
  <c r="Q581" i="2"/>
  <c r="Q582" i="2"/>
  <c r="S582" i="2"/>
  <c r="R582" i="2"/>
  <c r="S581" i="2"/>
  <c r="R581" i="2"/>
  <c r="R580" i="2"/>
  <c r="Q579" i="2"/>
  <c r="R579" i="2"/>
  <c r="Q577" i="2"/>
  <c r="Q578" i="2"/>
  <c r="S578" i="2"/>
  <c r="R578" i="2"/>
  <c r="S577" i="2"/>
  <c r="R577" i="2"/>
  <c r="Q576" i="2"/>
  <c r="R576" i="2"/>
  <c r="Q575" i="2"/>
  <c r="R575" i="2"/>
  <c r="Q573" i="2"/>
  <c r="Q574" i="2"/>
  <c r="S574" i="2"/>
  <c r="R574" i="2"/>
  <c r="S573" i="2"/>
  <c r="R573" i="2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I192" i="1"/>
  <c r="O192" i="1"/>
  <c r="D10" i="4"/>
  <c r="I191" i="1"/>
  <c r="O191" i="1"/>
  <c r="D9" i="4"/>
  <c r="D8" i="4"/>
  <c r="D7" i="4"/>
  <c r="D6" i="4"/>
  <c r="I193" i="1"/>
  <c r="O193" i="1"/>
  <c r="D5" i="4"/>
  <c r="D4" i="4"/>
  <c r="I188" i="1"/>
  <c r="J188" i="1"/>
  <c r="O188" i="1"/>
  <c r="M188" i="1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M30" i="7"/>
  <c r="M22" i="7"/>
  <c r="M13" i="7"/>
  <c r="K30" i="7"/>
  <c r="K22" i="7"/>
  <c r="K13" i="7"/>
  <c r="K29" i="7"/>
  <c r="K28" i="7"/>
  <c r="K27" i="7"/>
  <c r="K26" i="7"/>
  <c r="K25" i="7"/>
  <c r="K24" i="7"/>
  <c r="K23" i="7"/>
  <c r="K21" i="7"/>
  <c r="K20" i="7"/>
  <c r="K19" i="7"/>
  <c r="K18" i="7"/>
  <c r="K17" i="7"/>
  <c r="K16" i="7"/>
  <c r="K15" i="7"/>
  <c r="K14" i="7"/>
  <c r="K12" i="7"/>
  <c r="K11" i="7"/>
  <c r="K10" i="7"/>
  <c r="K9" i="7"/>
  <c r="K8" i="7"/>
  <c r="K7" i="7"/>
  <c r="K6" i="7"/>
  <c r="K5" i="7"/>
  <c r="K4" i="7"/>
  <c r="K3" i="7"/>
  <c r="K2" i="7"/>
  <c r="I30" i="7"/>
  <c r="I22" i="7"/>
  <c r="I13" i="7"/>
  <c r="I29" i="7"/>
  <c r="I28" i="7"/>
  <c r="I27" i="7"/>
  <c r="I26" i="7"/>
  <c r="I25" i="7"/>
  <c r="I24" i="7"/>
  <c r="I23" i="7"/>
  <c r="I21" i="7"/>
  <c r="I20" i="7"/>
  <c r="I19" i="7"/>
  <c r="I18" i="7"/>
  <c r="I17" i="7"/>
  <c r="I16" i="7"/>
  <c r="I15" i="7"/>
  <c r="I14" i="7"/>
  <c r="I12" i="7"/>
  <c r="I11" i="7"/>
  <c r="I10" i="7"/>
  <c r="I9" i="7"/>
  <c r="I8" i="7"/>
  <c r="I7" i="7"/>
  <c r="I6" i="7"/>
  <c r="I5" i="7"/>
  <c r="I4" i="7"/>
  <c r="I3" i="7"/>
  <c r="I2" i="7"/>
  <c r="H29" i="7"/>
  <c r="H28" i="7"/>
  <c r="H27" i="7"/>
  <c r="H26" i="7"/>
  <c r="H25" i="7"/>
  <c r="H24" i="7"/>
  <c r="H23" i="7"/>
  <c r="H21" i="7"/>
  <c r="H20" i="7"/>
  <c r="H19" i="7"/>
  <c r="H18" i="7"/>
  <c r="H17" i="7"/>
  <c r="H16" i="7"/>
  <c r="H15" i="7"/>
  <c r="H14" i="7"/>
  <c r="Q529" i="2"/>
  <c r="Q528" i="2"/>
  <c r="Q527" i="2"/>
  <c r="Q526" i="2"/>
  <c r="Q521" i="2"/>
  <c r="Q522" i="2"/>
  <c r="Q523" i="2"/>
  <c r="Q524" i="2"/>
  <c r="S522" i="2"/>
  <c r="Q525" i="2"/>
  <c r="S526" i="2"/>
  <c r="Q480" i="2"/>
  <c r="H34" i="10"/>
  <c r="I34" i="10"/>
  <c r="K34" i="10"/>
  <c r="J34" i="10"/>
  <c r="I182" i="1"/>
  <c r="J182" i="1"/>
  <c r="O182" i="1"/>
  <c r="Q182" i="1"/>
  <c r="M182" i="1"/>
  <c r="Q384" i="2"/>
  <c r="Q381" i="2"/>
  <c r="Q360" i="2"/>
  <c r="Q359" i="2"/>
  <c r="Q358" i="2"/>
  <c r="I190" i="1"/>
  <c r="O190" i="1"/>
  <c r="H42" i="10"/>
  <c r="I42" i="10"/>
  <c r="J42" i="10"/>
  <c r="K42" i="10"/>
  <c r="H41" i="10"/>
  <c r="I41" i="10"/>
  <c r="J41" i="10"/>
  <c r="K41" i="10"/>
  <c r="G71" i="4"/>
  <c r="G87" i="4"/>
  <c r="G69" i="4"/>
  <c r="I46" i="1"/>
  <c r="O46" i="1"/>
  <c r="I53" i="1"/>
  <c r="O53" i="1"/>
  <c r="I62" i="1"/>
  <c r="O62" i="1"/>
  <c r="I70" i="1"/>
  <c r="O70" i="1"/>
  <c r="I33" i="1"/>
  <c r="O33" i="1"/>
  <c r="I34" i="1"/>
  <c r="O34" i="1"/>
  <c r="I35" i="1"/>
  <c r="O35" i="1"/>
  <c r="I36" i="1"/>
  <c r="O36" i="1"/>
  <c r="I37" i="1"/>
  <c r="O37" i="1"/>
  <c r="I38" i="1"/>
  <c r="O38" i="1"/>
  <c r="I41" i="1"/>
  <c r="O41" i="1"/>
  <c r="I42" i="1"/>
  <c r="O42" i="1"/>
  <c r="I39" i="1"/>
  <c r="O39" i="1"/>
  <c r="I40" i="1"/>
  <c r="O40" i="1"/>
  <c r="I43" i="1"/>
  <c r="O43" i="1"/>
  <c r="I44" i="1"/>
  <c r="O44" i="1"/>
  <c r="I47" i="1"/>
  <c r="O47" i="1"/>
  <c r="I48" i="1"/>
  <c r="O48" i="1"/>
  <c r="I49" i="1"/>
  <c r="O49" i="1"/>
  <c r="I45" i="1"/>
  <c r="O45" i="1"/>
  <c r="I50" i="1"/>
  <c r="O50" i="1"/>
  <c r="I51" i="1"/>
  <c r="O51" i="1"/>
  <c r="I52" i="1"/>
  <c r="O52" i="1"/>
  <c r="I54" i="1"/>
  <c r="O54" i="1"/>
  <c r="I55" i="1"/>
  <c r="O55" i="1"/>
  <c r="I56" i="1"/>
  <c r="O56" i="1"/>
  <c r="I57" i="1"/>
  <c r="O57" i="1"/>
  <c r="I58" i="1"/>
  <c r="O58" i="1"/>
  <c r="I61" i="1"/>
  <c r="O61" i="1"/>
  <c r="I59" i="1"/>
  <c r="O59" i="1"/>
  <c r="I63" i="1"/>
  <c r="O63" i="1"/>
  <c r="I64" i="1"/>
  <c r="O64" i="1"/>
  <c r="I65" i="1"/>
  <c r="O65" i="1"/>
  <c r="I60" i="1"/>
  <c r="O60" i="1"/>
  <c r="I66" i="1"/>
  <c r="O66" i="1"/>
  <c r="I68" i="1"/>
  <c r="O68" i="1"/>
  <c r="I67" i="1"/>
  <c r="O67" i="1"/>
  <c r="I72" i="1"/>
  <c r="O72" i="1"/>
  <c r="I69" i="1"/>
  <c r="O69" i="1"/>
  <c r="I71" i="1"/>
  <c r="O71" i="1"/>
  <c r="I73" i="1"/>
  <c r="O73" i="1"/>
  <c r="I78" i="1"/>
  <c r="O78" i="1"/>
  <c r="I77" i="1"/>
  <c r="O77" i="1"/>
  <c r="I74" i="1"/>
  <c r="O74" i="1"/>
  <c r="I75" i="1"/>
  <c r="O75" i="1"/>
  <c r="I76" i="1"/>
  <c r="O76" i="1"/>
  <c r="I84" i="1"/>
  <c r="O84" i="1"/>
  <c r="I83" i="1"/>
  <c r="O83" i="1"/>
  <c r="I80" i="1"/>
  <c r="O80" i="1"/>
  <c r="I81" i="1"/>
  <c r="O81" i="1"/>
  <c r="I82" i="1"/>
  <c r="O82" i="1"/>
  <c r="I79" i="1"/>
  <c r="O79" i="1"/>
  <c r="I85" i="1"/>
  <c r="O85" i="1"/>
  <c r="I96" i="1"/>
  <c r="O96" i="1"/>
  <c r="I95" i="1"/>
  <c r="O95" i="1"/>
  <c r="I87" i="1"/>
  <c r="O87" i="1"/>
  <c r="I88" i="1"/>
  <c r="O88" i="1"/>
  <c r="I89" i="1"/>
  <c r="O89" i="1"/>
  <c r="I90" i="1"/>
  <c r="O90" i="1"/>
  <c r="I91" i="1"/>
  <c r="O91" i="1"/>
  <c r="I92" i="1"/>
  <c r="O92" i="1"/>
  <c r="I93" i="1"/>
  <c r="O93" i="1"/>
  <c r="I94" i="1"/>
  <c r="O94" i="1"/>
  <c r="I86" i="1"/>
  <c r="O86" i="1"/>
  <c r="I97" i="1"/>
  <c r="O97" i="1"/>
  <c r="I100" i="1"/>
  <c r="O100" i="1"/>
  <c r="I101" i="1"/>
  <c r="O101" i="1"/>
  <c r="I98" i="1"/>
  <c r="O98" i="1"/>
  <c r="I99" i="1"/>
  <c r="O99" i="1"/>
  <c r="I102" i="1"/>
  <c r="O102" i="1"/>
  <c r="I104" i="1"/>
  <c r="O104" i="1"/>
  <c r="I103" i="1"/>
  <c r="O103" i="1"/>
  <c r="I105" i="1"/>
  <c r="O105" i="1"/>
  <c r="I110" i="1"/>
  <c r="O110" i="1"/>
  <c r="I107" i="1"/>
  <c r="O107" i="1"/>
  <c r="I106" i="1"/>
  <c r="O106" i="1"/>
  <c r="I108" i="1"/>
  <c r="O108" i="1"/>
  <c r="I109" i="1"/>
  <c r="O109" i="1"/>
  <c r="I114" i="1"/>
  <c r="O114" i="1"/>
  <c r="I117" i="1"/>
  <c r="O117" i="1"/>
  <c r="I113" i="1"/>
  <c r="O113" i="1"/>
  <c r="I115" i="1"/>
  <c r="O115" i="1"/>
  <c r="I116" i="1"/>
  <c r="O116" i="1"/>
  <c r="I112" i="1"/>
  <c r="O112" i="1"/>
  <c r="I111" i="1"/>
  <c r="O111" i="1"/>
  <c r="I118" i="1"/>
  <c r="O118" i="1"/>
  <c r="I119" i="1"/>
  <c r="O119" i="1"/>
  <c r="I120" i="1"/>
  <c r="O120" i="1"/>
  <c r="I121" i="1"/>
  <c r="O121" i="1"/>
  <c r="I125" i="1"/>
  <c r="O125" i="1"/>
  <c r="I123" i="1"/>
  <c r="O123" i="1"/>
  <c r="I122" i="1"/>
  <c r="O122" i="1"/>
  <c r="I124" i="1"/>
  <c r="O124" i="1"/>
  <c r="I129" i="1"/>
  <c r="O129" i="1"/>
  <c r="I127" i="1"/>
  <c r="O127" i="1"/>
  <c r="O126" i="1"/>
  <c r="I128" i="1"/>
  <c r="O128" i="1"/>
  <c r="I130" i="1"/>
  <c r="O130" i="1"/>
  <c r="I131" i="1"/>
  <c r="O131" i="1"/>
  <c r="I132" i="1"/>
  <c r="O132" i="1"/>
  <c r="I133" i="1"/>
  <c r="O133" i="1"/>
  <c r="I134" i="1"/>
  <c r="O134" i="1"/>
  <c r="I135" i="1"/>
  <c r="O135" i="1"/>
  <c r="I140" i="1"/>
  <c r="O140" i="1"/>
  <c r="I138" i="1"/>
  <c r="O138" i="1"/>
  <c r="I137" i="1"/>
  <c r="O137" i="1"/>
  <c r="I139" i="1"/>
  <c r="O139" i="1"/>
  <c r="I136" i="1"/>
  <c r="O136" i="1"/>
  <c r="I142" i="1"/>
  <c r="O142" i="1"/>
  <c r="I141" i="1"/>
  <c r="O141" i="1"/>
  <c r="I143" i="1"/>
  <c r="O143" i="1"/>
  <c r="I144" i="1"/>
  <c r="O144" i="1"/>
  <c r="I145" i="1"/>
  <c r="O145" i="1"/>
  <c r="I149" i="1"/>
  <c r="O149" i="1"/>
  <c r="I148" i="1"/>
  <c r="O148" i="1"/>
  <c r="I146" i="1"/>
  <c r="O146" i="1"/>
  <c r="I147" i="1"/>
  <c r="O147" i="1"/>
  <c r="I150" i="1"/>
  <c r="O150" i="1"/>
  <c r="I151" i="1"/>
  <c r="O151" i="1"/>
  <c r="I152" i="1"/>
  <c r="O152" i="1"/>
  <c r="I157" i="1"/>
  <c r="O157" i="1"/>
  <c r="I156" i="1"/>
  <c r="O156" i="1"/>
  <c r="I153" i="1"/>
  <c r="O153" i="1"/>
  <c r="I154" i="1"/>
  <c r="O154" i="1"/>
  <c r="I155" i="1"/>
  <c r="O155" i="1"/>
  <c r="I160" i="1"/>
  <c r="O160" i="1"/>
  <c r="I161" i="1"/>
  <c r="O161" i="1"/>
  <c r="I166" i="1"/>
  <c r="O166" i="1"/>
  <c r="I162" i="1"/>
  <c r="O162" i="1"/>
  <c r="I163" i="1"/>
  <c r="O163" i="1"/>
  <c r="I164" i="1"/>
  <c r="O164" i="1"/>
  <c r="I159" i="1"/>
  <c r="O159" i="1"/>
  <c r="I158" i="1"/>
  <c r="O158" i="1"/>
  <c r="I165" i="1"/>
  <c r="O165" i="1"/>
  <c r="I168" i="1"/>
  <c r="O168" i="1"/>
  <c r="I167" i="1"/>
  <c r="O167" i="1"/>
  <c r="I171" i="1"/>
  <c r="O171" i="1"/>
  <c r="I172" i="1"/>
  <c r="O172" i="1"/>
  <c r="I173" i="1"/>
  <c r="O173" i="1"/>
  <c r="I169" i="1"/>
  <c r="O169" i="1"/>
  <c r="I170" i="1"/>
  <c r="O170" i="1"/>
  <c r="I174" i="1"/>
  <c r="O174" i="1"/>
  <c r="I175" i="1"/>
  <c r="O175" i="1"/>
  <c r="I176" i="1"/>
  <c r="O176" i="1"/>
  <c r="I177" i="1"/>
  <c r="O177" i="1"/>
  <c r="I178" i="1"/>
  <c r="O178" i="1"/>
  <c r="I179" i="1"/>
  <c r="O179" i="1"/>
  <c r="I180" i="1"/>
  <c r="O180" i="1"/>
  <c r="I181" i="1"/>
  <c r="O181" i="1"/>
  <c r="I184" i="1"/>
  <c r="O184" i="1"/>
  <c r="I183" i="1"/>
  <c r="O183" i="1"/>
  <c r="I185" i="1"/>
  <c r="O185" i="1"/>
  <c r="I186" i="1"/>
  <c r="O186" i="1"/>
  <c r="I187" i="1"/>
  <c r="O187" i="1"/>
  <c r="I189" i="1"/>
  <c r="O189" i="1"/>
  <c r="I194" i="1"/>
  <c r="O194" i="1"/>
  <c r="I195" i="1"/>
  <c r="O195" i="1"/>
  <c r="I196" i="1"/>
  <c r="O196" i="1"/>
  <c r="I197" i="1"/>
  <c r="O197" i="1"/>
  <c r="I198" i="1"/>
  <c r="O198" i="1"/>
  <c r="I199" i="1"/>
  <c r="O199" i="1"/>
  <c r="I200" i="1"/>
  <c r="O200" i="1"/>
  <c r="I201" i="1"/>
  <c r="O201" i="1"/>
  <c r="I202" i="1"/>
  <c r="O202" i="1"/>
  <c r="I203" i="1"/>
  <c r="O203" i="1"/>
  <c r="I204" i="1"/>
  <c r="O204" i="1"/>
  <c r="I205" i="1"/>
  <c r="O205" i="1"/>
  <c r="I206" i="1"/>
  <c r="O206" i="1"/>
  <c r="I207" i="1"/>
  <c r="O207" i="1"/>
  <c r="I208" i="1"/>
  <c r="O208" i="1"/>
  <c r="I209" i="1"/>
  <c r="O209" i="1"/>
  <c r="I210" i="1"/>
  <c r="O210" i="1"/>
  <c r="I211" i="1"/>
  <c r="O211" i="1"/>
  <c r="I212" i="1"/>
  <c r="O212" i="1"/>
  <c r="I213" i="1"/>
  <c r="O213" i="1"/>
  <c r="I214" i="1"/>
  <c r="O214" i="1"/>
  <c r="I215" i="1"/>
  <c r="O215" i="1"/>
  <c r="I216" i="1"/>
  <c r="O216" i="1"/>
  <c r="I217" i="1"/>
  <c r="O217" i="1"/>
  <c r="I218" i="1"/>
  <c r="O218" i="1"/>
  <c r="I219" i="1"/>
  <c r="O219" i="1"/>
  <c r="I220" i="1"/>
  <c r="O220" i="1"/>
  <c r="I221" i="1"/>
  <c r="O221" i="1"/>
  <c r="I222" i="1"/>
  <c r="O222" i="1"/>
  <c r="I223" i="1"/>
  <c r="O223" i="1"/>
  <c r="I224" i="1"/>
  <c r="O224" i="1"/>
  <c r="I225" i="1"/>
  <c r="O225" i="1"/>
  <c r="I226" i="1"/>
  <c r="O226" i="1"/>
  <c r="I227" i="1"/>
  <c r="O227" i="1"/>
  <c r="I228" i="1"/>
  <c r="O228" i="1"/>
  <c r="I229" i="1"/>
  <c r="O229" i="1"/>
  <c r="I230" i="1"/>
  <c r="O230" i="1"/>
  <c r="I231" i="1"/>
  <c r="O231" i="1"/>
  <c r="I232" i="1"/>
  <c r="O232" i="1"/>
  <c r="I233" i="1"/>
  <c r="O233" i="1"/>
  <c r="I234" i="1"/>
  <c r="O234" i="1"/>
  <c r="I235" i="1"/>
  <c r="O235" i="1"/>
  <c r="I236" i="1"/>
  <c r="O236" i="1"/>
  <c r="I237" i="1"/>
  <c r="O237" i="1"/>
  <c r="I238" i="1"/>
  <c r="O238" i="1"/>
  <c r="I239" i="1"/>
  <c r="O239" i="1"/>
  <c r="I240" i="1"/>
  <c r="O240" i="1"/>
  <c r="I241" i="1"/>
  <c r="O241" i="1"/>
  <c r="I242" i="1"/>
  <c r="O242" i="1"/>
  <c r="I243" i="1"/>
  <c r="O243" i="1"/>
  <c r="I244" i="1"/>
  <c r="O244" i="1"/>
  <c r="I245" i="1"/>
  <c r="O245" i="1"/>
  <c r="I246" i="1"/>
  <c r="O246" i="1"/>
  <c r="I247" i="1"/>
  <c r="O247" i="1"/>
  <c r="I248" i="1"/>
  <c r="O248" i="1"/>
  <c r="I249" i="1"/>
  <c r="O249" i="1"/>
  <c r="I250" i="1"/>
  <c r="O250" i="1"/>
  <c r="I251" i="1"/>
  <c r="O251" i="1"/>
  <c r="I252" i="1"/>
  <c r="O252" i="1"/>
  <c r="I253" i="1"/>
  <c r="O253" i="1"/>
  <c r="I254" i="1"/>
  <c r="O254" i="1"/>
  <c r="I255" i="1"/>
  <c r="O255" i="1"/>
  <c r="I256" i="1"/>
  <c r="O256" i="1"/>
  <c r="I257" i="1"/>
  <c r="O257" i="1"/>
  <c r="I258" i="1"/>
  <c r="O258" i="1"/>
  <c r="I259" i="1"/>
  <c r="O259" i="1"/>
  <c r="I260" i="1"/>
  <c r="O260" i="1"/>
  <c r="I261" i="1"/>
  <c r="O261" i="1"/>
  <c r="I262" i="1"/>
  <c r="O262" i="1"/>
  <c r="I263" i="1"/>
  <c r="O263" i="1"/>
  <c r="I264" i="1"/>
  <c r="O264" i="1"/>
  <c r="I265" i="1"/>
  <c r="O265" i="1"/>
  <c r="I266" i="1"/>
  <c r="O266" i="1"/>
  <c r="I267" i="1"/>
  <c r="O267" i="1"/>
  <c r="I268" i="1"/>
  <c r="O268" i="1"/>
  <c r="I269" i="1"/>
  <c r="O269" i="1"/>
  <c r="I270" i="1"/>
  <c r="O270" i="1"/>
  <c r="I271" i="1"/>
  <c r="O271" i="1"/>
  <c r="I272" i="1"/>
  <c r="O272" i="1"/>
  <c r="I273" i="1"/>
  <c r="O273" i="1"/>
  <c r="I274" i="1"/>
  <c r="O274" i="1"/>
  <c r="I275" i="1"/>
  <c r="O275" i="1"/>
  <c r="I276" i="1"/>
  <c r="O276" i="1"/>
  <c r="I277" i="1"/>
  <c r="O277" i="1"/>
  <c r="I278" i="1"/>
  <c r="O278" i="1"/>
  <c r="I279" i="1"/>
  <c r="O279" i="1"/>
  <c r="I280" i="1"/>
  <c r="O280" i="1"/>
  <c r="I281" i="1"/>
  <c r="O281" i="1"/>
  <c r="I282" i="1"/>
  <c r="O282" i="1"/>
  <c r="I283" i="1"/>
  <c r="O283" i="1"/>
  <c r="I284" i="1"/>
  <c r="O284" i="1"/>
  <c r="I285" i="1"/>
  <c r="O285" i="1"/>
  <c r="I286" i="1"/>
  <c r="O286" i="1"/>
  <c r="I287" i="1"/>
  <c r="O287" i="1"/>
  <c r="I288" i="1"/>
  <c r="O288" i="1"/>
  <c r="I289" i="1"/>
  <c r="O289" i="1"/>
  <c r="I290" i="1"/>
  <c r="O290" i="1"/>
  <c r="I291" i="1"/>
  <c r="O291" i="1"/>
  <c r="I292" i="1"/>
  <c r="O292" i="1"/>
  <c r="I293" i="1"/>
  <c r="O293" i="1"/>
  <c r="I294" i="1"/>
  <c r="O294" i="1"/>
  <c r="I295" i="1"/>
  <c r="O295" i="1"/>
  <c r="I296" i="1"/>
  <c r="O296" i="1"/>
  <c r="I297" i="1"/>
  <c r="O297" i="1"/>
  <c r="I298" i="1"/>
  <c r="O298" i="1"/>
  <c r="I299" i="1"/>
  <c r="O299" i="1"/>
  <c r="I300" i="1"/>
  <c r="O300" i="1"/>
  <c r="I301" i="1"/>
  <c r="O301" i="1"/>
  <c r="I302" i="1"/>
  <c r="O302" i="1"/>
  <c r="G51" i="4"/>
  <c r="G107" i="4"/>
  <c r="F71" i="4"/>
  <c r="F87" i="4"/>
  <c r="F69" i="4"/>
  <c r="F51" i="4"/>
  <c r="F107" i="4"/>
  <c r="K71" i="4"/>
  <c r="K87" i="4"/>
  <c r="K69" i="4"/>
  <c r="K51" i="4"/>
  <c r="K107" i="4"/>
  <c r="I71" i="4"/>
  <c r="I87" i="4"/>
  <c r="I69" i="4"/>
  <c r="I51" i="4"/>
  <c r="I107" i="4"/>
  <c r="H71" i="4"/>
  <c r="H87" i="4"/>
  <c r="H69" i="4"/>
  <c r="H51" i="4"/>
  <c r="H107" i="4"/>
  <c r="J71" i="4"/>
  <c r="J87" i="4"/>
  <c r="J69" i="4"/>
  <c r="J51" i="4"/>
  <c r="J107" i="4"/>
  <c r="J86" i="4"/>
  <c r="J68" i="4"/>
  <c r="J50" i="4"/>
  <c r="J106" i="4"/>
  <c r="J85" i="4"/>
  <c r="J67" i="4"/>
  <c r="J49" i="4"/>
  <c r="J105" i="4"/>
  <c r="J84" i="4"/>
  <c r="J66" i="4"/>
  <c r="J48" i="4"/>
  <c r="J104" i="4"/>
  <c r="J83" i="4"/>
  <c r="J65" i="4"/>
  <c r="J47" i="4"/>
  <c r="J103" i="4"/>
  <c r="J82" i="4"/>
  <c r="J64" i="4"/>
  <c r="J46" i="4"/>
  <c r="J102" i="4"/>
  <c r="J81" i="4"/>
  <c r="J63" i="4"/>
  <c r="J45" i="4"/>
  <c r="J101" i="4"/>
  <c r="J80" i="4"/>
  <c r="J62" i="4"/>
  <c r="J44" i="4"/>
  <c r="J100" i="4"/>
  <c r="J79" i="4"/>
  <c r="J61" i="4"/>
  <c r="J43" i="4"/>
  <c r="J42" i="4"/>
  <c r="J99" i="4"/>
  <c r="J78" i="4"/>
  <c r="J60" i="4"/>
  <c r="J40" i="4"/>
  <c r="J41" i="4"/>
  <c r="J98" i="4"/>
  <c r="J77" i="4"/>
  <c r="J59" i="4"/>
  <c r="J39" i="4"/>
  <c r="J38" i="4"/>
  <c r="J97" i="4"/>
  <c r="J76" i="4"/>
  <c r="J58" i="4"/>
  <c r="J36" i="4"/>
  <c r="J96" i="4"/>
  <c r="J75" i="4"/>
  <c r="J57" i="4"/>
  <c r="J35" i="4"/>
  <c r="J34" i="4"/>
  <c r="J95" i="4"/>
  <c r="J74" i="4"/>
  <c r="J56" i="4"/>
  <c r="J32" i="4"/>
  <c r="J33" i="4"/>
  <c r="J94" i="4"/>
  <c r="J73" i="4"/>
  <c r="J55" i="4"/>
  <c r="J30" i="4"/>
  <c r="J31" i="4"/>
  <c r="J93" i="4"/>
  <c r="J72" i="4"/>
  <c r="J54" i="4"/>
  <c r="J28" i="4"/>
  <c r="J29" i="4"/>
  <c r="J92" i="4"/>
  <c r="K72" i="4"/>
  <c r="K54" i="4"/>
  <c r="K28" i="4"/>
  <c r="K29" i="4"/>
  <c r="K92" i="4"/>
  <c r="K73" i="4"/>
  <c r="K55" i="4"/>
  <c r="K30" i="4"/>
  <c r="K31" i="4"/>
  <c r="K93" i="4"/>
  <c r="K74" i="4"/>
  <c r="K56" i="4"/>
  <c r="K32" i="4"/>
  <c r="K33" i="4"/>
  <c r="K94" i="4"/>
  <c r="K75" i="4"/>
  <c r="K57" i="4"/>
  <c r="K35" i="4"/>
  <c r="K34" i="4"/>
  <c r="K95" i="4"/>
  <c r="K76" i="4"/>
  <c r="K58" i="4"/>
  <c r="K36" i="4"/>
  <c r="K96" i="4"/>
  <c r="K77" i="4"/>
  <c r="K59" i="4"/>
  <c r="K39" i="4"/>
  <c r="K38" i="4"/>
  <c r="K97" i="4"/>
  <c r="K78" i="4"/>
  <c r="K60" i="4"/>
  <c r="K40" i="4"/>
  <c r="K41" i="4"/>
  <c r="K98" i="4"/>
  <c r="K79" i="4"/>
  <c r="K61" i="4"/>
  <c r="K43" i="4"/>
  <c r="K42" i="4"/>
  <c r="K99" i="4"/>
  <c r="K80" i="4"/>
  <c r="K62" i="4"/>
  <c r="K44" i="4"/>
  <c r="K100" i="4"/>
  <c r="K81" i="4"/>
  <c r="K63" i="4"/>
  <c r="K45" i="4"/>
  <c r="K101" i="4"/>
  <c r="K82" i="4"/>
  <c r="K64" i="4"/>
  <c r="K46" i="4"/>
  <c r="K102" i="4"/>
  <c r="K83" i="4"/>
  <c r="K65" i="4"/>
  <c r="K47" i="4"/>
  <c r="K103" i="4"/>
  <c r="K84" i="4"/>
  <c r="K66" i="4"/>
  <c r="K48" i="4"/>
  <c r="K104" i="4"/>
  <c r="K85" i="4"/>
  <c r="K67" i="4"/>
  <c r="K49" i="4"/>
  <c r="K105" i="4"/>
  <c r="K86" i="4"/>
  <c r="K68" i="4"/>
  <c r="K50" i="4"/>
  <c r="K106" i="4"/>
  <c r="I72" i="4"/>
  <c r="I54" i="4"/>
  <c r="I28" i="4"/>
  <c r="I29" i="4"/>
  <c r="I92" i="4"/>
  <c r="I73" i="4"/>
  <c r="I55" i="4"/>
  <c r="I30" i="4"/>
  <c r="I31" i="4"/>
  <c r="I93" i="4"/>
  <c r="I74" i="4"/>
  <c r="I56" i="4"/>
  <c r="I32" i="4"/>
  <c r="I33" i="4"/>
  <c r="I94" i="4"/>
  <c r="I75" i="4"/>
  <c r="I57" i="4"/>
  <c r="I35" i="4"/>
  <c r="I34" i="4"/>
  <c r="I95" i="4"/>
  <c r="I76" i="4"/>
  <c r="I58" i="4"/>
  <c r="I36" i="4"/>
  <c r="I96" i="4"/>
  <c r="I77" i="4"/>
  <c r="I59" i="4"/>
  <c r="I39" i="4"/>
  <c r="I38" i="4"/>
  <c r="I97" i="4"/>
  <c r="I78" i="4"/>
  <c r="I60" i="4"/>
  <c r="I40" i="4"/>
  <c r="I41" i="4"/>
  <c r="I98" i="4"/>
  <c r="I79" i="4"/>
  <c r="I61" i="4"/>
  <c r="I43" i="4"/>
  <c r="I42" i="4"/>
  <c r="I99" i="4"/>
  <c r="I80" i="4"/>
  <c r="I62" i="4"/>
  <c r="I44" i="4"/>
  <c r="I100" i="4"/>
  <c r="I81" i="4"/>
  <c r="I63" i="4"/>
  <c r="I45" i="4"/>
  <c r="I101" i="4"/>
  <c r="I82" i="4"/>
  <c r="I64" i="4"/>
  <c r="I46" i="4"/>
  <c r="I102" i="4"/>
  <c r="I83" i="4"/>
  <c r="I65" i="4"/>
  <c r="I47" i="4"/>
  <c r="I103" i="4"/>
  <c r="I84" i="4"/>
  <c r="I66" i="4"/>
  <c r="I48" i="4"/>
  <c r="I104" i="4"/>
  <c r="I85" i="4"/>
  <c r="I67" i="4"/>
  <c r="I49" i="4"/>
  <c r="I105" i="4"/>
  <c r="I86" i="4"/>
  <c r="I68" i="4"/>
  <c r="I50" i="4"/>
  <c r="I106" i="4"/>
  <c r="H72" i="4"/>
  <c r="H54" i="4"/>
  <c r="H28" i="4"/>
  <c r="H29" i="4"/>
  <c r="H92" i="4"/>
  <c r="H73" i="4"/>
  <c r="H55" i="4"/>
  <c r="H30" i="4"/>
  <c r="H31" i="4"/>
  <c r="H93" i="4"/>
  <c r="H74" i="4"/>
  <c r="H56" i="4"/>
  <c r="H32" i="4"/>
  <c r="H33" i="4"/>
  <c r="H94" i="4"/>
  <c r="H75" i="4"/>
  <c r="H57" i="4"/>
  <c r="H35" i="4"/>
  <c r="H34" i="4"/>
  <c r="H95" i="4"/>
  <c r="H76" i="4"/>
  <c r="H58" i="4"/>
  <c r="H36" i="4"/>
  <c r="H96" i="4"/>
  <c r="H77" i="4"/>
  <c r="H59" i="4"/>
  <c r="H39" i="4"/>
  <c r="H38" i="4"/>
  <c r="H97" i="4"/>
  <c r="H78" i="4"/>
  <c r="H60" i="4"/>
  <c r="H40" i="4"/>
  <c r="H41" i="4"/>
  <c r="H98" i="4"/>
  <c r="H79" i="4"/>
  <c r="H61" i="4"/>
  <c r="H43" i="4"/>
  <c r="H42" i="4"/>
  <c r="H99" i="4"/>
  <c r="H80" i="4"/>
  <c r="H62" i="4"/>
  <c r="H44" i="4"/>
  <c r="H100" i="4"/>
  <c r="H81" i="4"/>
  <c r="H63" i="4"/>
  <c r="H45" i="4"/>
  <c r="H101" i="4"/>
  <c r="H82" i="4"/>
  <c r="H64" i="4"/>
  <c r="H46" i="4"/>
  <c r="H102" i="4"/>
  <c r="H83" i="4"/>
  <c r="H65" i="4"/>
  <c r="H47" i="4"/>
  <c r="H103" i="4"/>
  <c r="H84" i="4"/>
  <c r="H66" i="4"/>
  <c r="H48" i="4"/>
  <c r="H104" i="4"/>
  <c r="H85" i="4"/>
  <c r="H67" i="4"/>
  <c r="H49" i="4"/>
  <c r="H105" i="4"/>
  <c r="H86" i="4"/>
  <c r="H68" i="4"/>
  <c r="H50" i="4"/>
  <c r="H106" i="4"/>
  <c r="G72" i="4"/>
  <c r="G54" i="4"/>
  <c r="G28" i="4"/>
  <c r="G29" i="4"/>
  <c r="G92" i="4"/>
  <c r="G73" i="4"/>
  <c r="G55" i="4"/>
  <c r="G30" i="4"/>
  <c r="G31" i="4"/>
  <c r="G93" i="4"/>
  <c r="G74" i="4"/>
  <c r="G56" i="4"/>
  <c r="G32" i="4"/>
  <c r="G33" i="4"/>
  <c r="G94" i="4"/>
  <c r="G75" i="4"/>
  <c r="G57" i="4"/>
  <c r="G35" i="4"/>
  <c r="G34" i="4"/>
  <c r="G95" i="4"/>
  <c r="G76" i="4"/>
  <c r="G58" i="4"/>
  <c r="G36" i="4"/>
  <c r="G96" i="4"/>
  <c r="G77" i="4"/>
  <c r="G59" i="4"/>
  <c r="G39" i="4"/>
  <c r="G38" i="4"/>
  <c r="G97" i="4"/>
  <c r="G78" i="4"/>
  <c r="G60" i="4"/>
  <c r="G40" i="4"/>
  <c r="G41" i="4"/>
  <c r="G98" i="4"/>
  <c r="G79" i="4"/>
  <c r="G61" i="4"/>
  <c r="G43" i="4"/>
  <c r="G42" i="4"/>
  <c r="G99" i="4"/>
  <c r="G80" i="4"/>
  <c r="G62" i="4"/>
  <c r="G44" i="4"/>
  <c r="G100" i="4"/>
  <c r="G81" i="4"/>
  <c r="G63" i="4"/>
  <c r="G45" i="4"/>
  <c r="G101" i="4"/>
  <c r="G82" i="4"/>
  <c r="G64" i="4"/>
  <c r="G46" i="4"/>
  <c r="G102" i="4"/>
  <c r="G83" i="4"/>
  <c r="G65" i="4"/>
  <c r="G47" i="4"/>
  <c r="G103" i="4"/>
  <c r="G84" i="4"/>
  <c r="G66" i="4"/>
  <c r="G48" i="4"/>
  <c r="G104" i="4"/>
  <c r="G85" i="4"/>
  <c r="G67" i="4"/>
  <c r="G49" i="4"/>
  <c r="G105" i="4"/>
  <c r="G86" i="4"/>
  <c r="G68" i="4"/>
  <c r="G50" i="4"/>
  <c r="G106" i="4"/>
  <c r="H40" i="10"/>
  <c r="I40" i="10"/>
  <c r="L40" i="10"/>
  <c r="J40" i="10"/>
  <c r="K40" i="10"/>
  <c r="Q572" i="2"/>
  <c r="R572" i="2"/>
  <c r="Q571" i="2"/>
  <c r="R571" i="2"/>
  <c r="Q569" i="2"/>
  <c r="Q570" i="2"/>
  <c r="S570" i="2"/>
  <c r="R570" i="2"/>
  <c r="S569" i="2"/>
  <c r="R569" i="2"/>
  <c r="Q568" i="2"/>
  <c r="R568" i="2"/>
  <c r="Q567" i="2"/>
  <c r="R567" i="2"/>
  <c r="Q565" i="2"/>
  <c r="Q566" i="2"/>
  <c r="S566" i="2"/>
  <c r="R566" i="2"/>
  <c r="S565" i="2"/>
  <c r="R565" i="2"/>
  <c r="Q564" i="2"/>
  <c r="R564" i="2"/>
  <c r="Q563" i="2"/>
  <c r="R563" i="2"/>
  <c r="Q561" i="2"/>
  <c r="Q562" i="2"/>
  <c r="S562" i="2"/>
  <c r="R562" i="2"/>
  <c r="S561" i="2"/>
  <c r="R561" i="2"/>
  <c r="Q560" i="2"/>
  <c r="R560" i="2"/>
  <c r="Q559" i="2"/>
  <c r="R559" i="2"/>
  <c r="Q557" i="2"/>
  <c r="Q558" i="2"/>
  <c r="S558" i="2"/>
  <c r="R558" i="2"/>
  <c r="S557" i="2"/>
  <c r="R557" i="2"/>
  <c r="Q556" i="2"/>
  <c r="R556" i="2"/>
  <c r="Q555" i="2"/>
  <c r="R555" i="2"/>
  <c r="Q553" i="2"/>
  <c r="Q554" i="2"/>
  <c r="S554" i="2"/>
  <c r="R554" i="2"/>
  <c r="S553" i="2"/>
  <c r="R553" i="2"/>
  <c r="Q552" i="2"/>
  <c r="R552" i="2"/>
  <c r="Q551" i="2"/>
  <c r="R551" i="2"/>
  <c r="Q549" i="2"/>
  <c r="Q550" i="2"/>
  <c r="S550" i="2"/>
  <c r="R550" i="2"/>
  <c r="S549" i="2"/>
  <c r="R549" i="2"/>
  <c r="Q548" i="2"/>
  <c r="R548" i="2"/>
  <c r="Q547" i="2"/>
  <c r="R547" i="2"/>
  <c r="Q545" i="2"/>
  <c r="Q546" i="2"/>
  <c r="S546" i="2"/>
  <c r="R546" i="2"/>
  <c r="S545" i="2"/>
  <c r="R545" i="2"/>
  <c r="Q544" i="2"/>
  <c r="R544" i="2"/>
  <c r="Q543" i="2"/>
  <c r="R543" i="2"/>
  <c r="Q541" i="2"/>
  <c r="Q542" i="2"/>
  <c r="S542" i="2"/>
  <c r="R542" i="2"/>
  <c r="S541" i="2"/>
  <c r="R541" i="2"/>
  <c r="Q540" i="2"/>
  <c r="R540" i="2"/>
  <c r="Q539" i="2"/>
  <c r="R539" i="2"/>
  <c r="Q537" i="2"/>
  <c r="Q538" i="2"/>
  <c r="S538" i="2"/>
  <c r="R538" i="2"/>
  <c r="S537" i="2"/>
  <c r="R537" i="2"/>
  <c r="Q536" i="2"/>
  <c r="R536" i="2"/>
  <c r="Q535" i="2"/>
  <c r="R535" i="2"/>
  <c r="Q533" i="2"/>
  <c r="Q534" i="2"/>
  <c r="S534" i="2"/>
  <c r="R534" i="2"/>
  <c r="S533" i="2"/>
  <c r="R533" i="2"/>
  <c r="Q532" i="2"/>
  <c r="R532" i="2"/>
  <c r="Q531" i="2"/>
  <c r="R531" i="2"/>
  <c r="Q530" i="2"/>
  <c r="S530" i="2"/>
  <c r="R530" i="2"/>
  <c r="S529" i="2"/>
  <c r="R529" i="2"/>
  <c r="R528" i="2"/>
  <c r="R527" i="2"/>
  <c r="R526" i="2"/>
  <c r="S525" i="2"/>
  <c r="R525" i="2"/>
  <c r="R524" i="2"/>
  <c r="R523" i="2"/>
  <c r="R522" i="2"/>
  <c r="S521" i="2"/>
  <c r="R521" i="2"/>
  <c r="Q520" i="2"/>
  <c r="R520" i="2"/>
  <c r="Q519" i="2"/>
  <c r="R519" i="2"/>
  <c r="Q517" i="2"/>
  <c r="Q518" i="2"/>
  <c r="S518" i="2"/>
  <c r="R518" i="2"/>
  <c r="S517" i="2"/>
  <c r="R517" i="2"/>
  <c r="Q516" i="2"/>
  <c r="R516" i="2"/>
  <c r="Q515" i="2"/>
  <c r="R515" i="2"/>
  <c r="Q513" i="2"/>
  <c r="Q514" i="2"/>
  <c r="S514" i="2"/>
  <c r="R514" i="2"/>
  <c r="S513" i="2"/>
  <c r="R513" i="2"/>
  <c r="Q512" i="2"/>
  <c r="R512" i="2"/>
  <c r="Q511" i="2"/>
  <c r="R511" i="2"/>
  <c r="Q509" i="2"/>
  <c r="Q510" i="2"/>
  <c r="S510" i="2"/>
  <c r="R510" i="2"/>
  <c r="S509" i="2"/>
  <c r="R509" i="2"/>
  <c r="Q448" i="2"/>
  <c r="Q508" i="2"/>
  <c r="R508" i="2"/>
  <c r="Q507" i="2"/>
  <c r="R507" i="2"/>
  <c r="Q505" i="2"/>
  <c r="Q506" i="2"/>
  <c r="S506" i="2"/>
  <c r="R506" i="2"/>
  <c r="S505" i="2"/>
  <c r="R505" i="2"/>
  <c r="Q504" i="2"/>
  <c r="R504" i="2"/>
  <c r="Q503" i="2"/>
  <c r="R503" i="2"/>
  <c r="Q501" i="2"/>
  <c r="Q502" i="2"/>
  <c r="S502" i="2"/>
  <c r="R502" i="2"/>
  <c r="S501" i="2"/>
  <c r="R501" i="2"/>
  <c r="Q500" i="2"/>
  <c r="R500" i="2"/>
  <c r="Q499" i="2"/>
  <c r="R499" i="2"/>
  <c r="Q497" i="2"/>
  <c r="Q498" i="2"/>
  <c r="S498" i="2"/>
  <c r="R498" i="2"/>
  <c r="S497" i="2"/>
  <c r="R497" i="2"/>
  <c r="Q496" i="2"/>
  <c r="R496" i="2"/>
  <c r="Q495" i="2"/>
  <c r="R495" i="2"/>
  <c r="Q493" i="2"/>
  <c r="Q494" i="2"/>
  <c r="S494" i="2"/>
  <c r="R494" i="2"/>
  <c r="S493" i="2"/>
  <c r="R493" i="2"/>
  <c r="Q492" i="2"/>
  <c r="R492" i="2"/>
  <c r="Q491" i="2"/>
  <c r="R491" i="2"/>
  <c r="Q489" i="2"/>
  <c r="Q490" i="2"/>
  <c r="S490" i="2"/>
  <c r="R490" i="2"/>
  <c r="S489" i="2"/>
  <c r="R489" i="2"/>
  <c r="Q488" i="2"/>
  <c r="R488" i="2"/>
  <c r="Q487" i="2"/>
  <c r="R487" i="2"/>
  <c r="Q485" i="2"/>
  <c r="Q486" i="2"/>
  <c r="S486" i="2"/>
  <c r="R486" i="2"/>
  <c r="S485" i="2"/>
  <c r="R485" i="2"/>
  <c r="Q484" i="2"/>
  <c r="R484" i="2"/>
  <c r="Q483" i="2"/>
  <c r="R483" i="2"/>
  <c r="Q481" i="2"/>
  <c r="Q482" i="2"/>
  <c r="S482" i="2"/>
  <c r="R482" i="2"/>
  <c r="S481" i="2"/>
  <c r="R481" i="2"/>
  <c r="R480" i="2"/>
  <c r="Q479" i="2"/>
  <c r="R479" i="2"/>
  <c r="Q477" i="2"/>
  <c r="Q478" i="2"/>
  <c r="S478" i="2"/>
  <c r="R478" i="2"/>
  <c r="S477" i="2"/>
  <c r="R477" i="2"/>
  <c r="Q476" i="2"/>
  <c r="R476" i="2"/>
  <c r="Q475" i="2"/>
  <c r="R475" i="2"/>
  <c r="Q473" i="2"/>
  <c r="Q474" i="2"/>
  <c r="S474" i="2"/>
  <c r="R474" i="2"/>
  <c r="S473" i="2"/>
  <c r="R473" i="2"/>
  <c r="Q472" i="2"/>
  <c r="R472" i="2"/>
  <c r="Q471" i="2"/>
  <c r="R471" i="2"/>
  <c r="Q469" i="2"/>
  <c r="Q470" i="2"/>
  <c r="S470" i="2"/>
  <c r="R470" i="2"/>
  <c r="S469" i="2"/>
  <c r="R469" i="2"/>
  <c r="Q468" i="2"/>
  <c r="R468" i="2"/>
  <c r="Q467" i="2"/>
  <c r="R467" i="2"/>
  <c r="Q465" i="2"/>
  <c r="Q466" i="2"/>
  <c r="S466" i="2"/>
  <c r="R466" i="2"/>
  <c r="S465" i="2"/>
  <c r="R465" i="2"/>
  <c r="Q464" i="2"/>
  <c r="R464" i="2"/>
  <c r="Q463" i="2"/>
  <c r="R463" i="2"/>
  <c r="Q461" i="2"/>
  <c r="Q462" i="2"/>
  <c r="S462" i="2"/>
  <c r="R462" i="2"/>
  <c r="S461" i="2"/>
  <c r="R461" i="2"/>
  <c r="Q460" i="2"/>
  <c r="R460" i="2"/>
  <c r="Q459" i="2"/>
  <c r="R459" i="2"/>
  <c r="Q457" i="2"/>
  <c r="Q458" i="2"/>
  <c r="S458" i="2"/>
  <c r="R458" i="2"/>
  <c r="S457" i="2"/>
  <c r="R457" i="2"/>
  <c r="Q456" i="2"/>
  <c r="R456" i="2"/>
  <c r="Q455" i="2"/>
  <c r="R455" i="2"/>
  <c r="Q453" i="2"/>
  <c r="Q454" i="2"/>
  <c r="S454" i="2"/>
  <c r="R454" i="2"/>
  <c r="S453" i="2"/>
  <c r="R453" i="2"/>
  <c r="Q452" i="2"/>
  <c r="R452" i="2"/>
  <c r="Q451" i="2"/>
  <c r="R451" i="2"/>
  <c r="Q449" i="2"/>
  <c r="Q450" i="2"/>
  <c r="S450" i="2"/>
  <c r="R450" i="2"/>
  <c r="S449" i="2"/>
  <c r="R449" i="2"/>
  <c r="R448" i="2"/>
  <c r="Q447" i="2"/>
  <c r="R447" i="2"/>
  <c r="Q445" i="2"/>
  <c r="Q446" i="2"/>
  <c r="S446" i="2"/>
  <c r="R446" i="2"/>
  <c r="S445" i="2"/>
  <c r="R445" i="2"/>
  <c r="H39" i="10"/>
  <c r="I39" i="10"/>
  <c r="L39" i="10"/>
  <c r="J39" i="10"/>
  <c r="K39" i="10"/>
  <c r="H38" i="10"/>
  <c r="I38" i="10"/>
  <c r="M38" i="10"/>
  <c r="Q441" i="2"/>
  <c r="Q442" i="2"/>
  <c r="Q443" i="2"/>
  <c r="Q444" i="2"/>
  <c r="S442" i="2"/>
  <c r="Q405" i="2"/>
  <c r="Q406" i="2"/>
  <c r="Q407" i="2"/>
  <c r="Q408" i="2"/>
  <c r="S406" i="2"/>
  <c r="Q389" i="2"/>
  <c r="Q390" i="2"/>
  <c r="Q391" i="2"/>
  <c r="Q392" i="2"/>
  <c r="S390" i="2"/>
  <c r="R444" i="2"/>
  <c r="R443" i="2"/>
  <c r="R442" i="2"/>
  <c r="S441" i="2"/>
  <c r="R441" i="2"/>
  <c r="Q440" i="2"/>
  <c r="R440" i="2"/>
  <c r="Q439" i="2"/>
  <c r="R439" i="2"/>
  <c r="Q437" i="2"/>
  <c r="Q438" i="2"/>
  <c r="S438" i="2"/>
  <c r="R438" i="2"/>
  <c r="S437" i="2"/>
  <c r="R437" i="2"/>
  <c r="Q436" i="2"/>
  <c r="R436" i="2"/>
  <c r="Q435" i="2"/>
  <c r="R435" i="2"/>
  <c r="Q433" i="2"/>
  <c r="Q434" i="2"/>
  <c r="S434" i="2"/>
  <c r="R434" i="2"/>
  <c r="S433" i="2"/>
  <c r="R433" i="2"/>
  <c r="Q432" i="2"/>
  <c r="R432" i="2"/>
  <c r="Q431" i="2"/>
  <c r="R431" i="2"/>
  <c r="Q429" i="2"/>
  <c r="Q430" i="2"/>
  <c r="S430" i="2"/>
  <c r="R430" i="2"/>
  <c r="S429" i="2"/>
  <c r="R429" i="2"/>
  <c r="Q428" i="2"/>
  <c r="R428" i="2"/>
  <c r="Q427" i="2"/>
  <c r="R427" i="2"/>
  <c r="Q425" i="2"/>
  <c r="Q426" i="2"/>
  <c r="S426" i="2"/>
  <c r="R426" i="2"/>
  <c r="S425" i="2"/>
  <c r="R425" i="2"/>
  <c r="Q424" i="2"/>
  <c r="R424" i="2"/>
  <c r="Q423" i="2"/>
  <c r="R423" i="2"/>
  <c r="Q421" i="2"/>
  <c r="Q422" i="2"/>
  <c r="S422" i="2"/>
  <c r="R422" i="2"/>
  <c r="S421" i="2"/>
  <c r="R421" i="2"/>
  <c r="Q420" i="2"/>
  <c r="R420" i="2"/>
  <c r="Q419" i="2"/>
  <c r="R419" i="2"/>
  <c r="Q417" i="2"/>
  <c r="Q418" i="2"/>
  <c r="S418" i="2"/>
  <c r="R418" i="2"/>
  <c r="S417" i="2"/>
  <c r="R417" i="2"/>
  <c r="Q416" i="2"/>
  <c r="R416" i="2"/>
  <c r="Q415" i="2"/>
  <c r="R415" i="2"/>
  <c r="Q413" i="2"/>
  <c r="Q414" i="2"/>
  <c r="S414" i="2"/>
  <c r="R414" i="2"/>
  <c r="S413" i="2"/>
  <c r="R413" i="2"/>
  <c r="Q412" i="2"/>
  <c r="R412" i="2"/>
  <c r="Q411" i="2"/>
  <c r="R411" i="2"/>
  <c r="Q409" i="2"/>
  <c r="Q410" i="2"/>
  <c r="S410" i="2"/>
  <c r="R410" i="2"/>
  <c r="S409" i="2"/>
  <c r="R409" i="2"/>
  <c r="R408" i="2"/>
  <c r="R407" i="2"/>
  <c r="R406" i="2"/>
  <c r="S405" i="2"/>
  <c r="R405" i="2"/>
  <c r="Q404" i="2"/>
  <c r="R404" i="2"/>
  <c r="Q403" i="2"/>
  <c r="R403" i="2"/>
  <c r="Q401" i="2"/>
  <c r="Q402" i="2"/>
  <c r="S402" i="2"/>
  <c r="R402" i="2"/>
  <c r="S401" i="2"/>
  <c r="R401" i="2"/>
  <c r="Q400" i="2"/>
  <c r="R400" i="2"/>
  <c r="Q399" i="2"/>
  <c r="R399" i="2"/>
  <c r="Q397" i="2"/>
  <c r="Q398" i="2"/>
  <c r="S398" i="2"/>
  <c r="R398" i="2"/>
  <c r="S397" i="2"/>
  <c r="R397" i="2"/>
  <c r="Q396" i="2"/>
  <c r="R396" i="2"/>
  <c r="Q395" i="2"/>
  <c r="R395" i="2"/>
  <c r="Q393" i="2"/>
  <c r="Q394" i="2"/>
  <c r="S394" i="2"/>
  <c r="R394" i="2"/>
  <c r="S393" i="2"/>
  <c r="R393" i="2"/>
  <c r="R392" i="2"/>
  <c r="R391" i="2"/>
  <c r="R390" i="2"/>
  <c r="S389" i="2"/>
  <c r="R389" i="2"/>
  <c r="Q388" i="2"/>
  <c r="R388" i="2"/>
  <c r="Q387" i="2"/>
  <c r="R387" i="2"/>
  <c r="Q385" i="2"/>
  <c r="Q386" i="2"/>
  <c r="S386" i="2"/>
  <c r="R386" i="2"/>
  <c r="S385" i="2"/>
  <c r="R385" i="2"/>
  <c r="R384" i="2"/>
  <c r="Q383" i="2"/>
  <c r="R383" i="2"/>
  <c r="Q382" i="2"/>
  <c r="S382" i="2"/>
  <c r="R382" i="2"/>
  <c r="S381" i="2"/>
  <c r="R381" i="2"/>
  <c r="L91" i="4"/>
  <c r="G89" i="4"/>
  <c r="D88" i="4"/>
  <c r="E88" i="4"/>
  <c r="F88" i="4"/>
  <c r="C71" i="4"/>
  <c r="C88" i="4"/>
  <c r="E71" i="4"/>
  <c r="E87" i="4"/>
  <c r="D71" i="4"/>
  <c r="D87" i="4"/>
  <c r="C87" i="4"/>
  <c r="J180" i="1"/>
  <c r="I4" i="1"/>
  <c r="J4" i="1"/>
  <c r="I5" i="1"/>
  <c r="J5" i="1"/>
  <c r="I14" i="1"/>
  <c r="J14" i="1"/>
  <c r="J130" i="1"/>
  <c r="I2" i="1"/>
  <c r="J2" i="1"/>
  <c r="I3" i="1"/>
  <c r="J3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J33" i="1"/>
  <c r="J34" i="1"/>
  <c r="J35" i="1"/>
  <c r="J36" i="1"/>
  <c r="J37" i="1"/>
  <c r="J38" i="1"/>
  <c r="J41" i="1"/>
  <c r="J42" i="1"/>
  <c r="J39" i="1"/>
  <c r="J40" i="1"/>
  <c r="J43" i="1"/>
  <c r="J46" i="1"/>
  <c r="J44" i="1"/>
  <c r="J47" i="1"/>
  <c r="J48" i="1"/>
  <c r="J49" i="1"/>
  <c r="J45" i="1"/>
  <c r="J50" i="1"/>
  <c r="J51" i="1"/>
  <c r="J52" i="1"/>
  <c r="J53" i="1"/>
  <c r="J54" i="1"/>
  <c r="J55" i="1"/>
  <c r="J56" i="1"/>
  <c r="J57" i="1"/>
  <c r="J58" i="1"/>
  <c r="J61" i="1"/>
  <c r="J62" i="1"/>
  <c r="J59" i="1"/>
  <c r="J63" i="1"/>
  <c r="J64" i="1"/>
  <c r="J65" i="1"/>
  <c r="J60" i="1"/>
  <c r="J66" i="1"/>
  <c r="J70" i="1"/>
  <c r="J68" i="1"/>
  <c r="J67" i="1"/>
  <c r="J72" i="1"/>
  <c r="J69" i="1"/>
  <c r="J71" i="1"/>
  <c r="J73" i="1"/>
  <c r="J78" i="1"/>
  <c r="J77" i="1"/>
  <c r="J74" i="1"/>
  <c r="J75" i="1"/>
  <c r="J76" i="1"/>
  <c r="J84" i="1"/>
  <c r="J83" i="1"/>
  <c r="J80" i="1"/>
  <c r="J81" i="1"/>
  <c r="J82" i="1"/>
  <c r="J79" i="1"/>
  <c r="J85" i="1"/>
  <c r="J96" i="1"/>
  <c r="J95" i="1"/>
  <c r="J87" i="1"/>
  <c r="J88" i="1"/>
  <c r="J89" i="1"/>
  <c r="J90" i="1"/>
  <c r="J91" i="1"/>
  <c r="J92" i="1"/>
  <c r="J93" i="1"/>
  <c r="J94" i="1"/>
  <c r="J86" i="1"/>
  <c r="J97" i="1"/>
  <c r="J100" i="1"/>
  <c r="J101" i="1"/>
  <c r="J98" i="1"/>
  <c r="J99" i="1"/>
  <c r="J102" i="1"/>
  <c r="J104" i="1"/>
  <c r="J103" i="1"/>
  <c r="J105" i="1"/>
  <c r="J110" i="1"/>
  <c r="J107" i="1"/>
  <c r="J106" i="1"/>
  <c r="J108" i="1"/>
  <c r="J109" i="1"/>
  <c r="J114" i="1"/>
  <c r="J117" i="1"/>
  <c r="J113" i="1"/>
  <c r="J115" i="1"/>
  <c r="J116" i="1"/>
  <c r="J112" i="1"/>
  <c r="J111" i="1"/>
  <c r="J118" i="1"/>
  <c r="J119" i="1"/>
  <c r="J120" i="1"/>
  <c r="J121" i="1"/>
  <c r="J125" i="1"/>
  <c r="J123" i="1"/>
  <c r="J122" i="1"/>
  <c r="J124" i="1"/>
  <c r="J129" i="1"/>
  <c r="J127" i="1"/>
  <c r="J126" i="1"/>
  <c r="J128" i="1"/>
  <c r="J131" i="1"/>
  <c r="J132" i="1"/>
  <c r="J133" i="1"/>
  <c r="J134" i="1"/>
  <c r="J135" i="1"/>
  <c r="J140" i="1"/>
  <c r="J138" i="1"/>
  <c r="J137" i="1"/>
  <c r="J139" i="1"/>
  <c r="J136" i="1"/>
  <c r="J142" i="1"/>
  <c r="J141" i="1"/>
  <c r="J143" i="1"/>
  <c r="J144" i="1"/>
  <c r="J145" i="1"/>
  <c r="J149" i="1"/>
  <c r="J148" i="1"/>
  <c r="J146" i="1"/>
  <c r="J147" i="1"/>
  <c r="J150" i="1"/>
  <c r="J151" i="1"/>
  <c r="J152" i="1"/>
  <c r="J157" i="1"/>
  <c r="J156" i="1"/>
  <c r="J153" i="1"/>
  <c r="J154" i="1"/>
  <c r="J155" i="1"/>
  <c r="J160" i="1"/>
  <c r="J161" i="1"/>
  <c r="J166" i="1"/>
  <c r="J162" i="1"/>
  <c r="J163" i="1"/>
  <c r="J164" i="1"/>
  <c r="J159" i="1"/>
  <c r="J158" i="1"/>
  <c r="J165" i="1"/>
  <c r="J168" i="1"/>
  <c r="J167" i="1"/>
  <c r="J171" i="1"/>
  <c r="J172" i="1"/>
  <c r="J173" i="1"/>
  <c r="J169" i="1"/>
  <c r="J170" i="1"/>
  <c r="J174" i="1"/>
  <c r="J175" i="1"/>
  <c r="J176" i="1"/>
  <c r="J177" i="1"/>
  <c r="J178" i="1"/>
  <c r="J179" i="1"/>
  <c r="J181" i="1"/>
  <c r="J184" i="1"/>
  <c r="J183" i="1"/>
  <c r="J185" i="1"/>
  <c r="J186" i="1"/>
  <c r="J187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C21" i="4"/>
  <c r="K13" i="4"/>
  <c r="C20" i="4"/>
  <c r="K12" i="4"/>
  <c r="C22" i="4"/>
  <c r="K14" i="4"/>
  <c r="C23" i="4"/>
  <c r="K15" i="4"/>
  <c r="C24" i="4"/>
  <c r="K16" i="4"/>
  <c r="C25" i="4"/>
  <c r="K17" i="4"/>
  <c r="C19" i="4"/>
  <c r="K11" i="4"/>
  <c r="C18" i="4"/>
  <c r="K10" i="4"/>
  <c r="C16" i="4"/>
  <c r="C17" i="4"/>
  <c r="K9" i="4"/>
  <c r="C14" i="4"/>
  <c r="C15" i="4"/>
  <c r="K8" i="4"/>
  <c r="C12" i="4"/>
  <c r="C13" i="4"/>
  <c r="K7" i="4"/>
  <c r="C10" i="4"/>
  <c r="C11" i="4"/>
  <c r="K6" i="4"/>
  <c r="C8" i="4"/>
  <c r="C9" i="4"/>
  <c r="K5" i="4"/>
  <c r="C6" i="4"/>
  <c r="C7" i="4"/>
  <c r="K4" i="4"/>
  <c r="C2" i="4"/>
  <c r="C3" i="4"/>
  <c r="K2" i="4"/>
  <c r="H89" i="4"/>
  <c r="Q380" i="2"/>
  <c r="R380" i="2"/>
  <c r="Q379" i="2"/>
  <c r="R379" i="2"/>
  <c r="Q377" i="2"/>
  <c r="Q378" i="2"/>
  <c r="S378" i="2"/>
  <c r="R378" i="2"/>
  <c r="S377" i="2"/>
  <c r="R377" i="2"/>
  <c r="Q376" i="2"/>
  <c r="R376" i="2"/>
  <c r="Q375" i="2"/>
  <c r="R375" i="2"/>
  <c r="Q373" i="2"/>
  <c r="Q374" i="2"/>
  <c r="S374" i="2"/>
  <c r="R374" i="2"/>
  <c r="S373" i="2"/>
  <c r="R373" i="2"/>
  <c r="Q372" i="2"/>
  <c r="R372" i="2"/>
  <c r="Q371" i="2"/>
  <c r="R371" i="2"/>
  <c r="Q369" i="2"/>
  <c r="Q370" i="2"/>
  <c r="S370" i="2"/>
  <c r="R370" i="2"/>
  <c r="S369" i="2"/>
  <c r="R369" i="2"/>
  <c r="Q368" i="2"/>
  <c r="R368" i="2"/>
  <c r="Q367" i="2"/>
  <c r="R367" i="2"/>
  <c r="Q365" i="2"/>
  <c r="Q366" i="2"/>
  <c r="S366" i="2"/>
  <c r="R366" i="2"/>
  <c r="S365" i="2"/>
  <c r="R365" i="2"/>
  <c r="Q364" i="2"/>
  <c r="R364" i="2"/>
  <c r="Q363" i="2"/>
  <c r="R363" i="2"/>
  <c r="Q361" i="2"/>
  <c r="Q362" i="2"/>
  <c r="S362" i="2"/>
  <c r="R362" i="2"/>
  <c r="S361" i="2"/>
  <c r="R361" i="2"/>
  <c r="R360" i="2"/>
  <c r="R359" i="2"/>
  <c r="Q357" i="2"/>
  <c r="S358" i="2"/>
  <c r="R358" i="2"/>
  <c r="S357" i="2"/>
  <c r="R357" i="2"/>
  <c r="Q356" i="2"/>
  <c r="R356" i="2"/>
  <c r="Q355" i="2"/>
  <c r="R355" i="2"/>
  <c r="Q353" i="2"/>
  <c r="Q354" i="2"/>
  <c r="S354" i="2"/>
  <c r="R354" i="2"/>
  <c r="S353" i="2"/>
  <c r="R353" i="2"/>
  <c r="Q352" i="2"/>
  <c r="R352" i="2"/>
  <c r="Q351" i="2"/>
  <c r="R351" i="2"/>
  <c r="Q349" i="2"/>
  <c r="Q350" i="2"/>
  <c r="S350" i="2"/>
  <c r="R350" i="2"/>
  <c r="S349" i="2"/>
  <c r="R349" i="2"/>
  <c r="Q348" i="2"/>
  <c r="R348" i="2"/>
  <c r="Q347" i="2"/>
  <c r="R347" i="2"/>
  <c r="S346" i="2"/>
  <c r="R346" i="2"/>
  <c r="S345" i="2"/>
  <c r="R345" i="2"/>
  <c r="Q344" i="2"/>
  <c r="R344" i="2"/>
  <c r="Q343" i="2"/>
  <c r="R343" i="2"/>
  <c r="Q341" i="2"/>
  <c r="Q342" i="2"/>
  <c r="S342" i="2"/>
  <c r="R342" i="2"/>
  <c r="S341" i="2"/>
  <c r="R341" i="2"/>
  <c r="Q340" i="2"/>
  <c r="R340" i="2"/>
  <c r="Q339" i="2"/>
  <c r="R339" i="2"/>
  <c r="Q337" i="2"/>
  <c r="Q338" i="2"/>
  <c r="S338" i="2"/>
  <c r="R338" i="2"/>
  <c r="S337" i="2"/>
  <c r="R337" i="2"/>
  <c r="Q336" i="2"/>
  <c r="R336" i="2"/>
  <c r="Q335" i="2"/>
  <c r="R335" i="2"/>
  <c r="Q333" i="2"/>
  <c r="Q334" i="2"/>
  <c r="S334" i="2"/>
  <c r="R334" i="2"/>
  <c r="S333" i="2"/>
  <c r="R333" i="2"/>
  <c r="Q332" i="2"/>
  <c r="R332" i="2"/>
  <c r="Q331" i="2"/>
  <c r="R331" i="2"/>
  <c r="Q329" i="2"/>
  <c r="Q330" i="2"/>
  <c r="S330" i="2"/>
  <c r="R330" i="2"/>
  <c r="S329" i="2"/>
  <c r="R329" i="2"/>
  <c r="Q328" i="2"/>
  <c r="R328" i="2"/>
  <c r="Q327" i="2"/>
  <c r="R327" i="2"/>
  <c r="Q325" i="2"/>
  <c r="Q326" i="2"/>
  <c r="S326" i="2"/>
  <c r="R326" i="2"/>
  <c r="S325" i="2"/>
  <c r="R325" i="2"/>
  <c r="Q324" i="2"/>
  <c r="R324" i="2"/>
  <c r="Q323" i="2"/>
  <c r="R323" i="2"/>
  <c r="Q321" i="2"/>
  <c r="Q322" i="2"/>
  <c r="S322" i="2"/>
  <c r="R322" i="2"/>
  <c r="S321" i="2"/>
  <c r="R321" i="2"/>
  <c r="Q320" i="2"/>
  <c r="R320" i="2"/>
  <c r="Q319" i="2"/>
  <c r="R319" i="2"/>
  <c r="Q317" i="2"/>
  <c r="Q318" i="2"/>
  <c r="S318" i="2"/>
  <c r="R318" i="2"/>
  <c r="S317" i="2"/>
  <c r="R317" i="2"/>
  <c r="K38" i="10"/>
  <c r="H37" i="10"/>
  <c r="I37" i="10"/>
  <c r="K37" i="10"/>
  <c r="H36" i="10"/>
  <c r="I36" i="10"/>
  <c r="K36" i="10"/>
  <c r="H35" i="10"/>
  <c r="I35" i="10"/>
  <c r="K35" i="10"/>
  <c r="H33" i="10"/>
  <c r="I33" i="10"/>
  <c r="K33" i="10"/>
  <c r="H32" i="10"/>
  <c r="I32" i="10"/>
  <c r="K32" i="10"/>
  <c r="H31" i="10"/>
  <c r="I31" i="10"/>
  <c r="K31" i="10"/>
  <c r="Q175" i="1"/>
  <c r="B44" i="10"/>
  <c r="C46" i="10"/>
  <c r="C44" i="10"/>
  <c r="D44" i="10"/>
  <c r="E44" i="10"/>
  <c r="G44" i="10"/>
  <c r="F44" i="10"/>
  <c r="Q174" i="1"/>
  <c r="Q170" i="1"/>
  <c r="Q169" i="1"/>
  <c r="Q173" i="1"/>
  <c r="Q172" i="1"/>
  <c r="Q167" i="1"/>
  <c r="J38" i="10"/>
  <c r="J37" i="10"/>
  <c r="J36" i="10"/>
  <c r="J35" i="10"/>
  <c r="J33" i="10"/>
  <c r="J32" i="10"/>
  <c r="J31" i="10"/>
  <c r="H29" i="10"/>
  <c r="I29" i="10"/>
  <c r="J29" i="10"/>
  <c r="K29" i="10"/>
  <c r="H26" i="10"/>
  <c r="I26" i="10"/>
  <c r="J26" i="10"/>
  <c r="K26" i="10"/>
  <c r="H27" i="10"/>
  <c r="I27" i="10"/>
  <c r="J27" i="10"/>
  <c r="K27" i="10"/>
  <c r="H28" i="10"/>
  <c r="I28" i="10"/>
  <c r="J28" i="10"/>
  <c r="K28" i="10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C51" i="4"/>
  <c r="C50" i="4"/>
  <c r="C49" i="4"/>
  <c r="C48" i="4"/>
  <c r="C47" i="4"/>
  <c r="C46" i="4"/>
  <c r="C45" i="4"/>
  <c r="C44" i="4"/>
  <c r="C42" i="4"/>
  <c r="C43" i="4"/>
  <c r="C40" i="4"/>
  <c r="C41" i="4"/>
  <c r="C38" i="4"/>
  <c r="C39" i="4"/>
  <c r="C36" i="4"/>
  <c r="C37" i="4"/>
  <c r="C34" i="4"/>
  <c r="C35" i="4"/>
  <c r="C32" i="4"/>
  <c r="C33" i="4"/>
  <c r="C30" i="4"/>
  <c r="C31" i="4"/>
  <c r="C29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F89" i="4"/>
  <c r="F86" i="4"/>
  <c r="F68" i="4"/>
  <c r="F50" i="4"/>
  <c r="F106" i="4"/>
  <c r="F85" i="4"/>
  <c r="F67" i="4"/>
  <c r="F49" i="4"/>
  <c r="F105" i="4"/>
  <c r="F84" i="4"/>
  <c r="F66" i="4"/>
  <c r="F48" i="4"/>
  <c r="F104" i="4"/>
  <c r="F83" i="4"/>
  <c r="F65" i="4"/>
  <c r="F47" i="4"/>
  <c r="F103" i="4"/>
  <c r="F82" i="4"/>
  <c r="F64" i="4"/>
  <c r="F46" i="4"/>
  <c r="F102" i="4"/>
  <c r="F81" i="4"/>
  <c r="F63" i="4"/>
  <c r="F45" i="4"/>
  <c r="F101" i="4"/>
  <c r="F80" i="4"/>
  <c r="F62" i="4"/>
  <c r="F44" i="4"/>
  <c r="F100" i="4"/>
  <c r="F79" i="4"/>
  <c r="F61" i="4"/>
  <c r="F43" i="4"/>
  <c r="F42" i="4"/>
  <c r="F99" i="4"/>
  <c r="F78" i="4"/>
  <c r="F60" i="4"/>
  <c r="F40" i="4"/>
  <c r="F41" i="4"/>
  <c r="F98" i="4"/>
  <c r="F59" i="4"/>
  <c r="F39" i="4"/>
  <c r="F38" i="4"/>
  <c r="F97" i="4"/>
  <c r="F76" i="4"/>
  <c r="F58" i="4"/>
  <c r="F36" i="4"/>
  <c r="F37" i="4"/>
  <c r="F96" i="4"/>
  <c r="F75" i="4"/>
  <c r="F57" i="4"/>
  <c r="F35" i="4"/>
  <c r="F34" i="4"/>
  <c r="F95" i="4"/>
  <c r="F74" i="4"/>
  <c r="F56" i="4"/>
  <c r="F32" i="4"/>
  <c r="F33" i="4"/>
  <c r="F94" i="4"/>
  <c r="F73" i="4"/>
  <c r="F55" i="4"/>
  <c r="F30" i="4"/>
  <c r="F31" i="4"/>
  <c r="F93" i="4"/>
  <c r="F72" i="4"/>
  <c r="F54" i="4"/>
  <c r="F28" i="4"/>
  <c r="F29" i="4"/>
  <c r="F92" i="4"/>
  <c r="E89" i="4"/>
  <c r="E69" i="4"/>
  <c r="E51" i="4"/>
  <c r="E107" i="4"/>
  <c r="E86" i="4"/>
  <c r="E68" i="4"/>
  <c r="E50" i="4"/>
  <c r="E106" i="4"/>
  <c r="E85" i="4"/>
  <c r="E67" i="4"/>
  <c r="E49" i="4"/>
  <c r="E105" i="4"/>
  <c r="E84" i="4"/>
  <c r="E66" i="4"/>
  <c r="E48" i="4"/>
  <c r="E104" i="4"/>
  <c r="E83" i="4"/>
  <c r="E65" i="4"/>
  <c r="E47" i="4"/>
  <c r="E103" i="4"/>
  <c r="E82" i="4"/>
  <c r="E64" i="4"/>
  <c r="E46" i="4"/>
  <c r="E102" i="4"/>
  <c r="E81" i="4"/>
  <c r="E63" i="4"/>
  <c r="E45" i="4"/>
  <c r="E101" i="4"/>
  <c r="E80" i="4"/>
  <c r="E62" i="4"/>
  <c r="E44" i="4"/>
  <c r="E100" i="4"/>
  <c r="E79" i="4"/>
  <c r="E61" i="4"/>
  <c r="E43" i="4"/>
  <c r="E42" i="4"/>
  <c r="E99" i="4"/>
  <c r="E78" i="4"/>
  <c r="E60" i="4"/>
  <c r="E40" i="4"/>
  <c r="E41" i="4"/>
  <c r="E98" i="4"/>
  <c r="E59" i="4"/>
  <c r="E39" i="4"/>
  <c r="E38" i="4"/>
  <c r="E97" i="4"/>
  <c r="E76" i="4"/>
  <c r="E58" i="4"/>
  <c r="E36" i="4"/>
  <c r="E37" i="4"/>
  <c r="E96" i="4"/>
  <c r="E75" i="4"/>
  <c r="E57" i="4"/>
  <c r="E35" i="4"/>
  <c r="E34" i="4"/>
  <c r="E95" i="4"/>
  <c r="E74" i="4"/>
  <c r="E56" i="4"/>
  <c r="E32" i="4"/>
  <c r="E33" i="4"/>
  <c r="E94" i="4"/>
  <c r="E73" i="4"/>
  <c r="E55" i="4"/>
  <c r="E30" i="4"/>
  <c r="E31" i="4"/>
  <c r="E93" i="4"/>
  <c r="E72" i="4"/>
  <c r="E54" i="4"/>
  <c r="E28" i="4"/>
  <c r="E29" i="4"/>
  <c r="E92" i="4"/>
  <c r="D74" i="4"/>
  <c r="D56" i="4"/>
  <c r="D32" i="4"/>
  <c r="D33" i="4"/>
  <c r="D94" i="4"/>
  <c r="D89" i="4"/>
  <c r="D69" i="4"/>
  <c r="D51" i="4"/>
  <c r="D107" i="4"/>
  <c r="D86" i="4"/>
  <c r="D68" i="4"/>
  <c r="D50" i="4"/>
  <c r="D106" i="4"/>
  <c r="D85" i="4"/>
  <c r="D67" i="4"/>
  <c r="D49" i="4"/>
  <c r="D105" i="4"/>
  <c r="D84" i="4"/>
  <c r="D66" i="4"/>
  <c r="D48" i="4"/>
  <c r="D104" i="4"/>
  <c r="D83" i="4"/>
  <c r="D65" i="4"/>
  <c r="D47" i="4"/>
  <c r="D103" i="4"/>
  <c r="D82" i="4"/>
  <c r="D64" i="4"/>
  <c r="D46" i="4"/>
  <c r="D102" i="4"/>
  <c r="D81" i="4"/>
  <c r="D63" i="4"/>
  <c r="D45" i="4"/>
  <c r="D101" i="4"/>
  <c r="D80" i="4"/>
  <c r="D62" i="4"/>
  <c r="D44" i="4"/>
  <c r="D100" i="4"/>
  <c r="D79" i="4"/>
  <c r="D61" i="4"/>
  <c r="D43" i="4"/>
  <c r="D42" i="4"/>
  <c r="D99" i="4"/>
  <c r="D78" i="4"/>
  <c r="D60" i="4"/>
  <c r="D40" i="4"/>
  <c r="D41" i="4"/>
  <c r="D98" i="4"/>
  <c r="D59" i="4"/>
  <c r="D39" i="4"/>
  <c r="D38" i="4"/>
  <c r="D97" i="4"/>
  <c r="D76" i="4"/>
  <c r="D58" i="4"/>
  <c r="D36" i="4"/>
  <c r="D37" i="4"/>
  <c r="D96" i="4"/>
  <c r="D75" i="4"/>
  <c r="D57" i="4"/>
  <c r="D35" i="4"/>
  <c r="D34" i="4"/>
  <c r="D95" i="4"/>
  <c r="D73" i="4"/>
  <c r="D55" i="4"/>
  <c r="D30" i="4"/>
  <c r="D31" i="4"/>
  <c r="D93" i="4"/>
  <c r="D72" i="4"/>
  <c r="D54" i="4"/>
  <c r="D28" i="4"/>
  <c r="D29" i="4"/>
  <c r="D92" i="4"/>
  <c r="C89" i="4"/>
  <c r="C69" i="4"/>
  <c r="C107" i="4"/>
  <c r="C86" i="4"/>
  <c r="C68" i="4"/>
  <c r="C106" i="4"/>
  <c r="C85" i="4"/>
  <c r="C67" i="4"/>
  <c r="C105" i="4"/>
  <c r="C84" i="4"/>
  <c r="C66" i="4"/>
  <c r="C104" i="4"/>
  <c r="C83" i="4"/>
  <c r="C65" i="4"/>
  <c r="C103" i="4"/>
  <c r="C82" i="4"/>
  <c r="C64" i="4"/>
  <c r="C102" i="4"/>
  <c r="C81" i="4"/>
  <c r="C63" i="4"/>
  <c r="C101" i="4"/>
  <c r="C80" i="4"/>
  <c r="C62" i="4"/>
  <c r="C100" i="4"/>
  <c r="C79" i="4"/>
  <c r="C61" i="4"/>
  <c r="C99" i="4"/>
  <c r="C78" i="4"/>
  <c r="C60" i="4"/>
  <c r="C98" i="4"/>
  <c r="C59" i="4"/>
  <c r="C97" i="4"/>
  <c r="C76" i="4"/>
  <c r="C58" i="4"/>
  <c r="C96" i="4"/>
  <c r="C75" i="4"/>
  <c r="C57" i="4"/>
  <c r="C95" i="4"/>
  <c r="C74" i="4"/>
  <c r="C56" i="4"/>
  <c r="C94" i="4"/>
  <c r="C73" i="4"/>
  <c r="C55" i="4"/>
  <c r="C93" i="4"/>
  <c r="C72" i="4"/>
  <c r="C92" i="4"/>
  <c r="L53" i="4"/>
  <c r="K91" i="4"/>
  <c r="J91" i="4"/>
  <c r="I91" i="4"/>
  <c r="H91" i="4"/>
  <c r="G91" i="4"/>
  <c r="F91" i="4"/>
  <c r="E91" i="4"/>
  <c r="D91" i="4"/>
  <c r="C91" i="4"/>
  <c r="K53" i="4"/>
  <c r="J53" i="4"/>
  <c r="I53" i="4"/>
  <c r="H53" i="4"/>
  <c r="G53" i="4"/>
  <c r="F53" i="4"/>
  <c r="E53" i="4"/>
  <c r="D53" i="4"/>
  <c r="C53" i="4"/>
  <c r="Q313" i="2"/>
  <c r="Q314" i="2"/>
  <c r="Q315" i="2"/>
  <c r="Q316" i="2"/>
  <c r="S314" i="2"/>
  <c r="S313" i="2"/>
  <c r="Q309" i="2"/>
  <c r="Q310" i="2"/>
  <c r="Q311" i="2"/>
  <c r="Q312" i="2"/>
  <c r="S310" i="2"/>
  <c r="S309" i="2"/>
  <c r="Q305" i="2"/>
  <c r="Q306" i="2"/>
  <c r="Q307" i="2"/>
  <c r="Q308" i="2"/>
  <c r="S306" i="2"/>
  <c r="S305" i="2"/>
  <c r="Q301" i="2"/>
  <c r="Q302" i="2"/>
  <c r="Q303" i="2"/>
  <c r="Q304" i="2"/>
  <c r="S302" i="2"/>
  <c r="S301" i="2"/>
  <c r="Q297" i="2"/>
  <c r="Q298" i="2"/>
  <c r="Q299" i="2"/>
  <c r="Q300" i="2"/>
  <c r="S298" i="2"/>
  <c r="S297" i="2"/>
  <c r="Q293" i="2"/>
  <c r="Q294" i="2"/>
  <c r="Q295" i="2"/>
  <c r="Q296" i="2"/>
  <c r="S294" i="2"/>
  <c r="S293" i="2"/>
  <c r="Q289" i="2"/>
  <c r="Q290" i="2"/>
  <c r="Q291" i="2"/>
  <c r="Q292" i="2"/>
  <c r="S290" i="2"/>
  <c r="S289" i="2"/>
  <c r="Q285" i="2"/>
  <c r="Q286" i="2"/>
  <c r="Q287" i="2"/>
  <c r="Q288" i="2"/>
  <c r="S286" i="2"/>
  <c r="S285" i="2"/>
  <c r="Q281" i="2"/>
  <c r="Q282" i="2"/>
  <c r="Q283" i="2"/>
  <c r="Q284" i="2"/>
  <c r="S282" i="2"/>
  <c r="S281" i="2"/>
  <c r="Q277" i="2"/>
  <c r="Q278" i="2"/>
  <c r="Q279" i="2"/>
  <c r="Q280" i="2"/>
  <c r="S278" i="2"/>
  <c r="S277" i="2"/>
  <c r="Q273" i="2"/>
  <c r="Q274" i="2"/>
  <c r="Q275" i="2"/>
  <c r="Q276" i="2"/>
  <c r="S274" i="2"/>
  <c r="S273" i="2"/>
  <c r="Q269" i="2"/>
  <c r="Q270" i="2"/>
  <c r="Q271" i="2"/>
  <c r="Q272" i="2"/>
  <c r="S270" i="2"/>
  <c r="S269" i="2"/>
  <c r="Q265" i="2"/>
  <c r="Q266" i="2"/>
  <c r="Q267" i="2"/>
  <c r="Q268" i="2"/>
  <c r="S266" i="2"/>
  <c r="S265" i="2"/>
  <c r="Q261" i="2"/>
  <c r="Q262" i="2"/>
  <c r="Q263" i="2"/>
  <c r="Q264" i="2"/>
  <c r="S262" i="2"/>
  <c r="S261" i="2"/>
  <c r="Q257" i="2"/>
  <c r="Q258" i="2"/>
  <c r="Q259" i="2"/>
  <c r="Q260" i="2"/>
  <c r="S258" i="2"/>
  <c r="S257" i="2"/>
  <c r="Q253" i="2"/>
  <c r="Q254" i="2"/>
  <c r="Q255" i="2"/>
  <c r="Q256" i="2"/>
  <c r="S254" i="2"/>
  <c r="S253" i="2"/>
  <c r="Q249" i="2"/>
  <c r="Q250" i="2"/>
  <c r="Q251" i="2"/>
  <c r="Q252" i="2"/>
  <c r="S250" i="2"/>
  <c r="S249" i="2"/>
  <c r="Q245" i="2"/>
  <c r="Q246" i="2"/>
  <c r="Q247" i="2"/>
  <c r="Q248" i="2"/>
  <c r="S246" i="2"/>
  <c r="S245" i="2"/>
  <c r="Q241" i="2"/>
  <c r="Q242" i="2"/>
  <c r="Q243" i="2"/>
  <c r="Q244" i="2"/>
  <c r="S242" i="2"/>
  <c r="S241" i="2"/>
  <c r="Q237" i="2"/>
  <c r="Q238" i="2"/>
  <c r="Q239" i="2"/>
  <c r="Q240" i="2"/>
  <c r="S238" i="2"/>
  <c r="S237" i="2"/>
  <c r="Q233" i="2"/>
  <c r="Q234" i="2"/>
  <c r="Q235" i="2"/>
  <c r="Q236" i="2"/>
  <c r="S234" i="2"/>
  <c r="S233" i="2"/>
  <c r="Q229" i="2"/>
  <c r="Q230" i="2"/>
  <c r="Q231" i="2"/>
  <c r="Q232" i="2"/>
  <c r="S230" i="2"/>
  <c r="S229" i="2"/>
  <c r="Q225" i="2"/>
  <c r="Q226" i="2"/>
  <c r="Q227" i="2"/>
  <c r="Q228" i="2"/>
  <c r="S226" i="2"/>
  <c r="S225" i="2"/>
  <c r="Q221" i="2"/>
  <c r="Q222" i="2"/>
  <c r="Q223" i="2"/>
  <c r="Q224" i="2"/>
  <c r="S222" i="2"/>
  <c r="S221" i="2"/>
  <c r="Q217" i="2"/>
  <c r="Q218" i="2"/>
  <c r="Q219" i="2"/>
  <c r="Q220" i="2"/>
  <c r="S218" i="2"/>
  <c r="S217" i="2"/>
  <c r="Q213" i="2"/>
  <c r="Q214" i="2"/>
  <c r="Q215" i="2"/>
  <c r="Q216" i="2"/>
  <c r="S214" i="2"/>
  <c r="S213" i="2"/>
  <c r="Q209" i="2"/>
  <c r="Q210" i="2"/>
  <c r="Q211" i="2"/>
  <c r="Q212" i="2"/>
  <c r="S210" i="2"/>
  <c r="S209" i="2"/>
  <c r="Q205" i="2"/>
  <c r="Q206" i="2"/>
  <c r="Q207" i="2"/>
  <c r="Q208" i="2"/>
  <c r="S206" i="2"/>
  <c r="S205" i="2"/>
  <c r="Q201" i="2"/>
  <c r="Q202" i="2"/>
  <c r="Q203" i="2"/>
  <c r="Q204" i="2"/>
  <c r="S202" i="2"/>
  <c r="S201" i="2"/>
  <c r="Q197" i="2"/>
  <c r="Q198" i="2"/>
  <c r="Q199" i="2"/>
  <c r="Q200" i="2"/>
  <c r="S198" i="2"/>
  <c r="S197" i="2"/>
  <c r="Q193" i="2"/>
  <c r="Q194" i="2"/>
  <c r="Q195" i="2"/>
  <c r="Q196" i="2"/>
  <c r="S194" i="2"/>
  <c r="S193" i="2"/>
  <c r="S159" i="2"/>
  <c r="Q159" i="2"/>
  <c r="Q160" i="2"/>
  <c r="S160" i="2"/>
  <c r="Q189" i="2"/>
  <c r="Q190" i="2"/>
  <c r="Q191" i="2"/>
  <c r="Q192" i="2"/>
  <c r="S190" i="2"/>
  <c r="S189" i="2"/>
  <c r="Q185" i="2"/>
  <c r="Q186" i="2"/>
  <c r="Q187" i="2"/>
  <c r="Q188" i="2"/>
  <c r="S186" i="2"/>
  <c r="S185" i="2"/>
  <c r="Q181" i="2"/>
  <c r="Q182" i="2"/>
  <c r="Q183" i="2"/>
  <c r="Q184" i="2"/>
  <c r="S182" i="2"/>
  <c r="S181" i="2"/>
  <c r="Q177" i="2"/>
  <c r="Q178" i="2"/>
  <c r="Q179" i="2"/>
  <c r="Q180" i="2"/>
  <c r="S178" i="2"/>
  <c r="S177" i="2"/>
  <c r="Q173" i="2"/>
  <c r="Q174" i="2"/>
  <c r="Q175" i="2"/>
  <c r="Q176" i="2"/>
  <c r="S174" i="2"/>
  <c r="S173" i="2"/>
  <c r="Q169" i="2"/>
  <c r="Q170" i="2"/>
  <c r="Q171" i="2"/>
  <c r="Q172" i="2"/>
  <c r="S170" i="2"/>
  <c r="S169" i="2"/>
  <c r="Q165" i="2"/>
  <c r="Q166" i="2"/>
  <c r="Q167" i="2"/>
  <c r="Q168" i="2"/>
  <c r="S166" i="2"/>
  <c r="S165" i="2"/>
  <c r="Q161" i="2"/>
  <c r="Q162" i="2"/>
  <c r="Q163" i="2"/>
  <c r="Q164" i="2"/>
  <c r="S162" i="2"/>
  <c r="S161" i="2"/>
  <c r="Q155" i="2"/>
  <c r="Q156" i="2"/>
  <c r="Q157" i="2"/>
  <c r="Q158" i="2"/>
  <c r="S156" i="2"/>
  <c r="S155" i="2"/>
  <c r="Q151" i="2"/>
  <c r="Q152" i="2"/>
  <c r="Q153" i="2"/>
  <c r="Q154" i="2"/>
  <c r="S152" i="2"/>
  <c r="S151" i="2"/>
  <c r="Q147" i="2"/>
  <c r="Q148" i="2"/>
  <c r="Q149" i="2"/>
  <c r="Q150" i="2"/>
  <c r="S148" i="2"/>
  <c r="S147" i="2"/>
  <c r="Q143" i="2"/>
  <c r="Q144" i="2"/>
  <c r="Q145" i="2"/>
  <c r="Q146" i="2"/>
  <c r="S144" i="2"/>
  <c r="S143" i="2"/>
  <c r="Q139" i="2"/>
  <c r="Q140" i="2"/>
  <c r="Q141" i="2"/>
  <c r="Q142" i="2"/>
  <c r="S140" i="2"/>
  <c r="S139" i="2"/>
  <c r="Q135" i="2"/>
  <c r="Q136" i="2"/>
  <c r="Q137" i="2"/>
  <c r="Q138" i="2"/>
  <c r="S136" i="2"/>
  <c r="S135" i="2"/>
  <c r="Q131" i="2"/>
  <c r="Q132" i="2"/>
  <c r="Q133" i="2"/>
  <c r="S132" i="2"/>
  <c r="S131" i="2"/>
  <c r="Q128" i="2"/>
  <c r="Q129" i="2"/>
  <c r="Q130" i="2"/>
  <c r="S129" i="2"/>
  <c r="S128" i="2"/>
  <c r="Q125" i="2"/>
  <c r="Q126" i="2"/>
  <c r="Q127" i="2"/>
  <c r="S126" i="2"/>
  <c r="S125" i="2"/>
  <c r="Q122" i="2"/>
  <c r="Q123" i="2"/>
  <c r="Q124" i="2"/>
  <c r="S123" i="2"/>
  <c r="S122" i="2"/>
  <c r="Q119" i="2"/>
  <c r="Q120" i="2"/>
  <c r="Q121" i="2"/>
  <c r="S120" i="2"/>
  <c r="S119" i="2"/>
  <c r="Q116" i="2"/>
  <c r="Q117" i="2"/>
  <c r="Q118" i="2"/>
  <c r="S117" i="2"/>
  <c r="S116" i="2"/>
  <c r="Q113" i="2"/>
  <c r="Q114" i="2"/>
  <c r="Q115" i="2"/>
  <c r="S114" i="2"/>
  <c r="S113" i="2"/>
  <c r="Q107" i="2"/>
  <c r="Q108" i="2"/>
  <c r="Q109" i="2"/>
  <c r="S108" i="2"/>
  <c r="S107" i="2"/>
  <c r="Q104" i="2"/>
  <c r="Q105" i="2"/>
  <c r="Q106" i="2"/>
  <c r="S105" i="2"/>
  <c r="S104" i="2"/>
  <c r="Q101" i="2"/>
  <c r="Q102" i="2"/>
  <c r="Q103" i="2"/>
  <c r="S102" i="2"/>
  <c r="S101" i="2"/>
  <c r="Q98" i="2"/>
  <c r="Q99" i="2"/>
  <c r="Q100" i="2"/>
  <c r="S99" i="2"/>
  <c r="S98" i="2"/>
  <c r="Q95" i="2"/>
  <c r="Q96" i="2"/>
  <c r="Q97" i="2"/>
  <c r="S96" i="2"/>
  <c r="S95" i="2"/>
  <c r="Q92" i="2"/>
  <c r="Q93" i="2"/>
  <c r="Q94" i="2"/>
  <c r="S93" i="2"/>
  <c r="S92" i="2"/>
  <c r="Q89" i="2"/>
  <c r="Q90" i="2"/>
  <c r="Q91" i="2"/>
  <c r="S90" i="2"/>
  <c r="S89" i="2"/>
  <c r="Q86" i="2"/>
  <c r="Q87" i="2"/>
  <c r="Q88" i="2"/>
  <c r="S87" i="2"/>
  <c r="S86" i="2"/>
  <c r="Q83" i="2"/>
  <c r="Q84" i="2"/>
  <c r="Q85" i="2"/>
  <c r="S84" i="2"/>
  <c r="S110" i="2"/>
  <c r="S83" i="2"/>
  <c r="S51" i="2"/>
  <c r="R316" i="2"/>
  <c r="R315" i="2"/>
  <c r="R314" i="2"/>
  <c r="R313" i="2"/>
  <c r="R312" i="2"/>
  <c r="R311" i="2"/>
  <c r="R310" i="2"/>
  <c r="R309" i="2"/>
  <c r="R308" i="2"/>
  <c r="R307" i="2"/>
  <c r="R306" i="2"/>
  <c r="R305" i="2"/>
  <c r="R304" i="2"/>
  <c r="R303" i="2"/>
  <c r="R302" i="2"/>
  <c r="R301" i="2"/>
  <c r="R300" i="2"/>
  <c r="R299" i="2"/>
  <c r="R298" i="2"/>
  <c r="R297" i="2"/>
  <c r="R296" i="2"/>
  <c r="R295" i="2"/>
  <c r="R294" i="2"/>
  <c r="R293" i="2"/>
  <c r="R292" i="2"/>
  <c r="R291" i="2"/>
  <c r="R290" i="2"/>
  <c r="R289" i="2"/>
  <c r="R288" i="2"/>
  <c r="R287" i="2"/>
  <c r="R286" i="2"/>
  <c r="R285" i="2"/>
  <c r="R284" i="2"/>
  <c r="R283" i="2"/>
  <c r="R282" i="2"/>
  <c r="R281" i="2"/>
  <c r="R280" i="2"/>
  <c r="R279" i="2"/>
  <c r="R278" i="2"/>
  <c r="R277" i="2"/>
  <c r="R276" i="2"/>
  <c r="R275" i="2"/>
  <c r="R274" i="2"/>
  <c r="R273" i="2"/>
  <c r="R272" i="2"/>
  <c r="R271" i="2"/>
  <c r="R270" i="2"/>
  <c r="R269" i="2"/>
  <c r="R268" i="2"/>
  <c r="R267" i="2"/>
  <c r="R266" i="2"/>
  <c r="R265" i="2"/>
  <c r="R264" i="2"/>
  <c r="R263" i="2"/>
  <c r="R262" i="2"/>
  <c r="R261" i="2"/>
  <c r="R260" i="2"/>
  <c r="R259" i="2"/>
  <c r="R258" i="2"/>
  <c r="R257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Q134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Q112" i="2"/>
  <c r="R112" i="2"/>
  <c r="Q111" i="2"/>
  <c r="R111" i="2"/>
  <c r="Q110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Q82" i="2"/>
  <c r="R82" i="2"/>
  <c r="Q81" i="2"/>
  <c r="R81" i="2"/>
  <c r="Q80" i="2"/>
  <c r="R80" i="2"/>
  <c r="Q79" i="2"/>
  <c r="R79" i="2"/>
  <c r="Q78" i="2"/>
  <c r="R78" i="2"/>
  <c r="Q77" i="2"/>
  <c r="R77" i="2"/>
  <c r="Q76" i="2"/>
  <c r="R76" i="2"/>
  <c r="Q75" i="2"/>
  <c r="R75" i="2"/>
  <c r="Q74" i="2"/>
  <c r="R74" i="2"/>
  <c r="Q73" i="2"/>
  <c r="R73" i="2"/>
  <c r="Q72" i="2"/>
  <c r="R72" i="2"/>
  <c r="Q71" i="2"/>
  <c r="R71" i="2"/>
  <c r="Q70" i="2"/>
  <c r="R70" i="2"/>
  <c r="Q69" i="2"/>
  <c r="R69" i="2"/>
  <c r="Q68" i="2"/>
  <c r="R68" i="2"/>
  <c r="Q67" i="2"/>
  <c r="R67" i="2"/>
  <c r="Q66" i="2"/>
  <c r="R66" i="2"/>
  <c r="Q65" i="2"/>
  <c r="R65" i="2"/>
  <c r="Q64" i="2"/>
  <c r="R64" i="2"/>
  <c r="Q63" i="2"/>
  <c r="R63" i="2"/>
  <c r="Q62" i="2"/>
  <c r="R62" i="2"/>
  <c r="Q61" i="2"/>
  <c r="R61" i="2"/>
  <c r="Q60" i="2"/>
  <c r="R60" i="2"/>
  <c r="Q59" i="2"/>
  <c r="R59" i="2"/>
  <c r="Q58" i="2"/>
  <c r="R58" i="2"/>
  <c r="Q57" i="2"/>
  <c r="R57" i="2"/>
  <c r="Q56" i="2"/>
  <c r="R56" i="2"/>
  <c r="Q55" i="2"/>
  <c r="R55" i="2"/>
  <c r="Q54" i="2"/>
  <c r="R54" i="2"/>
  <c r="Q53" i="2"/>
  <c r="R53" i="2"/>
  <c r="Q52" i="2"/>
  <c r="R52" i="2"/>
  <c r="Q51" i="2"/>
  <c r="R51" i="2"/>
  <c r="Q50" i="2"/>
  <c r="R50" i="2"/>
  <c r="Q49" i="2"/>
  <c r="R49" i="2"/>
  <c r="Q48" i="2"/>
  <c r="R48" i="2"/>
  <c r="Q47" i="2"/>
  <c r="R47" i="2"/>
  <c r="Q46" i="2"/>
  <c r="R46" i="2"/>
  <c r="Q45" i="2"/>
  <c r="R45" i="2"/>
  <c r="Q44" i="2"/>
  <c r="R44" i="2"/>
  <c r="Q43" i="2"/>
  <c r="R43" i="2"/>
  <c r="Q42" i="2"/>
  <c r="R42" i="2"/>
  <c r="Q41" i="2"/>
  <c r="R41" i="2"/>
  <c r="Q40" i="2"/>
  <c r="R40" i="2"/>
  <c r="Q39" i="2"/>
  <c r="R39" i="2"/>
  <c r="Q38" i="2"/>
  <c r="R38" i="2"/>
  <c r="Q37" i="2"/>
  <c r="R37" i="2"/>
  <c r="Q36" i="2"/>
  <c r="R36" i="2"/>
  <c r="Q35" i="2"/>
  <c r="R35" i="2"/>
  <c r="M191" i="1"/>
  <c r="M190" i="1"/>
  <c r="M189" i="1"/>
  <c r="M187" i="1"/>
  <c r="M186" i="1"/>
  <c r="M185" i="1"/>
  <c r="M183" i="1"/>
  <c r="M184" i="1"/>
  <c r="M181" i="1"/>
  <c r="M180" i="1"/>
  <c r="M179" i="1"/>
  <c r="M178" i="1"/>
  <c r="M177" i="1"/>
  <c r="M176" i="1"/>
  <c r="M175" i="1"/>
  <c r="M174" i="1"/>
  <c r="M170" i="1"/>
  <c r="M169" i="1"/>
  <c r="M173" i="1"/>
  <c r="M172" i="1"/>
  <c r="M171" i="1"/>
  <c r="M167" i="1"/>
  <c r="M168" i="1"/>
  <c r="M165" i="1"/>
  <c r="M158" i="1"/>
  <c r="M159" i="1"/>
  <c r="M164" i="1"/>
  <c r="M163" i="1"/>
  <c r="M162" i="1"/>
  <c r="M166" i="1"/>
  <c r="M161" i="1"/>
  <c r="M160" i="1"/>
  <c r="M155" i="1"/>
  <c r="M154" i="1"/>
  <c r="M153" i="1"/>
  <c r="M156" i="1"/>
  <c r="M157" i="1"/>
  <c r="M152" i="1"/>
  <c r="M151" i="1"/>
  <c r="M150" i="1"/>
  <c r="M147" i="1"/>
  <c r="M146" i="1"/>
  <c r="M148" i="1"/>
  <c r="M149" i="1"/>
  <c r="M145" i="1"/>
  <c r="M144" i="1"/>
  <c r="M143" i="1"/>
  <c r="M141" i="1"/>
  <c r="M142" i="1"/>
  <c r="M136" i="1"/>
  <c r="M139" i="1"/>
  <c r="M137" i="1"/>
  <c r="M138" i="1"/>
  <c r="M140" i="1"/>
  <c r="M135" i="1"/>
  <c r="M134" i="1"/>
  <c r="M133" i="1"/>
  <c r="M132" i="1"/>
  <c r="M131" i="1"/>
  <c r="M130" i="1"/>
  <c r="M128" i="1"/>
  <c r="M126" i="1"/>
  <c r="M127" i="1"/>
  <c r="M129" i="1"/>
  <c r="M124" i="1"/>
  <c r="M122" i="1"/>
  <c r="M123" i="1"/>
  <c r="M125" i="1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Q117" i="1"/>
  <c r="Q114" i="1"/>
  <c r="Q116" i="1"/>
  <c r="Q115" i="1"/>
  <c r="Q113" i="1"/>
  <c r="M106" i="1"/>
  <c r="M115" i="1"/>
  <c r="M113" i="1"/>
  <c r="M117" i="1"/>
  <c r="M114" i="1"/>
  <c r="M107" i="1"/>
  <c r="M110" i="1"/>
  <c r="U44" i="2"/>
  <c r="U24" i="2"/>
  <c r="D14" i="9"/>
  <c r="D16" i="9"/>
  <c r="D15" i="9"/>
  <c r="D18" i="9"/>
  <c r="D19" i="9"/>
  <c r="C18" i="9"/>
  <c r="C19" i="9"/>
  <c r="B18" i="9"/>
  <c r="B19" i="9"/>
  <c r="U34" i="2"/>
  <c r="W14" i="9"/>
  <c r="V15" i="9"/>
  <c r="V14" i="9"/>
  <c r="U33" i="2"/>
  <c r="U14" i="9"/>
  <c r="U32" i="2"/>
  <c r="T14" i="9"/>
  <c r="S15" i="9"/>
  <c r="U31" i="2"/>
  <c r="S14" i="9"/>
  <c r="U30" i="2"/>
  <c r="R14" i="9"/>
  <c r="Q15" i="9"/>
  <c r="U22" i="2"/>
  <c r="Q14" i="9"/>
  <c r="N15" i="9"/>
  <c r="U23" i="2"/>
  <c r="N14" i="9"/>
  <c r="M15" i="9"/>
  <c r="U26" i="2"/>
  <c r="M14" i="9"/>
  <c r="U20" i="2"/>
  <c r="L14" i="9"/>
  <c r="K15" i="9"/>
  <c r="U29" i="2"/>
  <c r="K14" i="9"/>
  <c r="J17" i="9"/>
  <c r="J15" i="9"/>
  <c r="J14" i="9"/>
  <c r="I17" i="9"/>
  <c r="I15" i="9"/>
  <c r="U21" i="2"/>
  <c r="I14" i="9"/>
  <c r="U27" i="2"/>
  <c r="H14" i="9"/>
  <c r="U25" i="2"/>
  <c r="F14" i="9"/>
  <c r="A6" i="9"/>
  <c r="A7" i="9"/>
  <c r="A8" i="9"/>
  <c r="A10" i="9"/>
  <c r="A11" i="9"/>
  <c r="A12" i="9"/>
  <c r="A14" i="9"/>
  <c r="E14" i="9"/>
  <c r="A15" i="9"/>
  <c r="E15" i="9"/>
  <c r="A16" i="9"/>
  <c r="E16" i="9"/>
  <c r="E18" i="9"/>
  <c r="F18" i="9"/>
  <c r="G14" i="9"/>
  <c r="G15" i="9"/>
  <c r="G16" i="9"/>
  <c r="G18" i="9"/>
  <c r="H15" i="9"/>
  <c r="H16" i="9"/>
  <c r="H18" i="9"/>
  <c r="I18" i="9"/>
  <c r="J18" i="9"/>
  <c r="K16" i="9"/>
  <c r="K18" i="9"/>
  <c r="L15" i="9"/>
  <c r="L16" i="9"/>
  <c r="L18" i="9"/>
  <c r="M16" i="9"/>
  <c r="M18" i="9"/>
  <c r="N16" i="9"/>
  <c r="N18" i="9"/>
  <c r="O14" i="9"/>
  <c r="O15" i="9"/>
  <c r="O16" i="9"/>
  <c r="O18" i="9"/>
  <c r="P14" i="9"/>
  <c r="P15" i="9"/>
  <c r="P16" i="9"/>
  <c r="P18" i="9"/>
  <c r="Q16" i="9"/>
  <c r="Q18" i="9"/>
  <c r="R15" i="9"/>
  <c r="R16" i="9"/>
  <c r="R18" i="9"/>
  <c r="S16" i="9"/>
  <c r="S18" i="9"/>
  <c r="T15" i="9"/>
  <c r="T16" i="9"/>
  <c r="T18" i="9"/>
  <c r="U15" i="9"/>
  <c r="U16" i="9"/>
  <c r="U18" i="9"/>
  <c r="V16" i="9"/>
  <c r="V18" i="9"/>
  <c r="W15" i="9"/>
  <c r="W16" i="9"/>
  <c r="W18" i="9"/>
  <c r="X14" i="9"/>
  <c r="X15" i="9"/>
  <c r="X16" i="9"/>
  <c r="X18" i="9"/>
  <c r="Y14" i="9"/>
  <c r="Y15" i="9"/>
  <c r="Y16" i="9"/>
  <c r="Y18" i="9"/>
  <c r="A22" i="9"/>
  <c r="A23" i="9"/>
  <c r="A24" i="9"/>
  <c r="A26" i="9"/>
  <c r="A27" i="9"/>
  <c r="A28" i="9"/>
  <c r="A30" i="9"/>
  <c r="A31" i="9"/>
  <c r="A32" i="9"/>
  <c r="A34" i="9"/>
  <c r="A35" i="9"/>
  <c r="A36" i="9"/>
  <c r="A37" i="9"/>
  <c r="A40" i="9"/>
  <c r="A41" i="9"/>
  <c r="A42" i="9"/>
  <c r="A44" i="9"/>
  <c r="A45" i="9"/>
  <c r="A46" i="9"/>
  <c r="A47" i="9"/>
  <c r="A49" i="9"/>
  <c r="A50" i="9"/>
  <c r="A51" i="9"/>
  <c r="A53" i="9"/>
  <c r="A54" i="9"/>
  <c r="A55" i="9"/>
  <c r="A56" i="9"/>
  <c r="A58" i="9"/>
  <c r="A59" i="9"/>
  <c r="A60" i="9"/>
  <c r="A62" i="9"/>
  <c r="A63" i="9"/>
  <c r="A64" i="9"/>
  <c r="A66" i="9"/>
  <c r="A67" i="9"/>
  <c r="A68" i="9"/>
  <c r="A69" i="9"/>
  <c r="A71" i="9"/>
  <c r="A72" i="9"/>
  <c r="A73" i="9"/>
  <c r="A74" i="9"/>
  <c r="A76" i="9"/>
  <c r="A77" i="9"/>
  <c r="A78" i="9"/>
  <c r="A80" i="9"/>
  <c r="A81" i="9"/>
  <c r="A82" i="9"/>
  <c r="A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B83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D82" i="9"/>
  <c r="C82" i="9"/>
  <c r="B82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D81" i="9"/>
  <c r="C81" i="9"/>
  <c r="B81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D80" i="9"/>
  <c r="C80" i="9"/>
  <c r="B80" i="9"/>
  <c r="Y78" i="9"/>
  <c r="X78" i="9"/>
  <c r="W78" i="9"/>
  <c r="V78" i="9"/>
  <c r="U78" i="9"/>
  <c r="T78" i="9"/>
  <c r="S78" i="9"/>
  <c r="R78" i="9"/>
  <c r="Q78" i="9"/>
  <c r="P78" i="9"/>
  <c r="O78" i="9"/>
  <c r="N78" i="9"/>
  <c r="M78" i="9"/>
  <c r="L78" i="9"/>
  <c r="K78" i="9"/>
  <c r="J78" i="9"/>
  <c r="I78" i="9"/>
  <c r="H78" i="9"/>
  <c r="G78" i="9"/>
  <c r="F78" i="9"/>
  <c r="E78" i="9"/>
  <c r="D78" i="9"/>
  <c r="C78" i="9"/>
  <c r="B78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B77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B73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B67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D63" i="9"/>
  <c r="C63" i="9"/>
  <c r="B63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B60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B56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B55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B53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C51" i="9"/>
  <c r="B51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C50" i="9"/>
  <c r="B50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B49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B46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B45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C16" i="9"/>
  <c r="B16" i="9"/>
  <c r="C15" i="9"/>
  <c r="B15" i="9"/>
  <c r="C14" i="9"/>
  <c r="B14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H12" i="7"/>
  <c r="H11" i="7"/>
  <c r="H9" i="7"/>
  <c r="H8" i="7"/>
  <c r="H7" i="7"/>
  <c r="H6" i="7"/>
  <c r="H5" i="7"/>
  <c r="H4" i="7"/>
  <c r="H3" i="7"/>
  <c r="H2" i="7"/>
  <c r="H10" i="7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1" i="1"/>
  <c r="Q189" i="1"/>
  <c r="Q187" i="1"/>
  <c r="Q186" i="1"/>
  <c r="Q185" i="1"/>
  <c r="Q183" i="1"/>
  <c r="Q184" i="1"/>
  <c r="Q181" i="1"/>
  <c r="Q180" i="1"/>
  <c r="Q179" i="1"/>
  <c r="Q178" i="1"/>
  <c r="Q177" i="1"/>
  <c r="Q176" i="1"/>
  <c r="Q168" i="1"/>
  <c r="Q165" i="1"/>
  <c r="Q158" i="1"/>
  <c r="Q159" i="1"/>
  <c r="Q164" i="1"/>
  <c r="Q163" i="1"/>
  <c r="Q162" i="1"/>
  <c r="Q166" i="1"/>
  <c r="Q161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21" i="1"/>
  <c r="M120" i="1"/>
  <c r="M119" i="1"/>
  <c r="M118" i="1"/>
  <c r="M111" i="1"/>
  <c r="M112" i="1"/>
  <c r="M116" i="1"/>
  <c r="Q160" i="1"/>
  <c r="Q155" i="1"/>
  <c r="Q154" i="1"/>
  <c r="Q153" i="1"/>
  <c r="Q156" i="1"/>
  <c r="Q157" i="1"/>
  <c r="Q152" i="1"/>
  <c r="Q151" i="1"/>
  <c r="Q150" i="1"/>
  <c r="Q147" i="1"/>
  <c r="Q146" i="1"/>
  <c r="Q148" i="1"/>
  <c r="Q149" i="1"/>
  <c r="Q145" i="1"/>
  <c r="Q144" i="1"/>
  <c r="Q143" i="1"/>
  <c r="Q141" i="1"/>
  <c r="Q142" i="1"/>
  <c r="Q136" i="1"/>
  <c r="Q139" i="1"/>
  <c r="Q137" i="1"/>
  <c r="Q138" i="1"/>
  <c r="Q140" i="1"/>
  <c r="Q135" i="1"/>
  <c r="Q134" i="1"/>
  <c r="Q133" i="1"/>
  <c r="Q132" i="1"/>
  <c r="Q131" i="1"/>
  <c r="Q130" i="1"/>
  <c r="Q128" i="1"/>
  <c r="Q126" i="1"/>
  <c r="Q127" i="1"/>
  <c r="Q129" i="1"/>
  <c r="Q124" i="1"/>
  <c r="Q122" i="1"/>
  <c r="Q123" i="1"/>
  <c r="Q125" i="1"/>
  <c r="Q121" i="1"/>
  <c r="Q120" i="1"/>
  <c r="Q119" i="1"/>
  <c r="Q118" i="1"/>
  <c r="Q111" i="1"/>
  <c r="Q112" i="1"/>
  <c r="Q106" i="1"/>
  <c r="Q107" i="1"/>
  <c r="Q103" i="1"/>
  <c r="Q99" i="1"/>
  <c r="Q98" i="1"/>
  <c r="Q101" i="1"/>
  <c r="Q100" i="1"/>
  <c r="Q97" i="1"/>
  <c r="Q86" i="1"/>
  <c r="Q94" i="1"/>
  <c r="Q93" i="1"/>
  <c r="Q92" i="1"/>
  <c r="Q91" i="1"/>
  <c r="Q90" i="1"/>
  <c r="Q89" i="1"/>
  <c r="M105" i="1"/>
  <c r="M103" i="1"/>
  <c r="M104" i="1"/>
  <c r="M102" i="1"/>
  <c r="M99" i="1"/>
  <c r="M98" i="1"/>
  <c r="M101" i="1"/>
  <c r="M100" i="1"/>
  <c r="M97" i="1"/>
  <c r="M86" i="1"/>
  <c r="Q88" i="1"/>
  <c r="Q87" i="1"/>
  <c r="Q95" i="1"/>
  <c r="M96" i="1"/>
  <c r="Q96" i="1"/>
  <c r="Q85" i="1"/>
  <c r="Q79" i="1"/>
  <c r="Q82" i="1"/>
  <c r="Q81" i="1"/>
  <c r="Q80" i="1"/>
  <c r="Q83" i="1"/>
  <c r="Q84" i="1"/>
  <c r="M79" i="1"/>
  <c r="M85" i="1"/>
  <c r="M95" i="1"/>
  <c r="M87" i="1"/>
  <c r="M88" i="1"/>
  <c r="M89" i="1"/>
  <c r="M90" i="1"/>
  <c r="M91" i="1"/>
  <c r="M92" i="1"/>
  <c r="M93" i="1"/>
  <c r="M94" i="1"/>
  <c r="M83" i="1"/>
  <c r="M80" i="1"/>
  <c r="M81" i="1"/>
  <c r="M82" i="1"/>
  <c r="M84" i="1"/>
  <c r="V20" i="2"/>
  <c r="V21" i="2"/>
  <c r="V34" i="2"/>
  <c r="V33" i="2"/>
  <c r="V32" i="2"/>
  <c r="V31" i="2"/>
  <c r="V30" i="2"/>
  <c r="V29" i="2"/>
  <c r="V27" i="2"/>
  <c r="V26" i="2"/>
  <c r="V25" i="2"/>
  <c r="V24" i="2"/>
  <c r="V23" i="2"/>
  <c r="V22" i="2"/>
  <c r="Q76" i="1"/>
  <c r="Q75" i="1"/>
  <c r="Q74" i="1"/>
  <c r="Q77" i="1"/>
  <c r="Q78" i="1"/>
  <c r="Q73" i="1"/>
  <c r="Q71" i="1"/>
  <c r="Q69" i="1"/>
  <c r="Q72" i="1"/>
  <c r="M74" i="1"/>
  <c r="M77" i="1"/>
  <c r="M78" i="1"/>
  <c r="M73" i="1"/>
  <c r="M71" i="1"/>
  <c r="M69" i="1"/>
  <c r="M72" i="1"/>
  <c r="Q67" i="1"/>
  <c r="M67" i="1"/>
  <c r="Q68" i="1"/>
  <c r="M68" i="1"/>
  <c r="Q70" i="1"/>
  <c r="Q66" i="1"/>
  <c r="M66" i="1"/>
  <c r="U18" i="2"/>
  <c r="V18" i="2"/>
  <c r="U17" i="2"/>
  <c r="V17" i="2"/>
  <c r="U16" i="2"/>
  <c r="V16" i="2"/>
  <c r="U14" i="2"/>
  <c r="V14" i="2"/>
  <c r="U13" i="2"/>
  <c r="V13" i="2"/>
  <c r="U12" i="2"/>
  <c r="V12" i="2"/>
  <c r="U11" i="2"/>
  <c r="V11" i="2"/>
  <c r="V10" i="2"/>
  <c r="V9" i="2"/>
  <c r="U8" i="2"/>
  <c r="V8" i="2"/>
  <c r="V7" i="2"/>
  <c r="V6" i="2"/>
  <c r="U5" i="2"/>
  <c r="V5" i="2"/>
  <c r="V4" i="2"/>
  <c r="V3" i="2"/>
  <c r="U2" i="2"/>
  <c r="V2" i="2"/>
  <c r="Q39" i="1"/>
  <c r="Q60" i="1"/>
  <c r="Q59" i="1"/>
  <c r="Q62" i="1"/>
  <c r="Q61" i="1"/>
  <c r="Q58" i="1"/>
  <c r="Q57" i="1"/>
  <c r="Q56" i="1"/>
  <c r="Q55" i="1"/>
  <c r="Q54" i="1"/>
  <c r="Q53" i="1"/>
  <c r="Q52" i="1"/>
  <c r="Q45" i="1"/>
  <c r="Q44" i="1"/>
  <c r="Q43" i="1"/>
  <c r="Q40" i="1"/>
  <c r="Q42" i="1"/>
  <c r="Q38" i="1"/>
  <c r="Q37" i="1"/>
  <c r="Q46" i="1"/>
  <c r="Q51" i="1"/>
  <c r="Q50" i="1"/>
  <c r="Q65" i="1"/>
  <c r="Q64" i="1"/>
  <c r="Q63" i="1"/>
  <c r="Q49" i="1"/>
  <c r="Q48" i="1"/>
  <c r="Q47" i="1"/>
  <c r="Q41" i="1"/>
  <c r="M36" i="1"/>
</calcChain>
</file>

<file path=xl/comments1.xml><?xml version="1.0" encoding="utf-8"?>
<comments xmlns="http://schemas.openxmlformats.org/spreadsheetml/2006/main">
  <authors>
    <author>Laura Spencer</author>
  </authors>
  <commentList>
    <comment ref="Q42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Did I mis-lable this? Probably- SN-10 Low A is the only other extra larvae from 5/20
</t>
        </r>
      </text>
    </comment>
    <comment ref="Q44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Where did this larvae go?</t>
        </r>
      </text>
    </comment>
    <comment ref="A63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Screened larvae, re-counted stocking densities in buckets
</t>
        </r>
      </text>
    </comment>
  </commentList>
</comments>
</file>

<file path=xl/comments2.xml><?xml version="1.0" encoding="utf-8"?>
<comments xmlns="http://schemas.openxmlformats.org/spreadsheetml/2006/main">
  <authors>
    <author>Laura Spencer</author>
  </authors>
  <commentList>
    <comment ref="D822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180's put into setting tank</t>
        </r>
      </text>
    </comment>
    <comment ref="D823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no 100's not re-stocked</t>
        </r>
      </text>
    </comment>
    <comment ref="D842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180's put into setting tank</t>
        </r>
      </text>
    </comment>
    <comment ref="D843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No 100's, not restocked</t>
        </r>
      </text>
    </comment>
    <comment ref="D854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180's into setting tank</t>
        </r>
      </text>
    </comment>
    <comment ref="D855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no 100's, not restocked</t>
        </r>
      </text>
    </comment>
    <comment ref="D857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Grace, Olivia &amp; Kaitlin swapped labels on NF10 Amb &amp; HL10 Low. This data is corrected. On 7/20 I realized the mistake, and threw out the NF10 Amb. 224 silo, and started new HL10 Low silo.</t>
        </r>
      </text>
    </comment>
    <comment ref="D862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180's into setting tank</t>
        </r>
      </text>
    </comment>
    <comment ref="D863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no 100's, not restocked</t>
        </r>
      </text>
    </comment>
    <comment ref="P882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180's into setting tank, but then threw out due to mistaken labeling on 7/17</t>
        </r>
      </text>
    </comment>
    <comment ref="P898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Into HL6 Low setting tank</t>
        </r>
      </text>
    </comment>
  </commentList>
</comments>
</file>

<file path=xl/comments3.xml><?xml version="1.0" encoding="utf-8"?>
<comments xmlns="http://schemas.openxmlformats.org/spreadsheetml/2006/main">
  <authors>
    <author>Laura Spencer</author>
  </authors>
  <commentList>
    <comment ref="I98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Spilled 180um tripour; lost likely most of these larvae. Need to correct.</t>
        </r>
      </text>
    </comment>
    <comment ref="J102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Found HL-6 Ambient back pipe had popped open, so I lost some larvae. Need to compare # larvae in buckets  from stocking on 6/29 &amp; counts on 7/3 (live/dead)</t>
        </r>
      </text>
    </comment>
  </commentList>
</comments>
</file>

<file path=xl/comments4.xml><?xml version="1.0" encoding="utf-8"?>
<comments xmlns="http://schemas.openxmlformats.org/spreadsheetml/2006/main">
  <authors>
    <author>Laura Spencer</author>
  </authors>
  <commentList>
    <comment ref="S117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Smaller one attached to this one 
</t>
        </r>
      </text>
    </comment>
  </commentList>
</comments>
</file>

<file path=xl/sharedStrings.xml><?xml version="1.0" encoding="utf-8"?>
<sst xmlns="http://schemas.openxmlformats.org/spreadsheetml/2006/main" count="3858" uniqueCount="482">
  <si>
    <t>Date collected</t>
  </si>
  <si>
    <t>Group</t>
  </si>
  <si>
    <t>Plate #</t>
  </si>
  <si>
    <t>Vol. for count (mL)</t>
  </si>
  <si>
    <t>Total Vol (mL)</t>
  </si>
  <si>
    <t>Count A</t>
  </si>
  <si>
    <t>Count B</t>
  </si>
  <si>
    <t>Count C</t>
  </si>
  <si>
    <t>Larvae / mL</t>
  </si>
  <si>
    <t># Larvae Collected</t>
  </si>
  <si>
    <t>Bucket #</t>
  </si>
  <si>
    <t># larvae to stock</t>
  </si>
  <si>
    <t>Volume to Stock</t>
  </si>
  <si>
    <t>Volume actually stocked</t>
  </si>
  <si>
    <t># Larvae actually stocked</t>
  </si>
  <si>
    <t>Sample Vial #</t>
  </si>
  <si>
    <t>Date Imaged</t>
  </si>
  <si>
    <t>K-10 Ambient</t>
  </si>
  <si>
    <t>n/a</t>
  </si>
  <si>
    <t>Larvae released 9 days post-segregation; cannot keep these larvae b/c their genitors are unknown</t>
  </si>
  <si>
    <t>K-10 Low</t>
  </si>
  <si>
    <t>HL-6 Low</t>
  </si>
  <si>
    <t>Larvae had been in static catchment bucket for ~24hrs; didn't look good</t>
  </si>
  <si>
    <t>SN-10 Ambient B</t>
  </si>
  <si>
    <t>SN-10 Low A</t>
  </si>
  <si>
    <t>SN-6 Ambient A</t>
  </si>
  <si>
    <t>Very frothy catchment bucket!</t>
  </si>
  <si>
    <t>SN-10 Ambient A</t>
  </si>
  <si>
    <t>Photo taken @ 1x, 2x &amp; 3x</t>
  </si>
  <si>
    <t>Photo taken @ 1x, 2x &amp; 3x - Inconsistent count reps</t>
  </si>
  <si>
    <t xml:space="preserve">K-6 Low </t>
  </si>
  <si>
    <t>NF-10 Ambient B</t>
  </si>
  <si>
    <t>None found in 5-gal bucket</t>
  </si>
  <si>
    <t>ignore A5 &amp; D6 on well plate #1</t>
  </si>
  <si>
    <t>SN-10 Low B</t>
  </si>
  <si>
    <t>From 5 gall bucket to see if any remained</t>
  </si>
  <si>
    <t>SN-6 Ambient B</t>
  </si>
  <si>
    <t xml:space="preserve">K-10 Low </t>
  </si>
  <si>
    <t>K-6 Ambient</t>
  </si>
  <si>
    <t>NF-6 Ambient B</t>
  </si>
  <si>
    <t>Larval rearing bucket - then on 5/20 put 80k (200mL of a 500mL total) into rearing bucket-combined w/ A</t>
  </si>
  <si>
    <t>All into rearing bucket</t>
  </si>
  <si>
    <t>Put 300 mL into rearing bucket - equals 110,000</t>
  </si>
  <si>
    <t>Put 500 mL into rearing bucket</t>
  </si>
  <si>
    <t>SN-6 Low A</t>
  </si>
  <si>
    <t xml:space="preserve">All into rearing bucket </t>
  </si>
  <si>
    <t>K-6 Low</t>
  </si>
  <si>
    <t>NF-10 Low B</t>
  </si>
  <si>
    <t>SN-6 Low B</t>
  </si>
  <si>
    <t>NF-10 Low A</t>
  </si>
  <si>
    <t>NF-6 Ambient A</t>
  </si>
  <si>
    <t>SN-6 low A</t>
  </si>
  <si>
    <t>Date Larvae Sampled</t>
  </si>
  <si>
    <t>2-A, 2-B</t>
  </si>
  <si>
    <t>4-A, 4-B</t>
  </si>
  <si>
    <t>1-A, 1-B- 1-C</t>
  </si>
  <si>
    <t xml:space="preserve">I had mixed remaining SN-6 Low A &amp; B on 5/21 </t>
  </si>
  <si>
    <t>3-A, 3-B</t>
  </si>
  <si>
    <t>I had mixed remaining SN-A Ambient A &amp; B on 5/21</t>
  </si>
  <si>
    <t>5-A</t>
  </si>
  <si>
    <t>6-A, 6-B</t>
  </si>
  <si>
    <t>7-A</t>
  </si>
  <si>
    <t>11-A</t>
  </si>
  <si>
    <t>12-A</t>
  </si>
  <si>
    <t>9-A</t>
  </si>
  <si>
    <t>8-A</t>
  </si>
  <si>
    <t>10-A</t>
  </si>
  <si>
    <t>Approx. larvae sampled</t>
  </si>
  <si>
    <t>Screen Size</t>
  </si>
  <si>
    <t># Larvae to add per day</t>
  </si>
  <si>
    <t>-</t>
  </si>
  <si>
    <t>K-10 Amb</t>
  </si>
  <si>
    <t>SN-6 Amb</t>
  </si>
  <si>
    <t>SN-10 Amb</t>
  </si>
  <si>
    <t>SN-10 Low</t>
  </si>
  <si>
    <t>x</t>
  </si>
  <si>
    <t xml:space="preserve">NF-10 Low </t>
  </si>
  <si>
    <t>SN-6 Low</t>
  </si>
  <si>
    <t xml:space="preserve">SN-10 Amb </t>
  </si>
  <si>
    <t xml:space="preserve">K-6 Amb </t>
  </si>
  <si>
    <t>Date</t>
  </si>
  <si>
    <t>To -&gt; Bucket #</t>
  </si>
  <si>
    <t>&lt;- From Bucket #</t>
  </si>
  <si>
    <t>NF-10 Low</t>
  </si>
  <si>
    <t>NF-10 Ambient</t>
  </si>
  <si>
    <t>NF-6 Ambient</t>
  </si>
  <si>
    <t>SN-10 Ambient</t>
  </si>
  <si>
    <t>SN-6 Ambient</t>
  </si>
  <si>
    <t>HL-10 Ambient</t>
  </si>
  <si>
    <t>14-A</t>
  </si>
  <si>
    <t>15-A</t>
  </si>
  <si>
    <t>13-A</t>
  </si>
  <si>
    <t>16-A</t>
  </si>
  <si>
    <t>17-A</t>
  </si>
  <si>
    <t>NF-10  Low A</t>
  </si>
  <si>
    <t>18-A</t>
  </si>
  <si>
    <t>Started new bucket</t>
  </si>
  <si>
    <t>NF-6 Low B</t>
  </si>
  <si>
    <t>NF-10 Ambient A</t>
  </si>
  <si>
    <t>19-A</t>
  </si>
  <si>
    <t>NF-6 Amb</t>
  </si>
  <si>
    <t>20-A</t>
  </si>
  <si>
    <t xml:space="preserve">NF-6 Amb </t>
  </si>
  <si>
    <t xml:space="preserve">SN-6 Amb </t>
  </si>
  <si>
    <t>NF-10 Amb</t>
  </si>
  <si>
    <t>NF-6 Low</t>
  </si>
  <si>
    <t>K-6 Amb</t>
  </si>
  <si>
    <t>HL-10 Amb</t>
  </si>
  <si>
    <t>21-A</t>
  </si>
  <si>
    <t>HL-10 Low</t>
  </si>
  <si>
    <t>22-A</t>
  </si>
  <si>
    <t>23-A</t>
  </si>
  <si>
    <t>24-A</t>
  </si>
  <si>
    <t>25-A</t>
  </si>
  <si>
    <t>26-A</t>
  </si>
  <si>
    <t>Banjo was not placed on 5/26; lots of larvae added that day likely went down drain (although there was quite a big on the bottom still). Added 2x the daily allotment.</t>
  </si>
  <si>
    <t>27-A</t>
  </si>
  <si>
    <t>Afternoon spawn</t>
  </si>
  <si>
    <t>28-A</t>
  </si>
  <si>
    <t>HL-6 Ambient</t>
  </si>
  <si>
    <t>Total larvae released to date</t>
  </si>
  <si>
    <t>NF-6 Low A</t>
  </si>
  <si>
    <t># Animals in each group</t>
  </si>
  <si>
    <t>Larval Spawn Table</t>
  </si>
  <si>
    <t>29-A</t>
  </si>
  <si>
    <t>Too Dirty</t>
  </si>
  <si>
    <t>30-A</t>
  </si>
  <si>
    <t>Too much debris that couldn't be filtered out; sampled instead of stocked</t>
  </si>
  <si>
    <t>Count 1</t>
  </si>
  <si>
    <t>Count 2</t>
  </si>
  <si>
    <t>Empty</t>
  </si>
  <si>
    <t>Average</t>
  </si>
  <si>
    <t>Concentration</t>
  </si>
  <si>
    <t xml:space="preserve">Dosing Rate </t>
  </si>
  <si>
    <t xml:space="preserve">HL-10 Low </t>
  </si>
  <si>
    <t xml:space="preserve">SN-10 Low </t>
  </si>
  <si>
    <t>SN-10 Amnient</t>
  </si>
  <si>
    <t>Treatment Group</t>
  </si>
  <si>
    <t xml:space="preserve">NF-10 Low B </t>
  </si>
  <si>
    <t xml:space="preserve">Total </t>
  </si>
  <si>
    <t>Survival Rate</t>
  </si>
  <si>
    <t>Count A Live</t>
  </si>
  <si>
    <t>Count A Dead</t>
  </si>
  <si>
    <t>Count B Live</t>
  </si>
  <si>
    <t>Count B Dead</t>
  </si>
  <si>
    <t>Count C Live</t>
  </si>
  <si>
    <t>Count C Dead</t>
  </si>
  <si>
    <t>31-A</t>
  </si>
  <si>
    <t>32-A</t>
  </si>
  <si>
    <t>33-A</t>
  </si>
  <si>
    <t>34-A</t>
  </si>
  <si>
    <t>35-A</t>
  </si>
  <si>
    <t>Rest of larvae used in a 2-bucket flow-through experiment to see how many larvae make it to the 2nd bucket after 48 hrs</t>
  </si>
  <si>
    <t>36-A</t>
  </si>
  <si>
    <t>37-A</t>
  </si>
  <si>
    <t>38-A</t>
  </si>
  <si>
    <t>39-A</t>
  </si>
  <si>
    <t>40-A</t>
  </si>
  <si>
    <t>41-A</t>
  </si>
  <si>
    <t>42-A</t>
  </si>
  <si>
    <t>Bucket, for 2-flow</t>
  </si>
  <si>
    <t>?</t>
  </si>
  <si>
    <t># Live Larvae</t>
  </si>
  <si>
    <t>separate 2g bucket</t>
  </si>
  <si>
    <t>43-A</t>
  </si>
  <si>
    <t>started new bucket</t>
  </si>
  <si>
    <t>44-A</t>
  </si>
  <si>
    <t>45-A</t>
  </si>
  <si>
    <t>46-A</t>
  </si>
  <si>
    <t>47-A</t>
  </si>
  <si>
    <t>Bucket #9 =  the small SN-10 Low bucket that I held on to after the 2-bucket challenge</t>
  </si>
  <si>
    <t>3?</t>
  </si>
  <si>
    <t>From the small K-10 Low bucket that I had held on to after the 2-bucket challenge</t>
  </si>
  <si>
    <t>Several dead, not active, looks like ciliate activity. Did not add to bucket.</t>
  </si>
  <si>
    <t>48-A</t>
  </si>
  <si>
    <t>49-A</t>
  </si>
  <si>
    <t>50-A</t>
  </si>
  <si>
    <t xml:space="preserve">Average oyster length </t>
  </si>
  <si>
    <t>Average oyster weight</t>
  </si>
  <si>
    <t>51-A</t>
  </si>
  <si>
    <t>52-A</t>
  </si>
  <si>
    <t>53-A</t>
  </si>
  <si>
    <t>54-A</t>
  </si>
  <si>
    <t>55-A</t>
  </si>
  <si>
    <t>56-A</t>
  </si>
  <si>
    <t>57-A</t>
  </si>
  <si>
    <t>58-A</t>
  </si>
  <si>
    <t>Saw 4 larvae, put back in culture bucket</t>
  </si>
  <si>
    <t>"1 new" or 9</t>
  </si>
  <si>
    <t>Not healthy, not stocked. Very few larvae in sample</t>
  </si>
  <si>
    <t>Not healthy, not stocked.</t>
  </si>
  <si>
    <t>59-A</t>
  </si>
  <si>
    <t>60-A</t>
  </si>
  <si>
    <t>61-A</t>
  </si>
  <si>
    <t>62-A</t>
  </si>
  <si>
    <t>63-A</t>
  </si>
  <si>
    <t>64-A</t>
  </si>
  <si>
    <t xml:space="preserve">Visually saw a few larvae, but negligiable amount. Stocked them. </t>
  </si>
  <si>
    <t>65-A</t>
  </si>
  <si>
    <t>66-A</t>
  </si>
  <si>
    <t>67-A</t>
  </si>
  <si>
    <t>68-A</t>
  </si>
  <si>
    <t>69-A</t>
  </si>
  <si>
    <t>100 Morts</t>
  </si>
  <si>
    <t>Vol Samp for Count</t>
  </si>
  <si>
    <t># Larvae Stocked Total</t>
  </si>
  <si>
    <t>Tripour Volume total estimated from memory</t>
  </si>
  <si>
    <t>*36</t>
  </si>
  <si>
    <t>Missed well partially on well #3, lost a drop</t>
  </si>
  <si>
    <t>These were mis-labeled as SN-10 Low, and the 224's were stocked in the SN-10 Low downwelling setting tank.  The mistake was caught immediately. The SN-10 Low downwelling silo was labeled as "mixed," and data/labeling was corrected.</t>
  </si>
  <si>
    <t># Larvae Normalized by # Adults</t>
  </si>
  <si>
    <t>Began stocking 224's in setting tanks on this date</t>
  </si>
  <si>
    <t>NF-10 Ambient sampled twice?</t>
  </si>
  <si>
    <t>Bucket A</t>
  </si>
  <si>
    <t># Dead Larvae</t>
  </si>
  <si>
    <t>% Live in counts (per size class)</t>
  </si>
  <si>
    <t>Spawning Groups</t>
  </si>
  <si>
    <t>Total Larvae Spawned</t>
  </si>
  <si>
    <t># Larvae Stocked</t>
  </si>
  <si>
    <t>% total Live, in 2 bucket</t>
  </si>
  <si>
    <t># Live at Screening, as of date:</t>
  </si>
  <si>
    <t xml:space="preserve"># 224's stocked in setting tank, as of date: </t>
  </si>
  <si>
    <t>% Survival from stocking to setting</t>
  </si>
  <si>
    <t># Larvae Stocked, as of Date</t>
  </si>
  <si>
    <t>70-A</t>
  </si>
  <si>
    <t>71-A</t>
  </si>
  <si>
    <t>72-A</t>
  </si>
  <si>
    <t>73-A</t>
  </si>
  <si>
    <t>Feeding Calculations</t>
  </si>
  <si>
    <t>Algae Strains</t>
  </si>
  <si>
    <t>400 mL Tiso, 400 mL Chagra</t>
  </si>
  <si>
    <t>Count 3</t>
  </si>
  <si>
    <t>Count 4</t>
  </si>
  <si>
    <t>Count 5</t>
  </si>
  <si>
    <t>Average Count</t>
  </si>
  <si>
    <t>Cells/mL</t>
  </si>
  <si>
    <t>mL per tripour @ 100k cells/mL</t>
  </si>
  <si>
    <t>Total mL algae needed</t>
  </si>
  <si>
    <t>450 mL Ciso, 450 mL CGW</t>
  </si>
  <si>
    <t>450 mL Tiso, 450 mL Chagra</t>
  </si>
  <si>
    <t>74-A</t>
  </si>
  <si>
    <t>75-A</t>
  </si>
  <si>
    <t>76-A</t>
  </si>
  <si>
    <t>77-A</t>
  </si>
  <si>
    <t>450 mL Tiso, 450 mL CGW</t>
  </si>
  <si>
    <t>For 18 L</t>
  </si>
  <si>
    <t>For 10.4 L</t>
  </si>
  <si>
    <t>2L Tiso, 2L CGW</t>
  </si>
  <si>
    <t>78-A</t>
  </si>
  <si>
    <t>Mixed, SN-10 Ambient</t>
  </si>
  <si>
    <t>Mixed, SN-10 Low</t>
  </si>
  <si>
    <t>3/4 609, 1/4 Chagra (900 ml total)</t>
  </si>
  <si>
    <t>50mL Tiso &amp; 50 mL CM</t>
  </si>
  <si>
    <t>I see a few in there</t>
  </si>
  <si>
    <t>1.5 L Ciso &amp; 1.5 L CM</t>
  </si>
  <si>
    <t>79-A</t>
  </si>
  <si>
    <t>1L 609 &amp; 1L Chagra</t>
  </si>
  <si>
    <t>Total algae used</t>
  </si>
  <si>
    <t>final concent.</t>
  </si>
  <si>
    <t>1 L Chagra &amp; 1 L 609</t>
  </si>
  <si>
    <t>I see a couple in there</t>
  </si>
  <si>
    <t>UGH! Spilled this tripour as I was stocking; lost most. Unsure how many I was able to save.</t>
  </si>
  <si>
    <t>I see some- ~20-30</t>
  </si>
  <si>
    <t>I see a handful</t>
  </si>
  <si>
    <t>1 L CM &amp; 1 L Tiso</t>
  </si>
  <si>
    <t>80-A</t>
  </si>
  <si>
    <t>500 mL CGW 500 mL 609</t>
  </si>
  <si>
    <t>81-A</t>
  </si>
  <si>
    <t>Same algae cocktail as 6/22</t>
  </si>
  <si>
    <t>Temp</t>
  </si>
  <si>
    <t>? Forgot to write down algae strain</t>
  </si>
  <si>
    <t>Valve</t>
  </si>
  <si>
    <t>Table/shelf</t>
  </si>
  <si>
    <t>Bucket</t>
  </si>
  <si>
    <t>Small</t>
  </si>
  <si>
    <t>B1</t>
  </si>
  <si>
    <t>B4</t>
  </si>
  <si>
    <t>B3</t>
  </si>
  <si>
    <t>B5</t>
  </si>
  <si>
    <t>B2</t>
  </si>
  <si>
    <t>T1</t>
  </si>
  <si>
    <t>T2</t>
  </si>
  <si>
    <t>T3</t>
  </si>
  <si>
    <t>T4</t>
  </si>
  <si>
    <t>T5</t>
  </si>
  <si>
    <t>T6</t>
  </si>
  <si>
    <t>BW 1</t>
  </si>
  <si>
    <t>BW 2</t>
  </si>
  <si>
    <t>BW 5</t>
  </si>
  <si>
    <t>BW 7</t>
  </si>
  <si>
    <t>BW 8</t>
  </si>
  <si>
    <t>BE 7</t>
  </si>
  <si>
    <t>BE 8</t>
  </si>
  <si>
    <t>Big</t>
  </si>
  <si>
    <t>B = bottom; BW = bottom west; BE = bottom east; T = top, etc.</t>
  </si>
  <si>
    <t>K &amp; HL brood.</t>
  </si>
  <si>
    <t>SN &amp; NF brood</t>
  </si>
  <si>
    <t>larval buckets</t>
  </si>
  <si>
    <t>(X-mean)^2</t>
  </si>
  <si>
    <t>Variance</t>
  </si>
  <si>
    <t>Std. Dev</t>
  </si>
  <si>
    <t>Sampling Info</t>
  </si>
  <si>
    <t>Treatment</t>
  </si>
  <si>
    <t>Rep</t>
  </si>
  <si>
    <t>Well #</t>
  </si>
  <si>
    <t>TB digitized</t>
  </si>
  <si>
    <t># DAYS &gt;5k larvae stocked</t>
  </si>
  <si>
    <t># days that &gt;5k larvae were stocked</t>
  </si>
  <si>
    <t>hand counted, saw 2 live</t>
  </si>
  <si>
    <t>500 mL tiso, 500 mL Chagra</t>
  </si>
  <si>
    <t>Hand counted, saw 3 live</t>
  </si>
  <si>
    <t>hand count</t>
  </si>
  <si>
    <t>Seed @ week 7</t>
  </si>
  <si>
    <t>Grp</t>
  </si>
  <si>
    <t>Replicate</t>
  </si>
  <si>
    <t># &gt;450 Live</t>
  </si>
  <si>
    <t># on silo Live</t>
  </si>
  <si>
    <t>A</t>
  </si>
  <si>
    <t>B</t>
  </si>
  <si>
    <t>C</t>
  </si>
  <si>
    <t>D</t>
  </si>
  <si>
    <t>E</t>
  </si>
  <si>
    <t># Stocked</t>
  </si>
  <si>
    <t># Sampled Day 7</t>
  </si>
  <si>
    <t># Samples Day 14</t>
  </si>
  <si>
    <t>% Survival to juvenile</t>
  </si>
  <si>
    <t>High mortality @ Day 14?</t>
  </si>
  <si>
    <t>Yes</t>
  </si>
  <si>
    <t>Yes, terminated @ day 14 b/c all dead</t>
  </si>
  <si>
    <t xml:space="preserve">Ave % survival by rep </t>
  </si>
  <si>
    <t>Ave % survival overall</t>
  </si>
  <si>
    <t>RUNNING TOTAL LARVAE</t>
  </si>
  <si>
    <t>SUM of SN &amp; NF reps</t>
  </si>
  <si>
    <t># Live @ end of project</t>
  </si>
  <si>
    <t>HL-6 Low, normalized</t>
  </si>
  <si>
    <t>HL-10 Ambient, normalized</t>
  </si>
  <si>
    <t>K-6 Low, normalized</t>
  </si>
  <si>
    <t>K-6 Ambient, normalized</t>
  </si>
  <si>
    <t>K-10 Ambient, normalized</t>
  </si>
  <si>
    <t>SN-6 Low, normalized</t>
  </si>
  <si>
    <t>SN-6 Ambient, normalized</t>
  </si>
  <si>
    <t>SN-10 Low, normalized</t>
  </si>
  <si>
    <t>SN-10 Ambient, normalized</t>
  </si>
  <si>
    <t>NF-6 Low, normalized</t>
  </si>
  <si>
    <t>NF-6 Ambient, normalized</t>
  </si>
  <si>
    <t>NF-10 Low, normalized</t>
  </si>
  <si>
    <t>NF-10 Ambient, normalized</t>
  </si>
  <si>
    <t>HL-6 Ambient, normalized</t>
  </si>
  <si>
    <t>HL-10 Low, normalized</t>
  </si>
  <si>
    <t>Total Larvae Stocked</t>
  </si>
  <si>
    <t>Total Setters Stocked</t>
  </si>
  <si>
    <t>% survival larvae -&gt; juv</t>
  </si>
  <si>
    <t>% survival setters -&gt; juv</t>
  </si>
  <si>
    <t># Set on silo</t>
  </si>
  <si>
    <t># salvaged from silo set</t>
  </si>
  <si>
    <t>Hand count</t>
  </si>
  <si>
    <t>Notes</t>
  </si>
  <si>
    <t>180's put into setting tank</t>
  </si>
  <si>
    <t>Put 180's in setting tank</t>
  </si>
  <si>
    <t>100's down drain, did not reset larval bucket</t>
  </si>
  <si>
    <t>accidentally threw out</t>
  </si>
  <si>
    <t># Juvenile Survived (SN/NF 8/12, K 8/22)</t>
  </si>
  <si>
    <t>% survival larvae -&gt; setters</t>
  </si>
  <si>
    <t>These 244's thrown out on 7/20 (due to mistake)</t>
  </si>
  <si>
    <t xml:space="preserve">HL10-Low 224's were stocked in with the NF10-amb silo, which I threw out. </t>
  </si>
  <si>
    <t>Spilled 180's pre-count, but doesn't matter b/c no live larvae in there</t>
  </si>
  <si>
    <t>% accounted for</t>
  </si>
  <si>
    <t># stocked before</t>
  </si>
  <si>
    <t># counted today</t>
  </si>
  <si>
    <t>Today's average</t>
  </si>
  <si>
    <t>*Assuming 95% accountance; need to remove this many from my stocking numbers</t>
  </si>
  <si>
    <t>Larvae thrown away w/ morts</t>
  </si>
  <si>
    <t>180's to setting tank</t>
  </si>
  <si>
    <t>Larvae lost from culture buckets</t>
  </si>
  <si>
    <t>Adjusted larvae stocked</t>
  </si>
  <si>
    <t>SN-10 Low -GE</t>
  </si>
  <si>
    <t>SN-6 Low GE</t>
  </si>
  <si>
    <t>SN-10 Ambient GE</t>
  </si>
  <si>
    <t>SN-6 Ambient GE</t>
  </si>
  <si>
    <t>10°C, 7.8 pH</t>
  </si>
  <si>
    <t>10°C, 7.2 pH</t>
  </si>
  <si>
    <t>6°C, 7.8 pH</t>
  </si>
  <si>
    <t>6°C, 7.2 pH</t>
  </si>
  <si>
    <t>SOUTH SOUTH F1</t>
  </si>
  <si>
    <t>NORTH SOUND</t>
  </si>
  <si>
    <t>HOOD CANAL</t>
  </si>
  <si>
    <t>SOUTH SOUND F2</t>
  </si>
  <si>
    <t>SOUTH SOUND STATIC MINI EXP.</t>
  </si>
  <si>
    <t>Population</t>
  </si>
  <si>
    <t># Survived to juvenile</t>
  </si>
  <si>
    <t>Total # Larvae</t>
  </si>
  <si>
    <t># Samples in -80</t>
  </si>
  <si>
    <t>Average larvae/sample</t>
  </si>
  <si>
    <t>Total # larvae in samples</t>
  </si>
  <si>
    <t>Ave # larvae in samples</t>
  </si>
  <si>
    <t>Treatment Grp</t>
  </si>
  <si>
    <t>Running total</t>
  </si>
  <si>
    <t># In Bucket</t>
  </si>
  <si>
    <t># new stocked before today</t>
  </si>
  <si>
    <t xml:space="preserve"># Counted </t>
  </si>
  <si>
    <t>Total Stocked</t>
  </si>
  <si>
    <t>GROUP</t>
  </si>
  <si>
    <t xml:space="preserve">NF6-AMB </t>
  </si>
  <si>
    <t>AVERAGE</t>
  </si>
  <si>
    <t>&lt;3</t>
  </si>
  <si>
    <t>NF6-LOW</t>
  </si>
  <si>
    <t>LARGE</t>
  </si>
  <si>
    <t>SMALL</t>
  </si>
  <si>
    <t>s</t>
  </si>
  <si>
    <t>SD</t>
  </si>
  <si>
    <t>HL6-AMB</t>
  </si>
  <si>
    <t>hl6-ambient: 14 oysters &lt;2400um</t>
  </si>
  <si>
    <t>hl6-low: 169 oysters &lt;2400</t>
  </si>
  <si>
    <t>HL6-LOW</t>
  </si>
  <si>
    <t>BAG-WEIGHT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</si>
  <si>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</si>
  <si>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</si>
  <si>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</si>
  <si>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</si>
  <si>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</si>
  <si>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</si>
  <si>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</si>
  <si>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</si>
  <si>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</si>
  <si>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</si>
  <si>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</si>
  <si>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L13</t>
  </si>
  <si>
    <t>L12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</si>
  <si>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</si>
  <si>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</si>
  <si>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</si>
  <si>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</si>
  <si>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</si>
  <si>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</si>
  <si>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</si>
  <si>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</si>
  <si>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</si>
  <si>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</si>
  <si>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</si>
  <si>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</si>
  <si>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</si>
  <si>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</si>
  <si>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SIZE-CLASS</t>
  </si>
  <si>
    <t>BAG</t>
  </si>
  <si>
    <t>NOTES:</t>
  </si>
  <si>
    <t>SN6-AMB</t>
  </si>
  <si>
    <t>LARGE/SMALL</t>
  </si>
  <si>
    <t>SN6-LOW</t>
  </si>
  <si>
    <t>2 ATTACHED TO EACH OTHER</t>
  </si>
  <si>
    <t>COHORT</t>
  </si>
  <si>
    <t>TREATMENT</t>
  </si>
  <si>
    <t>NF</t>
  </si>
  <si>
    <t>HL</t>
  </si>
  <si>
    <t>SN</t>
  </si>
  <si>
    <t>6-AMB</t>
  </si>
  <si>
    <t>6-LOW</t>
  </si>
  <si>
    <t>K6-LOW</t>
  </si>
  <si>
    <t>K</t>
  </si>
  <si>
    <t>SMALL/LARGE</t>
  </si>
  <si>
    <t>MINI</t>
  </si>
  <si>
    <t>&lt;0.1</t>
  </si>
  <si>
    <t>NA</t>
  </si>
  <si>
    <t>NF10-LOW</t>
  </si>
  <si>
    <t>SN10-AMB</t>
  </si>
  <si>
    <t>SN10-LOW</t>
  </si>
  <si>
    <t>NF10-AMB</t>
  </si>
  <si>
    <t>HL10-AMB</t>
  </si>
  <si>
    <t>10-LOW</t>
  </si>
  <si>
    <t>10-AMB</t>
  </si>
  <si>
    <t>HL10-LOW</t>
  </si>
  <si>
    <t>K10-AMB</t>
  </si>
  <si>
    <t>K10-LOW</t>
  </si>
  <si>
    <t>K6-AMB</t>
  </si>
  <si>
    <t># STOCKED</t>
  </si>
  <si>
    <t>% COUNTED</t>
  </si>
  <si>
    <t>MIN COUNT @ 25%</t>
  </si>
  <si>
    <t>NF6-AMB</t>
  </si>
  <si>
    <t># COUNTeD</t>
  </si>
  <si>
    <t>SN10-LOW-Exp</t>
  </si>
  <si>
    <t>SN6-AMB-Exp</t>
  </si>
  <si>
    <t>SN6-LOW-Exp</t>
  </si>
  <si>
    <t>SN10-AMB-Exp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</si>
</sst>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m/d/yy;@"/>
    <numFmt numFmtId="166" formatCode="0.0"/>
    <numFmt numFmtId="167" formatCode="0.0%"/>
    <numFmt numFmtId="168" formatCode="0.000%"/>
    <numFmt numFmtId="169" formatCode="_(* #,##0.0_);_(* \(#,##0.0\);_(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6"/>
      <color theme="1" tint="0.499984740745262"/>
      <name val="Calibri"/>
      <scheme val="minor"/>
    </font>
    <font>
      <i/>
      <sz val="12"/>
      <color theme="1" tint="0.499984740745262"/>
      <name val="Calibri"/>
      <scheme val="minor"/>
    </font>
    <font>
      <b/>
      <i/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sz val="14"/>
      <color rgb="FF000000"/>
      <name val="Calibri"/>
      <scheme val="minor"/>
    </font>
    <font>
      <b/>
      <i/>
      <sz val="16"/>
      <color rgb="FF000000"/>
      <name val="Calibri"/>
      <scheme val="minor"/>
    </font>
    <font>
      <b/>
      <i/>
      <sz val="16"/>
      <color theme="1"/>
      <name val="Calibri"/>
      <scheme val="minor"/>
    </font>
    <font>
      <b/>
      <i/>
      <sz val="14"/>
      <color theme="1"/>
      <name val="Calibri"/>
      <scheme val="minor"/>
    </font>
    <font>
      <b/>
      <sz val="10"/>
      <color theme="1"/>
      <name val="Calibri"/>
      <scheme val="minor"/>
    </font>
    <font>
      <sz val="14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EBF1DE"/>
        <bgColor rgb="FF000000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235">
    <xf numFmtId="0" fontId="0" fillId="0" borderId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25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 wrapText="1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64" fontId="0" fillId="0" borderId="0" xfId="1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left"/>
    </xf>
    <xf numFmtId="0" fontId="5" fillId="0" borderId="0" xfId="0" applyFont="1" applyAlignment="1">
      <alignment horizontal="center" wrapText="1"/>
    </xf>
    <xf numFmtId="14" fontId="0" fillId="0" borderId="0" xfId="0" applyNumberFormat="1"/>
    <xf numFmtId="164" fontId="0" fillId="0" borderId="0" xfId="1" applyNumberFormat="1" applyFont="1"/>
    <xf numFmtId="14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3" fontId="0" fillId="0" borderId="2" xfId="0" applyNumberFormat="1" applyBorder="1"/>
    <xf numFmtId="14" fontId="0" fillId="0" borderId="3" xfId="0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3" fontId="0" fillId="0" borderId="0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5" xfId="0" applyBorder="1" applyAlignment="1">
      <alignment horizontal="right"/>
    </xf>
    <xf numFmtId="3" fontId="0" fillId="0" borderId="5" xfId="0" applyNumberForma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165" fontId="5" fillId="0" borderId="0" xfId="0" applyNumberFormat="1" applyFont="1" applyFill="1" applyBorder="1" applyAlignment="1">
      <alignment horizontal="right" wrapText="1"/>
    </xf>
    <xf numFmtId="165" fontId="0" fillId="0" borderId="0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43" fontId="5" fillId="0" borderId="0" xfId="1" applyFont="1" applyFill="1" applyBorder="1" applyAlignment="1">
      <alignment horizontal="right" wrapText="1"/>
    </xf>
    <xf numFmtId="43" fontId="0" fillId="0" borderId="0" xfId="1" applyFont="1" applyFill="1" applyBorder="1" applyAlignment="1">
      <alignment horizontal="right"/>
    </xf>
    <xf numFmtId="43" fontId="0" fillId="0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8" fillId="0" borderId="0" xfId="0" applyFont="1" applyFill="1" applyAlignment="1">
      <alignment horizontal="left"/>
    </xf>
    <xf numFmtId="165" fontId="8" fillId="0" borderId="0" xfId="0" applyNumberFormat="1" applyFont="1" applyFill="1" applyAlignment="1">
      <alignment horizontal="right"/>
    </xf>
    <xf numFmtId="0" fontId="0" fillId="0" borderId="0" xfId="1" applyNumberFormat="1" applyFont="1" applyFill="1" applyAlignment="1">
      <alignment horizontal="right"/>
    </xf>
    <xf numFmtId="164" fontId="0" fillId="0" borderId="0" xfId="1" applyNumberFormat="1" applyFont="1" applyAlignment="1">
      <alignment horizontal="center"/>
    </xf>
    <xf numFmtId="14" fontId="0" fillId="0" borderId="6" xfId="0" applyNumberForma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0" fontId="4" fillId="0" borderId="0" xfId="0" applyFont="1"/>
    <xf numFmtId="164" fontId="4" fillId="0" borderId="0" xfId="1" applyNumberFormat="1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2" borderId="9" xfId="0" applyNumberFormat="1" applyFill="1" applyBorder="1"/>
    <xf numFmtId="0" fontId="0" fillId="2" borderId="10" xfId="0" applyFill="1" applyBorder="1" applyAlignment="1">
      <alignment horizontal="center"/>
    </xf>
    <xf numFmtId="0" fontId="8" fillId="2" borderId="10" xfId="0" applyFont="1" applyFill="1" applyBorder="1" applyAlignment="1">
      <alignment horizontal="left"/>
    </xf>
    <xf numFmtId="0" fontId="0" fillId="2" borderId="10" xfId="0" applyFill="1" applyBorder="1"/>
    <xf numFmtId="0" fontId="8" fillId="2" borderId="10" xfId="0" applyFont="1" applyFill="1" applyBorder="1" applyAlignment="1">
      <alignment horizontal="right"/>
    </xf>
    <xf numFmtId="0" fontId="8" fillId="2" borderId="10" xfId="0" applyFont="1" applyFill="1" applyBorder="1"/>
    <xf numFmtId="3" fontId="0" fillId="2" borderId="10" xfId="0" applyNumberFormat="1" applyFill="1" applyBorder="1"/>
    <xf numFmtId="14" fontId="0" fillId="2" borderId="11" xfId="0" applyNumberFormat="1" applyFill="1" applyBorder="1"/>
    <xf numFmtId="0" fontId="0" fillId="2" borderId="12" xfId="0" applyFill="1" applyBorder="1" applyAlignment="1">
      <alignment horizontal="center"/>
    </xf>
    <xf numFmtId="0" fontId="8" fillId="2" borderId="12" xfId="0" applyFont="1" applyFill="1" applyBorder="1" applyAlignment="1">
      <alignment horizontal="left"/>
    </xf>
    <xf numFmtId="0" fontId="0" fillId="2" borderId="12" xfId="0" applyFill="1" applyBorder="1"/>
    <xf numFmtId="0" fontId="8" fillId="2" borderId="12" xfId="0" applyFont="1" applyFill="1" applyBorder="1" applyAlignment="1">
      <alignment horizontal="right"/>
    </xf>
    <xf numFmtId="0" fontId="8" fillId="2" borderId="12" xfId="0" applyFont="1" applyFill="1" applyBorder="1"/>
    <xf numFmtId="14" fontId="0" fillId="3" borderId="7" xfId="0" applyNumberFormat="1" applyFill="1" applyBorder="1"/>
    <xf numFmtId="0" fontId="0" fillId="3" borderId="8" xfId="0" applyFill="1" applyBorder="1" applyAlignment="1">
      <alignment horizontal="center"/>
    </xf>
    <xf numFmtId="0" fontId="8" fillId="3" borderId="8" xfId="0" applyFont="1" applyFill="1" applyBorder="1" applyAlignment="1">
      <alignment horizontal="left"/>
    </xf>
    <xf numFmtId="0" fontId="0" fillId="3" borderId="8" xfId="0" applyFill="1" applyBorder="1"/>
    <xf numFmtId="3" fontId="0" fillId="3" borderId="8" xfId="0" applyNumberFormat="1" applyFill="1" applyBorder="1"/>
    <xf numFmtId="14" fontId="0" fillId="3" borderId="9" xfId="0" applyNumberFormat="1" applyFill="1" applyBorder="1"/>
    <xf numFmtId="0" fontId="0" fillId="3" borderId="10" xfId="0" applyFill="1" applyBorder="1" applyAlignment="1">
      <alignment horizontal="center"/>
    </xf>
    <xf numFmtId="0" fontId="8" fillId="3" borderId="10" xfId="0" applyFont="1" applyFill="1" applyBorder="1" applyAlignment="1">
      <alignment horizontal="left"/>
    </xf>
    <xf numFmtId="0" fontId="0" fillId="3" borderId="10" xfId="0" applyFill="1" applyBorder="1"/>
    <xf numFmtId="3" fontId="0" fillId="3" borderId="10" xfId="0" applyNumberFormat="1" applyFill="1" applyBorder="1"/>
    <xf numFmtId="14" fontId="0" fillId="3" borderId="11" xfId="0" applyNumberFormat="1" applyFill="1" applyBorder="1"/>
    <xf numFmtId="0" fontId="0" fillId="3" borderId="12" xfId="0" applyFill="1" applyBorder="1" applyAlignment="1">
      <alignment horizontal="center"/>
    </xf>
    <xf numFmtId="0" fontId="8" fillId="3" borderId="12" xfId="0" applyFont="1" applyFill="1" applyBorder="1" applyAlignment="1">
      <alignment horizontal="left"/>
    </xf>
    <xf numFmtId="0" fontId="0" fillId="3" borderId="12" xfId="0" applyFill="1" applyBorder="1"/>
    <xf numFmtId="0" fontId="0" fillId="3" borderId="8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14" fontId="0" fillId="2" borderId="10" xfId="0" applyNumberFormat="1" applyFill="1" applyBorder="1"/>
    <xf numFmtId="0" fontId="0" fillId="2" borderId="10" xfId="0" applyFill="1" applyBorder="1" applyAlignment="1">
      <alignment horizontal="right"/>
    </xf>
    <xf numFmtId="164" fontId="0" fillId="0" borderId="0" xfId="1" applyNumberFormat="1" applyFont="1" applyAlignment="1">
      <alignment horizontal="center" wrapText="1"/>
    </xf>
    <xf numFmtId="164" fontId="0" fillId="0" borderId="2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14" fontId="4" fillId="0" borderId="0" xfId="0" applyNumberFormat="1" applyFont="1" applyAlignment="1">
      <alignment horizontal="right"/>
    </xf>
    <xf numFmtId="14" fontId="4" fillId="0" borderId="1" xfId="0" applyNumberFormat="1" applyFont="1" applyBorder="1" applyAlignment="1">
      <alignment horizontal="right"/>
    </xf>
    <xf numFmtId="14" fontId="4" fillId="0" borderId="3" xfId="0" applyNumberFormat="1" applyFont="1" applyBorder="1" applyAlignment="1">
      <alignment horizontal="right"/>
    </xf>
    <xf numFmtId="14" fontId="4" fillId="0" borderId="4" xfId="0" applyNumberFormat="1" applyFont="1" applyBorder="1" applyAlignment="1">
      <alignment horizontal="right"/>
    </xf>
    <xf numFmtId="164" fontId="0" fillId="4" borderId="0" xfId="1" applyNumberFormat="1" applyFont="1" applyFill="1" applyBorder="1" applyAlignment="1">
      <alignment horizontal="center"/>
    </xf>
    <xf numFmtId="164" fontId="0" fillId="4" borderId="5" xfId="1" applyNumberFormat="1" applyFont="1" applyFill="1" applyBorder="1" applyAlignment="1">
      <alignment horizontal="center"/>
    </xf>
    <xf numFmtId="164" fontId="0" fillId="4" borderId="2" xfId="1" applyNumberFormat="1" applyFont="1" applyFill="1" applyBorder="1" applyAlignment="1">
      <alignment horizontal="center"/>
    </xf>
    <xf numFmtId="9" fontId="4" fillId="0" borderId="0" xfId="260" applyFont="1"/>
    <xf numFmtId="9" fontId="0" fillId="0" borderId="0" xfId="260" applyFont="1"/>
    <xf numFmtId="9" fontId="0" fillId="2" borderId="10" xfId="260" applyFont="1" applyFill="1" applyBorder="1"/>
    <xf numFmtId="164" fontId="0" fillId="0" borderId="0" xfId="0" applyNumberFormat="1" applyFill="1" applyAlignment="1">
      <alignment horizontal="left"/>
    </xf>
    <xf numFmtId="14" fontId="0" fillId="5" borderId="13" xfId="0" applyNumberFormat="1" applyFill="1" applyBorder="1"/>
    <xf numFmtId="0" fontId="0" fillId="5" borderId="14" xfId="0" applyFill="1" applyBorder="1" applyAlignment="1">
      <alignment horizontal="center"/>
    </xf>
    <xf numFmtId="0" fontId="0" fillId="5" borderId="14" xfId="0" applyFill="1" applyBorder="1"/>
    <xf numFmtId="0" fontId="0" fillId="5" borderId="14" xfId="0" applyFill="1" applyBorder="1" applyAlignment="1">
      <alignment horizontal="right"/>
    </xf>
    <xf numFmtId="9" fontId="0" fillId="5" borderId="14" xfId="260" applyFont="1" applyFill="1" applyBorder="1"/>
    <xf numFmtId="3" fontId="0" fillId="5" borderId="14" xfId="0" applyNumberFormat="1" applyFill="1" applyBorder="1"/>
    <xf numFmtId="166" fontId="0" fillId="5" borderId="14" xfId="0" applyNumberFormat="1" applyFill="1" applyBorder="1"/>
    <xf numFmtId="9" fontId="4" fillId="5" borderId="14" xfId="260" applyFont="1" applyFill="1" applyBorder="1"/>
    <xf numFmtId="164" fontId="5" fillId="0" borderId="0" xfId="1" applyNumberFormat="1" applyFont="1" applyAlignment="1">
      <alignment horizontal="center" wrapText="1"/>
    </xf>
    <xf numFmtId="164" fontId="0" fillId="0" borderId="2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2" borderId="10" xfId="1" applyNumberFormat="1" applyFont="1" applyFill="1" applyBorder="1"/>
    <xf numFmtId="164" fontId="0" fillId="5" borderId="14" xfId="1" applyNumberFormat="1" applyFont="1" applyFill="1" applyBorder="1"/>
    <xf numFmtId="164" fontId="0" fillId="3" borderId="8" xfId="1" applyNumberFormat="1" applyFont="1" applyFill="1" applyBorder="1"/>
    <xf numFmtId="164" fontId="8" fillId="2" borderId="12" xfId="1" applyNumberFormat="1" applyFont="1" applyFill="1" applyBorder="1"/>
    <xf numFmtId="164" fontId="0" fillId="3" borderId="10" xfId="1" applyNumberFormat="1" applyFont="1" applyFill="1" applyBorder="1"/>
    <xf numFmtId="14" fontId="0" fillId="5" borderId="3" xfId="0" applyNumberFormat="1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right"/>
    </xf>
    <xf numFmtId="166" fontId="0" fillId="5" borderId="0" xfId="0" applyNumberFormat="1" applyFill="1" applyBorder="1"/>
    <xf numFmtId="9" fontId="0" fillId="5" borderId="0" xfId="260" applyFont="1" applyFill="1" applyBorder="1"/>
    <xf numFmtId="164" fontId="0" fillId="5" borderId="0" xfId="1" applyNumberFormat="1" applyFont="1" applyFill="1" applyBorder="1"/>
    <xf numFmtId="9" fontId="4" fillId="5" borderId="0" xfId="260" applyFont="1" applyFill="1" applyBorder="1"/>
    <xf numFmtId="3" fontId="0" fillId="5" borderId="0" xfId="0" applyNumberFormat="1" applyFill="1" applyBorder="1"/>
    <xf numFmtId="14" fontId="0" fillId="2" borderId="13" xfId="0" applyNumberFormat="1" applyFill="1" applyBorder="1"/>
    <xf numFmtId="0" fontId="0" fillId="2" borderId="14" xfId="0" applyFill="1" applyBorder="1" applyAlignment="1">
      <alignment horizontal="center"/>
    </xf>
    <xf numFmtId="0" fontId="8" fillId="2" borderId="14" xfId="0" applyFont="1" applyFill="1" applyBorder="1" applyAlignment="1">
      <alignment horizontal="left"/>
    </xf>
    <xf numFmtId="0" fontId="0" fillId="2" borderId="14" xfId="0" applyFill="1" applyBorder="1"/>
    <xf numFmtId="0" fontId="8" fillId="2" borderId="14" xfId="0" applyFont="1" applyFill="1" applyBorder="1"/>
    <xf numFmtId="164" fontId="8" fillId="2" borderId="14" xfId="1" applyNumberFormat="1" applyFont="1" applyFill="1" applyBorder="1"/>
    <xf numFmtId="0" fontId="0" fillId="3" borderId="12" xfId="0" applyFill="1" applyBorder="1" applyAlignment="1">
      <alignment horizontal="right"/>
    </xf>
    <xf numFmtId="164" fontId="0" fillId="3" borderId="12" xfId="1" applyNumberFormat="1" applyFont="1" applyFill="1" applyBorder="1"/>
    <xf numFmtId="0" fontId="14" fillId="0" borderId="0" xfId="0" applyFont="1" applyFill="1" applyBorder="1" applyAlignment="1">
      <alignment horizontal="right" wrapText="1"/>
    </xf>
    <xf numFmtId="3" fontId="15" fillId="0" borderId="0" xfId="0" applyNumberFormat="1" applyFont="1" applyFill="1" applyBorder="1" applyAlignment="1">
      <alignment horizontal="right"/>
    </xf>
    <xf numFmtId="0" fontId="15" fillId="0" borderId="0" xfId="0" applyFont="1" applyFill="1" applyAlignment="1">
      <alignment horizontal="right"/>
    </xf>
    <xf numFmtId="43" fontId="15" fillId="0" borderId="0" xfId="0" applyNumberFormat="1" applyFont="1" applyFill="1" applyAlignment="1">
      <alignment horizontal="right"/>
    </xf>
    <xf numFmtId="0" fontId="0" fillId="3" borderId="14" xfId="0" applyFill="1" applyBorder="1"/>
    <xf numFmtId="0" fontId="8" fillId="3" borderId="0" xfId="0" applyFont="1" applyFill="1" applyBorder="1" applyAlignment="1">
      <alignment horizontal="left"/>
    </xf>
    <xf numFmtId="0" fontId="0" fillId="2" borderId="12" xfId="0" applyFill="1" applyBorder="1" applyAlignment="1">
      <alignment horizontal="right"/>
    </xf>
    <xf numFmtId="164" fontId="0" fillId="2" borderId="12" xfId="1" applyNumberFormat="1" applyFont="1" applyFill="1" applyBorder="1"/>
    <xf numFmtId="0" fontId="9" fillId="2" borderId="10" xfId="0" applyFont="1" applyFill="1" applyBorder="1"/>
    <xf numFmtId="0" fontId="16" fillId="2" borderId="10" xfId="0" applyFont="1" applyFill="1" applyBorder="1"/>
    <xf numFmtId="43" fontId="0" fillId="0" borderId="0" xfId="0" applyNumberFormat="1"/>
    <xf numFmtId="0" fontId="0" fillId="2" borderId="14" xfId="0" applyFill="1" applyBorder="1" applyAlignment="1">
      <alignment horizontal="right"/>
    </xf>
    <xf numFmtId="0" fontId="9" fillId="3" borderId="10" xfId="0" applyFont="1" applyFill="1" applyBorder="1" applyAlignment="1">
      <alignment horizontal="center"/>
    </xf>
    <xf numFmtId="14" fontId="0" fillId="3" borderId="16" xfId="0" applyNumberFormat="1" applyFill="1" applyBorder="1"/>
    <xf numFmtId="0" fontId="0" fillId="3" borderId="15" xfId="0" applyFill="1" applyBorder="1" applyAlignment="1">
      <alignment horizontal="center"/>
    </xf>
    <xf numFmtId="0" fontId="0" fillId="3" borderId="15" xfId="0" applyFill="1" applyBorder="1"/>
    <xf numFmtId="0" fontId="0" fillId="3" borderId="15" xfId="0" applyFill="1" applyBorder="1" applyAlignment="1">
      <alignment horizontal="right"/>
    </xf>
    <xf numFmtId="164" fontId="0" fillId="3" borderId="15" xfId="1" applyNumberFormat="1" applyFont="1" applyFill="1" applyBorder="1"/>
    <xf numFmtId="9" fontId="0" fillId="3" borderId="8" xfId="260" applyFont="1" applyFill="1" applyBorder="1"/>
    <xf numFmtId="9" fontId="0" fillId="3" borderId="10" xfId="260" applyFont="1" applyFill="1" applyBorder="1"/>
    <xf numFmtId="9" fontId="0" fillId="3" borderId="15" xfId="260" applyFont="1" applyFill="1" applyBorder="1"/>
    <xf numFmtId="9" fontId="8" fillId="2" borderId="14" xfId="260" applyFont="1" applyFill="1" applyBorder="1"/>
    <xf numFmtId="9" fontId="0" fillId="3" borderId="12" xfId="260" applyFont="1" applyFill="1" applyBorder="1"/>
    <xf numFmtId="9" fontId="0" fillId="2" borderId="12" xfId="260" applyFont="1" applyFill="1" applyBorder="1"/>
    <xf numFmtId="9" fontId="5" fillId="0" borderId="0" xfId="260" applyFont="1" applyAlignment="1">
      <alignment horizontal="center" wrapText="1"/>
    </xf>
    <xf numFmtId="9" fontId="0" fillId="0" borderId="2" xfId="260" applyFont="1" applyBorder="1"/>
    <xf numFmtId="9" fontId="0" fillId="0" borderId="0" xfId="260" applyFont="1" applyBorder="1"/>
    <xf numFmtId="9" fontId="0" fillId="0" borderId="5" xfId="260" applyFont="1" applyBorder="1"/>
    <xf numFmtId="3" fontId="0" fillId="2" borderId="14" xfId="0" applyNumberFormat="1" applyFill="1" applyBorder="1"/>
    <xf numFmtId="9" fontId="0" fillId="2" borderId="14" xfId="260" applyFont="1" applyFill="1" applyBorder="1"/>
    <xf numFmtId="9" fontId="8" fillId="2" borderId="12" xfId="260" applyFont="1" applyFill="1" applyBorder="1"/>
    <xf numFmtId="9" fontId="4" fillId="3" borderId="8" xfId="260" applyFont="1" applyFill="1" applyBorder="1" applyAlignment="1">
      <alignment horizontal="right"/>
    </xf>
    <xf numFmtId="9" fontId="4" fillId="3" borderId="10" xfId="260" applyFont="1" applyFill="1" applyBorder="1" applyAlignment="1">
      <alignment horizontal="right"/>
    </xf>
    <xf numFmtId="9" fontId="4" fillId="3" borderId="12" xfId="260" applyFont="1" applyFill="1" applyBorder="1" applyAlignment="1">
      <alignment horizontal="right"/>
    </xf>
    <xf numFmtId="9" fontId="4" fillId="0" borderId="2" xfId="260" applyFont="1" applyBorder="1"/>
    <xf numFmtId="9" fontId="4" fillId="0" borderId="0" xfId="260" applyFont="1" applyBorder="1"/>
    <xf numFmtId="9" fontId="4" fillId="0" borderId="5" xfId="260" applyFont="1" applyBorder="1"/>
    <xf numFmtId="9" fontId="4" fillId="2" borderId="10" xfId="260" applyFont="1" applyFill="1" applyBorder="1"/>
    <xf numFmtId="9" fontId="4" fillId="2" borderId="14" xfId="260" applyFont="1" applyFill="1" applyBorder="1" applyAlignment="1">
      <alignment horizontal="right"/>
    </xf>
    <xf numFmtId="9" fontId="4" fillId="2" borderId="15" xfId="260" applyFont="1" applyFill="1" applyBorder="1"/>
    <xf numFmtId="9" fontId="17" fillId="2" borderId="10" xfId="260" applyFont="1" applyFill="1" applyBorder="1"/>
    <xf numFmtId="9" fontId="17" fillId="2" borderId="10" xfId="26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9" fontId="4" fillId="3" borderId="10" xfId="260" applyFont="1" applyFill="1" applyBorder="1"/>
    <xf numFmtId="9" fontId="4" fillId="3" borderId="14" xfId="260" applyFont="1" applyFill="1" applyBorder="1" applyAlignment="1">
      <alignment horizontal="right"/>
    </xf>
    <xf numFmtId="9" fontId="4" fillId="3" borderId="15" xfId="260" applyFont="1" applyFill="1" applyBorder="1"/>
    <xf numFmtId="9" fontId="17" fillId="3" borderId="10" xfId="260" applyFont="1" applyFill="1" applyBorder="1"/>
    <xf numFmtId="9" fontId="17" fillId="3" borderId="10" xfId="260" applyFont="1" applyFill="1" applyBorder="1" applyAlignment="1">
      <alignment horizontal="right"/>
    </xf>
    <xf numFmtId="14" fontId="0" fillId="3" borderId="13" xfId="0" applyNumberFormat="1" applyFill="1" applyBorder="1"/>
    <xf numFmtId="0" fontId="0" fillId="3" borderId="14" xfId="0" applyFill="1" applyBorder="1" applyAlignment="1">
      <alignment horizontal="center"/>
    </xf>
    <xf numFmtId="0" fontId="0" fillId="3" borderId="14" xfId="0" applyFill="1" applyBorder="1" applyAlignment="1">
      <alignment horizontal="right"/>
    </xf>
    <xf numFmtId="164" fontId="0" fillId="3" borderId="14" xfId="1" applyNumberFormat="1" applyFont="1" applyFill="1" applyBorder="1"/>
    <xf numFmtId="9" fontId="0" fillId="3" borderId="14" xfId="260" applyFont="1" applyFill="1" applyBorder="1"/>
    <xf numFmtId="3" fontId="0" fillId="3" borderId="14" xfId="0" applyNumberFormat="1" applyFill="1" applyBorder="1"/>
    <xf numFmtId="9" fontId="17" fillId="2" borderId="12" xfId="260" applyFont="1" applyFill="1" applyBorder="1"/>
    <xf numFmtId="0" fontId="8" fillId="2" borderId="0" xfId="0" applyFont="1" applyFill="1" applyBorder="1" applyAlignment="1">
      <alignment horizontal="left"/>
    </xf>
    <xf numFmtId="164" fontId="0" fillId="2" borderId="14" xfId="1" applyNumberFormat="1" applyFont="1" applyFill="1" applyBorder="1"/>
    <xf numFmtId="9" fontId="17" fillId="3" borderId="12" xfId="260" applyFont="1" applyFill="1" applyBorder="1"/>
    <xf numFmtId="0" fontId="6" fillId="0" borderId="0" xfId="0" applyFont="1" applyBorder="1" applyAlignment="1">
      <alignment horizontal="center" wrapText="1"/>
    </xf>
    <xf numFmtId="164" fontId="6" fillId="0" borderId="0" xfId="1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14" fontId="18" fillId="0" borderId="0" xfId="0" applyNumberFormat="1" applyFont="1" applyFill="1" applyBorder="1" applyAlignment="1"/>
    <xf numFmtId="14" fontId="4" fillId="0" borderId="0" xfId="0" applyNumberFormat="1" applyFont="1"/>
    <xf numFmtId="0" fontId="6" fillId="0" borderId="0" xfId="0" applyFont="1"/>
    <xf numFmtId="164" fontId="6" fillId="0" borderId="0" xfId="1" applyNumberFormat="1" applyFont="1"/>
    <xf numFmtId="14" fontId="6" fillId="0" borderId="0" xfId="0" applyNumberFormat="1" applyFont="1"/>
    <xf numFmtId="0" fontId="6" fillId="0" borderId="0" xfId="0" applyFont="1" applyBorder="1"/>
    <xf numFmtId="164" fontId="6" fillId="0" borderId="0" xfId="1" applyNumberFormat="1" applyFont="1" applyBorder="1"/>
    <xf numFmtId="0" fontId="0" fillId="0" borderId="6" xfId="0" applyBorder="1"/>
    <xf numFmtId="0" fontId="0" fillId="0" borderId="6" xfId="0" applyFill="1" applyBorder="1" applyAlignment="1">
      <alignment horizontal="left"/>
    </xf>
    <xf numFmtId="164" fontId="0" fillId="0" borderId="6" xfId="1" applyNumberFormat="1" applyFont="1" applyBorder="1"/>
    <xf numFmtId="0" fontId="0" fillId="0" borderId="6" xfId="0" applyBorder="1" applyAlignment="1">
      <alignment horizontal="right"/>
    </xf>
    <xf numFmtId="165" fontId="6" fillId="0" borderId="0" xfId="1" applyNumberFormat="1" applyFont="1" applyBorder="1"/>
    <xf numFmtId="14" fontId="6" fillId="0" borderId="0" xfId="0" applyNumberFormat="1" applyFont="1" applyBorder="1" applyAlignment="1">
      <alignment horizontal="center" wrapText="1"/>
    </xf>
    <xf numFmtId="9" fontId="0" fillId="0" borderId="6" xfId="260" applyFont="1" applyBorder="1"/>
    <xf numFmtId="0" fontId="16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4" fontId="4" fillId="0" borderId="0" xfId="1" applyNumberFormat="1" applyFont="1" applyAlignment="1">
      <alignment wrapText="1"/>
    </xf>
    <xf numFmtId="164" fontId="4" fillId="0" borderId="21" xfId="1" applyNumberFormat="1" applyFont="1" applyBorder="1" applyAlignment="1">
      <alignment wrapText="1"/>
    </xf>
    <xf numFmtId="164" fontId="0" fillId="0" borderId="22" xfId="1" applyNumberFormat="1" applyFont="1" applyBorder="1" applyAlignment="1">
      <alignment wrapText="1"/>
    </xf>
    <xf numFmtId="164" fontId="0" fillId="0" borderId="22" xfId="1" applyNumberFormat="1" applyFont="1" applyBorder="1"/>
    <xf numFmtId="164" fontId="16" fillId="0" borderId="22" xfId="1" applyNumberFormat="1" applyFont="1" applyBorder="1" applyAlignment="1">
      <alignment wrapText="1"/>
    </xf>
    <xf numFmtId="0" fontId="9" fillId="3" borderId="10" xfId="0" applyFont="1" applyFill="1" applyBorder="1"/>
    <xf numFmtId="0" fontId="0" fillId="3" borderId="10" xfId="0" applyFont="1" applyFill="1" applyBorder="1"/>
    <xf numFmtId="164" fontId="1" fillId="0" borderId="0" xfId="1" applyNumberFormat="1" applyFont="1" applyBorder="1"/>
    <xf numFmtId="0" fontId="15" fillId="0" borderId="0" xfId="0" applyFont="1" applyBorder="1" applyAlignment="1">
      <alignment horizontal="right"/>
    </xf>
    <xf numFmtId="164" fontId="15" fillId="0" borderId="0" xfId="1" applyNumberFormat="1" applyFont="1" applyBorder="1"/>
    <xf numFmtId="0" fontId="15" fillId="0" borderId="6" xfId="0" applyFont="1" applyBorder="1" applyAlignment="1">
      <alignment horizontal="right"/>
    </xf>
    <xf numFmtId="164" fontId="15" fillId="0" borderId="6" xfId="1" applyNumberFormat="1" applyFont="1" applyBorder="1"/>
    <xf numFmtId="0" fontId="16" fillId="3" borderId="10" xfId="0" applyFont="1" applyFill="1" applyBorder="1"/>
    <xf numFmtId="0" fontId="8" fillId="3" borderId="15" xfId="0" applyFont="1" applyFill="1" applyBorder="1" applyAlignment="1">
      <alignment horizontal="left"/>
    </xf>
    <xf numFmtId="9" fontId="17" fillId="3" borderId="15" xfId="260" applyFont="1" applyFill="1" applyBorder="1"/>
    <xf numFmtId="14" fontId="0" fillId="2" borderId="7" xfId="0" applyNumberFormat="1" applyFill="1" applyBorder="1"/>
    <xf numFmtId="0" fontId="0" fillId="2" borderId="8" xfId="0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0" fillId="2" borderId="8" xfId="0" applyFill="1" applyBorder="1"/>
    <xf numFmtId="0" fontId="0" fillId="2" borderId="8" xfId="0" applyFill="1" applyBorder="1" applyAlignment="1">
      <alignment horizontal="right"/>
    </xf>
    <xf numFmtId="164" fontId="0" fillId="2" borderId="8" xfId="1" applyNumberFormat="1" applyFont="1" applyFill="1" applyBorder="1"/>
    <xf numFmtId="9" fontId="0" fillId="2" borderId="8" xfId="260" applyFont="1" applyFill="1" applyBorder="1"/>
    <xf numFmtId="9" fontId="4" fillId="2" borderId="8" xfId="260" applyFont="1" applyFill="1" applyBorder="1" applyAlignment="1">
      <alignment horizontal="right"/>
    </xf>
    <xf numFmtId="3" fontId="0" fillId="2" borderId="8" xfId="0" applyNumberFormat="1" applyFill="1" applyBorder="1"/>
    <xf numFmtId="14" fontId="0" fillId="2" borderId="4" xfId="0" applyNumberFormat="1" applyFill="1" applyBorder="1"/>
    <xf numFmtId="0" fontId="8" fillId="2" borderId="15" xfId="0" applyFont="1" applyFill="1" applyBorder="1" applyAlignment="1">
      <alignment horizontal="left"/>
    </xf>
    <xf numFmtId="0" fontId="0" fillId="2" borderId="10" xfId="0" applyFont="1" applyFill="1" applyBorder="1"/>
    <xf numFmtId="9" fontId="9" fillId="0" borderId="0" xfId="260" applyFont="1"/>
    <xf numFmtId="16" fontId="0" fillId="0" borderId="0" xfId="0" applyNumberFormat="1"/>
    <xf numFmtId="14" fontId="0" fillId="0" borderId="2" xfId="0" applyNumberFormat="1" applyBorder="1"/>
    <xf numFmtId="14" fontId="0" fillId="0" borderId="0" xfId="0" applyNumberFormat="1" applyBorder="1"/>
    <xf numFmtId="14" fontId="0" fillId="0" borderId="5" xfId="0" applyNumberFormat="1" applyBorder="1"/>
    <xf numFmtId="0" fontId="4" fillId="0" borderId="5" xfId="0" applyFont="1" applyBorder="1" applyAlignment="1">
      <alignment horizontal="right"/>
    </xf>
    <xf numFmtId="164" fontId="4" fillId="0" borderId="5" xfId="1" applyNumberFormat="1" applyFont="1" applyBorder="1"/>
    <xf numFmtId="0" fontId="0" fillId="0" borderId="4" xfId="0" applyBorder="1"/>
    <xf numFmtId="0" fontId="0" fillId="0" borderId="0" xfId="0" applyFill="1" applyBorder="1"/>
    <xf numFmtId="0" fontId="4" fillId="0" borderId="5" xfId="0" applyFont="1" applyBorder="1"/>
    <xf numFmtId="164" fontId="6" fillId="0" borderId="2" xfId="1" applyNumberFormat="1" applyFont="1" applyBorder="1" applyAlignment="1">
      <alignment horizontal="center" wrapText="1"/>
    </xf>
    <xf numFmtId="14" fontId="0" fillId="3" borderId="3" xfId="0" applyNumberForma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164" fontId="0" fillId="3" borderId="0" xfId="1" applyNumberFormat="1" applyFont="1" applyFill="1" applyBorder="1"/>
    <xf numFmtId="9" fontId="0" fillId="3" borderId="0" xfId="260" applyFont="1" applyFill="1" applyBorder="1"/>
    <xf numFmtId="9" fontId="4" fillId="3" borderId="0" xfId="260" applyFont="1" applyFill="1" applyBorder="1" applyAlignment="1">
      <alignment horizontal="right"/>
    </xf>
    <xf numFmtId="3" fontId="0" fillId="3" borderId="0" xfId="0" applyNumberFormat="1" applyFill="1" applyBorder="1"/>
    <xf numFmtId="3" fontId="0" fillId="3" borderId="15" xfId="0" applyNumberFormat="1" applyFill="1" applyBorder="1"/>
    <xf numFmtId="0" fontId="6" fillId="0" borderId="0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8" fillId="6" borderId="10" xfId="0" applyFont="1" applyFill="1" applyBorder="1"/>
    <xf numFmtId="14" fontId="16" fillId="0" borderId="0" xfId="0" applyNumberFormat="1" applyFont="1"/>
    <xf numFmtId="14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64" fontId="0" fillId="0" borderId="0" xfId="1" applyNumberFormat="1" applyFont="1" applyBorder="1" applyAlignment="1">
      <alignment wrapText="1"/>
    </xf>
    <xf numFmtId="167" fontId="0" fillId="0" borderId="0" xfId="260" applyNumberFormat="1" applyFont="1" applyBorder="1" applyAlignment="1">
      <alignment wrapText="1"/>
    </xf>
    <xf numFmtId="167" fontId="0" fillId="0" borderId="0" xfId="1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3" xfId="0" applyFont="1" applyBorder="1"/>
    <xf numFmtId="167" fontId="0" fillId="0" borderId="18" xfId="260" applyNumberFormat="1" applyFont="1" applyBorder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167" fontId="0" fillId="0" borderId="5" xfId="260" applyNumberFormat="1" applyFont="1" applyBorder="1" applyAlignment="1">
      <alignment wrapText="1"/>
    </xf>
    <xf numFmtId="167" fontId="0" fillId="0" borderId="19" xfId="260" applyNumberFormat="1" applyFont="1" applyBorder="1"/>
    <xf numFmtId="164" fontId="0" fillId="0" borderId="0" xfId="0" applyNumberForma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4" fontId="6" fillId="0" borderId="0" xfId="0" applyNumberFormat="1" applyFont="1" applyAlignment="1">
      <alignment horizontal="center" wrapText="1"/>
    </xf>
    <xf numFmtId="0" fontId="22" fillId="0" borderId="0" xfId="0" applyFont="1"/>
    <xf numFmtId="0" fontId="18" fillId="0" borderId="0" xfId="0" applyFont="1" applyAlignment="1">
      <alignment horizontal="center" wrapText="1"/>
    </xf>
    <xf numFmtId="164" fontId="6" fillId="0" borderId="0" xfId="0" applyNumberFormat="1" applyFont="1" applyFill="1" applyAlignment="1">
      <alignment horizontal="center" wrapText="1"/>
    </xf>
    <xf numFmtId="164" fontId="23" fillId="0" borderId="0" xfId="0" applyNumberFormat="1" applyFont="1" applyFill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23" fillId="0" borderId="0" xfId="0" applyNumberFormat="1" applyFont="1" applyAlignment="1">
      <alignment horizontal="center" wrapText="1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164" fontId="4" fillId="4" borderId="0" xfId="0" applyNumberFormat="1" applyFont="1" applyFill="1" applyAlignment="1">
      <alignment horizontal="center"/>
    </xf>
    <xf numFmtId="43" fontId="0" fillId="0" borderId="6" xfId="0" applyNumberFormat="1" applyBorder="1"/>
    <xf numFmtId="0" fontId="4" fillId="3" borderId="10" xfId="0" applyFont="1" applyFill="1" applyBorder="1"/>
    <xf numFmtId="164" fontId="0" fillId="4" borderId="10" xfId="1" applyNumberFormat="1" applyFont="1" applyFill="1" applyBorder="1"/>
    <xf numFmtId="14" fontId="0" fillId="2" borderId="1" xfId="0" applyNumberFormat="1" applyFill="1" applyBorder="1"/>
    <xf numFmtId="14" fontId="0" fillId="2" borderId="14" xfId="0" applyNumberFormat="1" applyFill="1" applyBorder="1"/>
    <xf numFmtId="0" fontId="0" fillId="2" borderId="10" xfId="0" applyFill="1" applyBorder="1" applyAlignment="1">
      <alignment horizontal="left"/>
    </xf>
    <xf numFmtId="164" fontId="0" fillId="2" borderId="10" xfId="1" applyNumberFormat="1" applyFont="1" applyFill="1" applyBorder="1" applyAlignment="1">
      <alignment horizontal="right"/>
    </xf>
    <xf numFmtId="0" fontId="4" fillId="0" borderId="0" xfId="0" applyFont="1" applyBorder="1"/>
    <xf numFmtId="168" fontId="0" fillId="7" borderId="17" xfId="260" applyNumberFormat="1" applyFont="1" applyFill="1" applyBorder="1"/>
    <xf numFmtId="168" fontId="0" fillId="8" borderId="18" xfId="260" applyNumberFormat="1" applyFont="1" applyFill="1" applyBorder="1"/>
    <xf numFmtId="168" fontId="0" fillId="9" borderId="18" xfId="260" applyNumberFormat="1" applyFont="1" applyFill="1" applyBorder="1"/>
    <xf numFmtId="168" fontId="0" fillId="7" borderId="18" xfId="260" applyNumberFormat="1" applyFont="1" applyFill="1" applyBorder="1"/>
    <xf numFmtId="168" fontId="0" fillId="10" borderId="19" xfId="260" applyNumberFormat="1" applyFont="1" applyFill="1" applyBorder="1"/>
    <xf numFmtId="10" fontId="0" fillId="7" borderId="1" xfId="260" applyNumberFormat="1" applyFont="1" applyFill="1" applyBorder="1"/>
    <xf numFmtId="10" fontId="0" fillId="8" borderId="3" xfId="260" applyNumberFormat="1" applyFont="1" applyFill="1" applyBorder="1"/>
    <xf numFmtId="10" fontId="0" fillId="9" borderId="3" xfId="260" applyNumberFormat="1" applyFont="1" applyFill="1" applyBorder="1"/>
    <xf numFmtId="10" fontId="0" fillId="10" borderId="4" xfId="260" applyNumberFormat="1" applyFont="1" applyFill="1" applyBorder="1"/>
    <xf numFmtId="10" fontId="0" fillId="7" borderId="1" xfId="0" applyNumberFormat="1" applyFill="1" applyBorder="1"/>
    <xf numFmtId="10" fontId="0" fillId="8" borderId="3" xfId="0" applyNumberFormat="1" applyFill="1" applyBorder="1"/>
    <xf numFmtId="10" fontId="0" fillId="9" borderId="3" xfId="0" applyNumberFormat="1" applyFill="1" applyBorder="1"/>
    <xf numFmtId="10" fontId="0" fillId="10" borderId="4" xfId="0" applyNumberFormat="1" applyFill="1" applyBorder="1"/>
    <xf numFmtId="10" fontId="0" fillId="7" borderId="3" xfId="260" applyNumberFormat="1" applyFont="1" applyFill="1" applyBorder="1"/>
    <xf numFmtId="168" fontId="0" fillId="7" borderId="17" xfId="0" applyNumberFormat="1" applyFill="1" applyBorder="1"/>
    <xf numFmtId="168" fontId="0" fillId="8" borderId="18" xfId="0" applyNumberFormat="1" applyFill="1" applyBorder="1"/>
    <xf numFmtId="168" fontId="0" fillId="9" borderId="18" xfId="0" applyNumberFormat="1" applyFill="1" applyBorder="1"/>
    <xf numFmtId="168" fontId="0" fillId="10" borderId="19" xfId="0" applyNumberFormat="1" applyFill="1" applyBorder="1"/>
    <xf numFmtId="10" fontId="4" fillId="7" borderId="2" xfId="260" applyNumberFormat="1" applyFont="1" applyFill="1" applyBorder="1"/>
    <xf numFmtId="10" fontId="4" fillId="8" borderId="0" xfId="260" applyNumberFormat="1" applyFont="1" applyFill="1" applyBorder="1"/>
    <xf numFmtId="10" fontId="4" fillId="9" borderId="0" xfId="260" applyNumberFormat="1" applyFont="1" applyFill="1" applyBorder="1"/>
    <xf numFmtId="10" fontId="4" fillId="10" borderId="5" xfId="260" applyNumberFormat="1" applyFont="1" applyFill="1" applyBorder="1"/>
    <xf numFmtId="10" fontId="4" fillId="7" borderId="0" xfId="260" applyNumberFormat="1" applyFont="1" applyFill="1" applyBorder="1"/>
    <xf numFmtId="0" fontId="8" fillId="11" borderId="10" xfId="0" applyFont="1" applyFill="1" applyBorder="1"/>
    <xf numFmtId="14" fontId="0" fillId="2" borderId="15" xfId="0" applyNumberFormat="1" applyFill="1" applyBorder="1"/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0" fillId="2" borderId="15" xfId="0" applyFill="1" applyBorder="1" applyAlignment="1">
      <alignment horizontal="right"/>
    </xf>
    <xf numFmtId="0" fontId="0" fillId="2" borderId="15" xfId="0" applyFont="1" applyFill="1" applyBorder="1"/>
    <xf numFmtId="164" fontId="0" fillId="2" borderId="15" xfId="1" applyNumberFormat="1" applyFont="1" applyFill="1" applyBorder="1"/>
    <xf numFmtId="9" fontId="0" fillId="2" borderId="15" xfId="260" applyFont="1" applyFill="1" applyBorder="1"/>
    <xf numFmtId="9" fontId="17" fillId="2" borderId="15" xfId="260" applyFont="1" applyFill="1" applyBorder="1"/>
    <xf numFmtId="3" fontId="0" fillId="2" borderId="15" xfId="0" applyNumberFormat="1" applyFill="1" applyBorder="1"/>
    <xf numFmtId="0" fontId="0" fillId="3" borderId="8" xfId="0" applyFont="1" applyFill="1" applyBorder="1"/>
    <xf numFmtId="9" fontId="17" fillId="3" borderId="8" xfId="260" applyFont="1" applyFill="1" applyBorder="1" applyAlignment="1">
      <alignment horizontal="right"/>
    </xf>
    <xf numFmtId="0" fontId="0" fillId="3" borderId="12" xfId="0" applyFont="1" applyFill="1" applyBorder="1"/>
    <xf numFmtId="3" fontId="0" fillId="3" borderId="12" xfId="0" applyNumberFormat="1" applyFill="1" applyBorder="1"/>
    <xf numFmtId="164" fontId="0" fillId="12" borderId="10" xfId="1" applyNumberFormat="1" applyFont="1" applyFill="1" applyBorder="1"/>
    <xf numFmtId="0" fontId="0" fillId="2" borderId="10" xfId="0" applyNumberFormat="1" applyFill="1" applyBorder="1"/>
    <xf numFmtId="0" fontId="5" fillId="0" borderId="0" xfId="0" applyFont="1" applyAlignment="1">
      <alignment horizontal="right" wrapText="1"/>
    </xf>
    <xf numFmtId="164" fontId="8" fillId="12" borderId="14" xfId="1" applyNumberFormat="1" applyFont="1" applyFill="1" applyBorder="1"/>
    <xf numFmtId="164" fontId="0" fillId="12" borderId="8" xfId="1" applyNumberFormat="1" applyFont="1" applyFill="1" applyBorder="1"/>
    <xf numFmtId="43" fontId="0" fillId="2" borderId="10" xfId="1" applyNumberFormat="1" applyFont="1" applyFill="1" applyBorder="1" applyAlignment="1">
      <alignment horizontal="left"/>
    </xf>
    <xf numFmtId="43" fontId="0" fillId="3" borderId="10" xfId="1" applyNumberFormat="1" applyFont="1" applyFill="1" applyBorder="1" applyAlignment="1">
      <alignment horizontal="left"/>
    </xf>
    <xf numFmtId="164" fontId="5" fillId="0" borderId="0" xfId="1" applyNumberFormat="1" applyFont="1" applyAlignment="1">
      <alignment horizontal="left" wrapText="1"/>
    </xf>
    <xf numFmtId="164" fontId="0" fillId="0" borderId="2" xfId="1" applyNumberFormat="1" applyFont="1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164" fontId="0" fillId="0" borderId="5" xfId="1" applyNumberFormat="1" applyFont="1" applyBorder="1" applyAlignment="1">
      <alignment horizontal="left"/>
    </xf>
    <xf numFmtId="164" fontId="0" fillId="2" borderId="10" xfId="1" applyNumberFormat="1" applyFont="1" applyFill="1" applyBorder="1" applyAlignment="1">
      <alignment horizontal="left"/>
    </xf>
    <xf numFmtId="164" fontId="0" fillId="5" borderId="14" xfId="1" applyNumberFormat="1" applyFont="1" applyFill="1" applyBorder="1" applyAlignment="1">
      <alignment horizontal="left"/>
    </xf>
    <xf numFmtId="164" fontId="0" fillId="5" borderId="0" xfId="1" applyNumberFormat="1" applyFont="1" applyFill="1" applyBorder="1" applyAlignment="1">
      <alignment horizontal="left"/>
    </xf>
    <xf numFmtId="164" fontId="0" fillId="3" borderId="8" xfId="1" applyNumberFormat="1" applyFont="1" applyFill="1" applyBorder="1" applyAlignment="1">
      <alignment horizontal="left"/>
    </xf>
    <xf numFmtId="164" fontId="0" fillId="3" borderId="10" xfId="1" applyNumberFormat="1" applyFont="1" applyFill="1" applyBorder="1" applyAlignment="1">
      <alignment horizontal="left"/>
    </xf>
    <xf numFmtId="164" fontId="0" fillId="3" borderId="15" xfId="1" applyNumberFormat="1" applyFont="1" applyFill="1" applyBorder="1" applyAlignment="1">
      <alignment horizontal="left"/>
    </xf>
    <xf numFmtId="164" fontId="0" fillId="3" borderId="12" xfId="1" applyNumberFormat="1" applyFont="1" applyFill="1" applyBorder="1" applyAlignment="1">
      <alignment horizontal="left"/>
    </xf>
    <xf numFmtId="164" fontId="0" fillId="2" borderId="14" xfId="1" applyNumberFormat="1" applyFont="1" applyFill="1" applyBorder="1" applyAlignment="1">
      <alignment horizontal="left"/>
    </xf>
    <xf numFmtId="164" fontId="0" fillId="2" borderId="12" xfId="1" applyNumberFormat="1" applyFont="1" applyFill="1" applyBorder="1" applyAlignment="1">
      <alignment horizontal="left"/>
    </xf>
    <xf numFmtId="164" fontId="0" fillId="2" borderId="15" xfId="1" applyNumberFormat="1" applyFont="1" applyFill="1" applyBorder="1" applyAlignment="1">
      <alignment horizontal="left"/>
    </xf>
    <xf numFmtId="164" fontId="0" fillId="0" borderId="0" xfId="1" applyNumberFormat="1" applyFont="1" applyAlignment="1">
      <alignment horizontal="left"/>
    </xf>
    <xf numFmtId="9" fontId="0" fillId="0" borderId="0" xfId="0" applyNumberFormat="1"/>
    <xf numFmtId="9" fontId="0" fillId="3" borderId="14" xfId="0" applyNumberFormat="1" applyFill="1" applyBorder="1"/>
    <xf numFmtId="9" fontId="0" fillId="2" borderId="14" xfId="0" applyNumberFormat="1" applyFill="1" applyBorder="1"/>
    <xf numFmtId="9" fontId="0" fillId="3" borderId="8" xfId="0" applyNumberFormat="1" applyFill="1" applyBorder="1"/>
    <xf numFmtId="9" fontId="0" fillId="2" borderId="8" xfId="0" applyNumberFormat="1" applyFill="1" applyBorder="1"/>
    <xf numFmtId="164" fontId="0" fillId="12" borderId="10" xfId="0" applyNumberFormat="1" applyFill="1" applyBorder="1"/>
    <xf numFmtId="9" fontId="0" fillId="3" borderId="0" xfId="0" applyNumberFormat="1" applyFill="1" applyBorder="1"/>
    <xf numFmtId="10" fontId="0" fillId="0" borderId="0" xfId="0" applyNumberFormat="1"/>
    <xf numFmtId="168" fontId="0" fillId="0" borderId="0" xfId="0" applyNumberFormat="1"/>
    <xf numFmtId="10" fontId="0" fillId="0" borderId="0" xfId="0" applyNumberFormat="1" applyFill="1"/>
    <xf numFmtId="0" fontId="8" fillId="0" borderId="3" xfId="0" applyFont="1" applyBorder="1" applyAlignment="1">
      <alignment horizontal="right"/>
    </xf>
    <xf numFmtId="0" fontId="0" fillId="0" borderId="2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5" xfId="0" applyFont="1" applyBorder="1" applyAlignment="1">
      <alignment wrapText="1"/>
    </xf>
    <xf numFmtId="167" fontId="0" fillId="0" borderId="0" xfId="0" applyNumberFormat="1"/>
    <xf numFmtId="0" fontId="4" fillId="0" borderId="1" xfId="0" applyFont="1" applyBorder="1" applyAlignment="1">
      <alignment wrapText="1"/>
    </xf>
    <xf numFmtId="164" fontId="0" fillId="0" borderId="18" xfId="0" applyNumberFormat="1" applyBorder="1"/>
    <xf numFmtId="164" fontId="0" fillId="0" borderId="19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8" fillId="13" borderId="14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8" fillId="0" borderId="0" xfId="0" applyFont="1" applyAlignment="1">
      <alignment horizontal="left"/>
    </xf>
    <xf numFmtId="43" fontId="0" fillId="0" borderId="0" xfId="1" applyFont="1"/>
    <xf numFmtId="43" fontId="0" fillId="0" borderId="0" xfId="1" applyFont="1" applyBorder="1"/>
    <xf numFmtId="0" fontId="0" fillId="0" borderId="3" xfId="0" applyBorder="1" applyAlignment="1">
      <alignment horizontal="left"/>
    </xf>
    <xf numFmtId="0" fontId="0" fillId="0" borderId="18" xfId="0" applyBorder="1" applyAlignment="1">
      <alignment horizontal="left"/>
    </xf>
    <xf numFmtId="164" fontId="0" fillId="0" borderId="3" xfId="1" applyNumberFormat="1" applyFont="1" applyBorder="1"/>
    <xf numFmtId="164" fontId="0" fillId="0" borderId="18" xfId="1" applyNumberFormat="1" applyFont="1" applyBorder="1"/>
    <xf numFmtId="0" fontId="0" fillId="0" borderId="3" xfId="0" applyBorder="1"/>
    <xf numFmtId="43" fontId="0" fillId="0" borderId="18" xfId="1" applyFont="1" applyBorder="1"/>
    <xf numFmtId="164" fontId="0" fillId="0" borderId="3" xfId="0" applyNumberFormat="1" applyBorder="1"/>
    <xf numFmtId="0" fontId="0" fillId="0" borderId="18" xfId="0" applyBorder="1"/>
    <xf numFmtId="43" fontId="0" fillId="0" borderId="3" xfId="1" applyFont="1" applyBorder="1"/>
    <xf numFmtId="43" fontId="4" fillId="0" borderId="0" xfId="0" applyNumberFormat="1" applyFont="1"/>
    <xf numFmtId="0" fontId="0" fillId="0" borderId="0" xfId="0" applyFont="1"/>
    <xf numFmtId="0" fontId="0" fillId="4" borderId="0" xfId="0" applyFill="1"/>
    <xf numFmtId="2" fontId="0" fillId="4" borderId="0" xfId="0" applyNumberFormat="1" applyFill="1"/>
    <xf numFmtId="0" fontId="0" fillId="0" borderId="0" xfId="0" applyFill="1"/>
    <xf numFmtId="0" fontId="8" fillId="0" borderId="0" xfId="0" applyFont="1" applyFill="1"/>
    <xf numFmtId="169" fontId="0" fillId="0" borderId="0" xfId="1" applyNumberFormat="1" applyFont="1"/>
    <xf numFmtId="167" fontId="0" fillId="0" borderId="0" xfId="260" applyNumberFormat="1" applyFont="1"/>
    <xf numFmtId="167" fontId="9" fillId="0" borderId="0" xfId="260" applyNumberFormat="1" applyFont="1"/>
    <xf numFmtId="167" fontId="4" fillId="0" borderId="0" xfId="260" applyNumberFormat="1" applyFont="1"/>
    <xf numFmtId="169" fontId="0" fillId="0" borderId="0" xfId="1" applyNumberFormat="1" applyFont="1" applyFill="1"/>
    <xf numFmtId="167" fontId="0" fillId="0" borderId="0" xfId="260" applyNumberFormat="1" applyFont="1" applyFill="1"/>
    <xf numFmtId="43" fontId="0" fillId="0" borderId="0" xfId="1" applyFont="1" applyFill="1"/>
    <xf numFmtId="43" fontId="4" fillId="0" borderId="0" xfId="0" applyNumberFormat="1" applyFont="1" applyFill="1"/>
    <xf numFmtId="0" fontId="8" fillId="0" borderId="0" xfId="0" applyFont="1"/>
    <xf numFmtId="0" fontId="4" fillId="0" borderId="0" xfId="0" applyFont="1" applyFill="1"/>
    <xf numFmtId="0" fontId="20" fillId="0" borderId="20" xfId="0" applyFont="1" applyBorder="1" applyAlignment="1">
      <alignment horizontal="center"/>
    </xf>
    <xf numFmtId="14" fontId="19" fillId="0" borderId="0" xfId="0" applyNumberFormat="1" applyFont="1" applyFill="1" applyBorder="1" applyAlignment="1">
      <alignment horizontal="center"/>
    </xf>
    <xf numFmtId="164" fontId="20" fillId="0" borderId="20" xfId="1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3235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Normal" xfId="0" builtinId="0"/>
    <cellStyle name="Percent" xfId="260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1" i="0" baseline="0">
                <a:effectLst/>
              </a:rPr>
              <a:t>Oyster Bay  F1</a:t>
            </a:r>
            <a:endParaRPr lang="en-US" sz="1400">
              <a:effectLst/>
            </a:endParaRPr>
          </a:p>
          <a:p>
            <a:pPr>
              <a:defRPr sz="1400"/>
            </a:pPr>
            <a:r>
              <a:rPr lang="en-US" sz="1400" b="1" i="0" baseline="0">
                <a:effectLst/>
              </a:rPr>
              <a:t>South Puget Sound</a:t>
            </a:r>
            <a:endParaRPr lang="en-US" sz="1400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5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0.008%</a:t>
                    </a:r>
                  </a:p>
                  <a:p>
                    <a:r>
                      <a:rPr lang="en-US"/>
                      <a:t>n=54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0.005%</a:t>
                    </a:r>
                  </a:p>
                  <a:p>
                    <a:r>
                      <a:rPr lang="en-US"/>
                      <a:t>n=35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0.029%</a:t>
                    </a:r>
                  </a:p>
                  <a:p>
                    <a:r>
                      <a:rPr lang="en-US"/>
                      <a:t>n=128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0.041%</a:t>
                    </a:r>
                  </a:p>
                  <a:p>
                    <a:r>
                      <a:rPr lang="en-US"/>
                      <a:t>n=211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Larvae to Date'!$AD$6:$AD$9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cat>
          <c:val>
            <c:numRef>
              <c:f>'Total Larvae to Date'!$AG$6:$AG$9</c:f>
              <c:numCache>
                <c:formatCode>0.000%</c:formatCode>
                <c:ptCount val="4"/>
                <c:pt idx="0">
                  <c:v>7.61739367583915E-5</c:v>
                </c:pt>
                <c:pt idx="1">
                  <c:v>5.41352685689342E-5</c:v>
                </c:pt>
                <c:pt idx="2">
                  <c:v>0.000294091877978829</c:v>
                </c:pt>
                <c:pt idx="3">
                  <c:v>0.000409082537087242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616728"/>
        <c:axId val="2131619784"/>
      </c:barChart>
      <c:scatterChart>
        <c:scatterStyle val="lineMarker"/>
        <c:varyColors val="0"/>
        <c:ser>
          <c:idx val="1"/>
          <c:order val="1"/>
          <c:spPr>
            <a:ln w="47625"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strRef>
              <c:f>'Total Larvae to Date'!$AD$6:$AD$9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xVal>
          <c:yVal>
            <c:numRef>
              <c:f>'Total Larvae to Date'!$AH$6:$AH$9</c:f>
              <c:numCache>
                <c:formatCode>_(* #,##0_);_(* \(#,##0\);_(* "-"??_);_(@_)</c:formatCode>
                <c:ptCount val="4"/>
                <c:pt idx="0">
                  <c:v>708903.888888889</c:v>
                </c:pt>
                <c:pt idx="1">
                  <c:v>646528.6111111111</c:v>
                </c:pt>
                <c:pt idx="2">
                  <c:v>435238.1333333333</c:v>
                </c:pt>
                <c:pt idx="3">
                  <c:v>515788.3333333333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631096"/>
        <c:axId val="2131625416"/>
      </c:scatterChart>
      <c:catAx>
        <c:axId val="2131616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619784"/>
        <c:crosses val="autoZero"/>
        <c:auto val="1"/>
        <c:lblAlgn val="ctr"/>
        <c:lblOffset val="100"/>
        <c:noMultiLvlLbl val="0"/>
      </c:catAx>
      <c:valAx>
        <c:axId val="2131619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SURVIVAL</a:t>
                </a:r>
              </a:p>
            </c:rich>
          </c:tx>
          <c:layout>
            <c:manualLayout>
              <c:xMode val="edge"/>
              <c:yMode val="edge"/>
              <c:x val="0.0161127895266868"/>
              <c:y val="0.411925414860602"/>
            </c:manualLayout>
          </c:layout>
          <c:overlay val="0"/>
        </c:title>
        <c:numFmt formatCode="0.000%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2131616728"/>
        <c:crosses val="autoZero"/>
        <c:crossBetween val="between"/>
        <c:majorUnit val="0.0001"/>
      </c:valAx>
      <c:valAx>
        <c:axId val="2131625416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sz="1400"/>
                  <a:t>#</a:t>
                </a:r>
                <a:r>
                  <a:rPr lang="en-US" sz="1400" baseline="0"/>
                  <a:t> LARVAE STOCKED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93998001760354"/>
              <c:y val="0.35885557464926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131631096"/>
        <c:crosses val="max"/>
        <c:crossBetween val="midCat"/>
      </c:valAx>
      <c:valAx>
        <c:axId val="2131631096"/>
        <c:scaling>
          <c:orientation val="minMax"/>
        </c:scaling>
        <c:delete val="1"/>
        <c:axPos val="b"/>
        <c:majorTickMark val="out"/>
        <c:minorTickMark val="none"/>
        <c:tickLblPos val="nextTo"/>
        <c:crossAx val="2131625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1" i="0" baseline="0">
                <a:effectLst/>
              </a:rPr>
              <a:t>Oyster Bay  F2</a:t>
            </a:r>
            <a:endParaRPr lang="en-US" sz="1400">
              <a:effectLst/>
            </a:endParaRPr>
          </a:p>
          <a:p>
            <a:pPr>
              <a:defRPr sz="1400"/>
            </a:pPr>
            <a:r>
              <a:rPr lang="en-US" sz="1400" b="1" i="0" baseline="0">
                <a:effectLst/>
              </a:rPr>
              <a:t>South Puget Sound</a:t>
            </a:r>
            <a:endParaRPr lang="en-US" sz="1400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5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0.082%</a:t>
                    </a:r>
                  </a:p>
                  <a:p>
                    <a:r>
                      <a:rPr lang="en-US"/>
                      <a:t>n=259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0.055%</a:t>
                    </a:r>
                  </a:p>
                  <a:p>
                    <a:r>
                      <a:rPr lang="en-US"/>
                      <a:t>n=122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0.112%</a:t>
                    </a:r>
                  </a:p>
                  <a:p>
                    <a:r>
                      <a:rPr lang="en-US"/>
                      <a:t>n=372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0.198%</a:t>
                    </a:r>
                  </a:p>
                  <a:p>
                    <a:r>
                      <a:rPr lang="en-US"/>
                      <a:t>n=341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Larvae to Date'!$AD$14:$AD$17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cat>
          <c:val>
            <c:numRef>
              <c:f>'Total Larvae to Date'!$AG$14:$AG$17</c:f>
              <c:numCache>
                <c:formatCode>0.000%</c:formatCode>
                <c:ptCount val="4"/>
                <c:pt idx="0">
                  <c:v>0.00082369310276287</c:v>
                </c:pt>
                <c:pt idx="1">
                  <c:v>0.000550823224874334</c:v>
                </c:pt>
                <c:pt idx="2">
                  <c:v>0.00111652290489379</c:v>
                </c:pt>
                <c:pt idx="3">
                  <c:v>0.00198258375431207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679992"/>
        <c:axId val="2131683048"/>
      </c:barChart>
      <c:scatterChart>
        <c:scatterStyle val="lineMarker"/>
        <c:varyColors val="0"/>
        <c:ser>
          <c:idx val="1"/>
          <c:order val="1"/>
          <c:spPr>
            <a:ln w="47625"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strRef>
              <c:f>'Total Larvae to Date'!$AD$14:$AD$17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xVal>
          <c:yVal>
            <c:numRef>
              <c:f>'Total Larvae to Date'!$AH$14:$AH$17</c:f>
              <c:numCache>
                <c:formatCode>_(* #,##0_);_(* \(#,##0\);_(* "-"??_);_(@_)</c:formatCode>
                <c:ptCount val="4"/>
                <c:pt idx="0">
                  <c:v>314437.5000000001</c:v>
                </c:pt>
                <c:pt idx="1">
                  <c:v>221486.6666666667</c:v>
                </c:pt>
                <c:pt idx="2">
                  <c:v>333177.2222222221</c:v>
                </c:pt>
                <c:pt idx="3">
                  <c:v>171997.7777777778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694360"/>
        <c:axId val="2131688680"/>
      </c:scatterChart>
      <c:catAx>
        <c:axId val="2131679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683048"/>
        <c:crosses val="autoZero"/>
        <c:auto val="1"/>
        <c:lblAlgn val="ctr"/>
        <c:lblOffset val="100"/>
        <c:noMultiLvlLbl val="0"/>
      </c:catAx>
      <c:valAx>
        <c:axId val="2131683048"/>
        <c:scaling>
          <c:orientation val="minMax"/>
          <c:max val="0.0025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SURVIVAL</a:t>
                </a:r>
              </a:p>
            </c:rich>
          </c:tx>
          <c:layout>
            <c:manualLayout>
              <c:xMode val="edge"/>
              <c:yMode val="edge"/>
              <c:x val="0.014098690835851"/>
              <c:y val="0.421697401831286"/>
            </c:manualLayout>
          </c:layout>
          <c:overlay val="0"/>
        </c:title>
        <c:numFmt formatCode="0.000%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2131679992"/>
        <c:crosses val="autoZero"/>
        <c:crossBetween val="between"/>
      </c:valAx>
      <c:valAx>
        <c:axId val="2131688680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sz="1400"/>
                  <a:t>#</a:t>
                </a:r>
                <a:r>
                  <a:rPr lang="en-US" sz="1400" baseline="0"/>
                  <a:t> LARVAE STOCKED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941994116294376"/>
              <c:y val="0.355598245659032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131694360"/>
        <c:crosses val="max"/>
        <c:crossBetween val="midCat"/>
      </c:valAx>
      <c:valAx>
        <c:axId val="2131694360"/>
        <c:scaling>
          <c:orientation val="minMax"/>
        </c:scaling>
        <c:delete val="1"/>
        <c:axPos val="b"/>
        <c:majorTickMark val="out"/>
        <c:minorTickMark val="none"/>
        <c:tickLblPos val="nextTo"/>
        <c:crossAx val="2131688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Oyster Bay  F1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South Puget Sound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Static mini-experiment</a:t>
            </a:r>
            <a:endParaRPr lang="en-US" sz="1400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5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0.5%</a:t>
                    </a:r>
                  </a:p>
                  <a:p>
                    <a:r>
                      <a:rPr lang="en-US"/>
                      <a:t>n=4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3%</a:t>
                    </a:r>
                  </a:p>
                  <a:p>
                    <a:r>
                      <a:rPr lang="en-US"/>
                      <a:t>n=31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12%</a:t>
                    </a:r>
                  </a:p>
                  <a:p>
                    <a:r>
                      <a:rPr lang="en-US"/>
                      <a:t>n=96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34%</a:t>
                    </a:r>
                  </a:p>
                  <a:p>
                    <a:r>
                      <a:rPr lang="en-US"/>
                      <a:t>n-275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Larvae to Date'!$AD$18:$AD$21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cat>
          <c:val>
            <c:numRef>
              <c:f>'Total Larvae to Date'!$AG$18:$AG$21</c:f>
              <c:numCache>
                <c:formatCode>0%</c:formatCode>
                <c:ptCount val="4"/>
                <c:pt idx="0" formatCode="0.0%">
                  <c:v>0.005</c:v>
                </c:pt>
                <c:pt idx="1">
                  <c:v>0.03</c:v>
                </c:pt>
                <c:pt idx="2">
                  <c:v>0.12</c:v>
                </c:pt>
                <c:pt idx="3">
                  <c:v>0.34375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826904"/>
        <c:axId val="2130823832"/>
      </c:barChart>
      <c:scatterChart>
        <c:scatterStyle val="lineMarker"/>
        <c:varyColors val="0"/>
        <c:ser>
          <c:idx val="1"/>
          <c:order val="1"/>
          <c:spPr>
            <a:ln w="47625"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strRef>
              <c:f>'Total Larvae to Date'!$AD$18:$AD$21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xVal>
          <c:yVal>
            <c:numRef>
              <c:f>'Total Larvae to Date'!$AH$18:$AH$21</c:f>
              <c:numCache>
                <c:formatCode>_(* #,##0_);_(* \(#,##0\);_(* "-"??_);_(@_)</c:formatCode>
                <c:ptCount val="4"/>
                <c:pt idx="0">
                  <c:v>800.0</c:v>
                </c:pt>
                <c:pt idx="1">
                  <c:v>800.0</c:v>
                </c:pt>
                <c:pt idx="2">
                  <c:v>800.0</c:v>
                </c:pt>
                <c:pt idx="3">
                  <c:v>800.0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812472"/>
        <c:axId val="2130818200"/>
      </c:scatterChart>
      <c:catAx>
        <c:axId val="2130826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823832"/>
        <c:crosses val="autoZero"/>
        <c:auto val="1"/>
        <c:lblAlgn val="ctr"/>
        <c:lblOffset val="100"/>
        <c:noMultiLvlLbl val="0"/>
      </c:catAx>
      <c:valAx>
        <c:axId val="213082383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SURVIVAL</a:t>
                </a:r>
              </a:p>
            </c:rich>
          </c:tx>
          <c:layout>
            <c:manualLayout>
              <c:xMode val="edge"/>
              <c:yMode val="edge"/>
              <c:x val="0.014098690835851"/>
              <c:y val="0.421697401831286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2130826904"/>
        <c:crosses val="autoZero"/>
        <c:crossBetween val="between"/>
      </c:valAx>
      <c:valAx>
        <c:axId val="2130818200"/>
        <c:scaling>
          <c:orientation val="minMax"/>
          <c:max val="1000.0"/>
          <c:min val="0.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sz="1400"/>
                  <a:t>#</a:t>
                </a:r>
                <a:r>
                  <a:rPr lang="en-US" sz="1400" baseline="0"/>
                  <a:t> LARVAE STOCKED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941994116294376"/>
              <c:y val="0.355598245659032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130812472"/>
        <c:crosses val="max"/>
        <c:crossBetween val="midCat"/>
        <c:minorUnit val="5.0"/>
      </c:valAx>
      <c:valAx>
        <c:axId val="2130812472"/>
        <c:scaling>
          <c:orientation val="minMax"/>
        </c:scaling>
        <c:delete val="1"/>
        <c:axPos val="b"/>
        <c:majorTickMark val="out"/>
        <c:minorTickMark val="none"/>
        <c:tickLblPos val="nextTo"/>
        <c:crossAx val="2130818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Fidalgo Bay  F1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North Puget Sound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1998874007819"/>
          <c:y val="0.151592105923065"/>
          <c:w val="0.700164775475573"/>
          <c:h val="0.75494733938512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5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0.241%</a:t>
                    </a:r>
                  </a:p>
                  <a:p>
                    <a:r>
                      <a:rPr lang="en-US"/>
                      <a:t>n=661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0.037%</a:t>
                    </a:r>
                  </a:p>
                  <a:p>
                    <a:r>
                      <a:rPr lang="en-US"/>
                      <a:t>n=77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1.151%</a:t>
                    </a:r>
                  </a:p>
                  <a:p>
                    <a:r>
                      <a:rPr lang="en-US"/>
                      <a:t>n=1508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0.185%</a:t>
                    </a:r>
                  </a:p>
                  <a:p>
                    <a:r>
                      <a:rPr lang="en-US"/>
                      <a:t>n=684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Larvae to Date'!$AD$2:$AD$5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cat>
          <c:val>
            <c:numRef>
              <c:f>'Total Larvae to Date'!$AG$2:$AG$5</c:f>
              <c:numCache>
                <c:formatCode>0.000%</c:formatCode>
                <c:ptCount val="4"/>
                <c:pt idx="0">
                  <c:v>0.00240833334345408</c:v>
                </c:pt>
                <c:pt idx="1">
                  <c:v>0.000365090403337969</c:v>
                </c:pt>
                <c:pt idx="2">
                  <c:v>0.0115110110301134</c:v>
                </c:pt>
                <c:pt idx="3">
                  <c:v>0.00185147311815021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765272"/>
        <c:axId val="2130762200"/>
      </c:barChart>
      <c:scatterChart>
        <c:scatterStyle val="lineMarker"/>
        <c:varyColors val="0"/>
        <c:ser>
          <c:idx val="1"/>
          <c:order val="1"/>
          <c:spPr>
            <a:ln w="47625"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strRef>
              <c:f>'Total Larvae to Date'!$AD$2:$AD$5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xVal>
          <c:yVal>
            <c:numRef>
              <c:f>'Total Larvae to Date'!$AH$2:$AH$5</c:f>
              <c:numCache>
                <c:formatCode>_(* #,##0_);_(* \(#,##0\);_(* "-"??_);_(@_)</c:formatCode>
                <c:ptCount val="4"/>
                <c:pt idx="0">
                  <c:v>274463.6666666667</c:v>
                </c:pt>
                <c:pt idx="1">
                  <c:v>210906.6666666667</c:v>
                </c:pt>
                <c:pt idx="2">
                  <c:v>131005.0</c:v>
                </c:pt>
                <c:pt idx="3">
                  <c:v>369435.5555555556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750840"/>
        <c:axId val="2130756568"/>
      </c:scatterChart>
      <c:catAx>
        <c:axId val="2130765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762200"/>
        <c:crosses val="autoZero"/>
        <c:auto val="1"/>
        <c:lblAlgn val="ctr"/>
        <c:lblOffset val="100"/>
        <c:noMultiLvlLbl val="0"/>
      </c:catAx>
      <c:valAx>
        <c:axId val="2130762200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% SURVIVAL</a:t>
                </a:r>
              </a:p>
            </c:rich>
          </c:tx>
          <c:layout>
            <c:manualLayout>
              <c:xMode val="edge"/>
              <c:yMode val="edge"/>
              <c:x val="0.014098690835851"/>
              <c:y val="0.421697401831286"/>
            </c:manualLayout>
          </c:layout>
          <c:overlay val="0"/>
        </c:title>
        <c:numFmt formatCode="0.000%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2130765272"/>
        <c:crosses val="autoZero"/>
        <c:crossBetween val="between"/>
      </c:valAx>
      <c:valAx>
        <c:axId val="2130756568"/>
        <c:scaling>
          <c:orientation val="minMax"/>
          <c:min val="0.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sz="1400"/>
                  <a:t>#</a:t>
                </a:r>
                <a:r>
                  <a:rPr lang="en-US" sz="1400" baseline="0"/>
                  <a:t> LARVAE STOCKED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941994116294376"/>
              <c:y val="0.355598245659032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130750840"/>
        <c:crosses val="max"/>
        <c:crossBetween val="midCat"/>
        <c:minorUnit val="5.0"/>
      </c:valAx>
      <c:valAx>
        <c:axId val="2130750840"/>
        <c:scaling>
          <c:orientation val="minMax"/>
        </c:scaling>
        <c:delete val="1"/>
        <c:axPos val="b"/>
        <c:majorTickMark val="out"/>
        <c:minorTickMark val="none"/>
        <c:tickLblPos val="nextTo"/>
        <c:crossAx val="2130756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 Dabob Bay F1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Hoold Canal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5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0.50%</a:t>
                    </a:r>
                  </a:p>
                  <a:p>
                    <a:r>
                      <a:rPr lang="en-US"/>
                      <a:t>n=1,311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0.39%</a:t>
                    </a:r>
                  </a:p>
                  <a:p>
                    <a:r>
                      <a:rPr lang="en-US"/>
                      <a:t>n=1,091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1.35%</a:t>
                    </a:r>
                  </a:p>
                  <a:p>
                    <a:r>
                      <a:rPr lang="en-US"/>
                      <a:t>n=501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0.44%</a:t>
                    </a:r>
                  </a:p>
                  <a:p>
                    <a:r>
                      <a:rPr lang="en-US"/>
                      <a:t>n=834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Larvae to Date'!$AD$10:$AD$13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cat>
          <c:val>
            <c:numRef>
              <c:f>'Total Larvae to Date'!$AG$10:$AG$13</c:f>
              <c:numCache>
                <c:formatCode>0.00%</c:formatCode>
                <c:ptCount val="4"/>
                <c:pt idx="0">
                  <c:v>0.00501353535145595</c:v>
                </c:pt>
                <c:pt idx="1">
                  <c:v>0.00394247912952194</c:v>
                </c:pt>
                <c:pt idx="2">
                  <c:v>0.013509487298039</c:v>
                </c:pt>
                <c:pt idx="3">
                  <c:v>0.00437397378250654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5031096"/>
        <c:axId val="2135034216"/>
      </c:barChart>
      <c:scatterChart>
        <c:scatterStyle val="lineMarker"/>
        <c:varyColors val="0"/>
        <c:ser>
          <c:idx val="1"/>
          <c:order val="1"/>
          <c:spPr>
            <a:ln w="47625"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xVal>
            <c:strRef>
              <c:f>'Total Larvae to Date'!$AD$10:$AD$13</c:f>
              <c:strCache>
                <c:ptCount val="4"/>
                <c:pt idx="0">
                  <c:v>10°C, 7.8 pH</c:v>
                </c:pt>
                <c:pt idx="1">
                  <c:v>10°C, 7.2 pH</c:v>
                </c:pt>
                <c:pt idx="2">
                  <c:v>6°C, 7.8 pH</c:v>
                </c:pt>
                <c:pt idx="3">
                  <c:v>6°C, 7.2 pH</c:v>
                </c:pt>
              </c:strCache>
            </c:strRef>
          </c:xVal>
          <c:yVal>
            <c:numRef>
              <c:f>'Total Larvae to Date'!$AH$10:$AH$13</c:f>
              <c:numCache>
                <c:formatCode>_(* #,##0_);_(* \(#,##0\);_(* "-"??_);_(@_)</c:formatCode>
                <c:ptCount val="4"/>
                <c:pt idx="0">
                  <c:v>269869.4444444444</c:v>
                </c:pt>
                <c:pt idx="1">
                  <c:v>300065.0</c:v>
                </c:pt>
                <c:pt idx="2">
                  <c:v>48928.57777777778</c:v>
                </c:pt>
                <c:pt idx="3">
                  <c:v>227710.5555555556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35045432"/>
        <c:axId val="2135039720"/>
      </c:scatterChart>
      <c:catAx>
        <c:axId val="2135031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034216"/>
        <c:crosses val="autoZero"/>
        <c:auto val="1"/>
        <c:lblAlgn val="ctr"/>
        <c:lblOffset val="100"/>
        <c:noMultiLvlLbl val="0"/>
      </c:catAx>
      <c:valAx>
        <c:axId val="2135034216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SURVIVAL</a:t>
                </a:r>
              </a:p>
            </c:rich>
          </c:tx>
          <c:layout>
            <c:manualLayout>
              <c:xMode val="edge"/>
              <c:yMode val="edge"/>
              <c:x val="0.014098690835851"/>
              <c:y val="0.421697401831286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2135031096"/>
        <c:crosses val="autoZero"/>
        <c:crossBetween val="between"/>
      </c:valAx>
      <c:valAx>
        <c:axId val="2135039720"/>
        <c:scaling>
          <c:orientation val="minMax"/>
          <c:min val="0.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sz="1400"/>
                  <a:t>#</a:t>
                </a:r>
                <a:r>
                  <a:rPr lang="en-US" sz="1400" baseline="0"/>
                  <a:t> LARVAE STOCKED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941994116294376"/>
              <c:y val="0.355598245659032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135045432"/>
        <c:crosses val="max"/>
        <c:crossBetween val="midCat"/>
        <c:minorUnit val="5.0"/>
      </c:valAx>
      <c:valAx>
        <c:axId val="2135045432"/>
        <c:scaling>
          <c:orientation val="minMax"/>
        </c:scaling>
        <c:delete val="1"/>
        <c:axPos val="b"/>
        <c:majorTickMark val="out"/>
        <c:minorTickMark val="none"/>
        <c:tickLblPos val="nextTo"/>
        <c:crossAx val="2135039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/>
              <a:t>SPAWNING</a:t>
            </a:r>
            <a:r>
              <a:rPr lang="en-US" sz="2800" baseline="0"/>
              <a:t> DATA, COLOR CODED BY POPULATION</a:t>
            </a:r>
            <a:endParaRPr lang="en-US" sz="2800"/>
          </a:p>
        </c:rich>
      </c:tx>
      <c:layout>
        <c:manualLayout>
          <c:xMode val="edge"/>
          <c:yMode val="edge"/>
          <c:x val="0.288127043778532"/>
          <c:y val="0.0687772984885757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843692867005965"/>
          <c:y val="0.0515021199273168"/>
          <c:w val="0.915630723014678"/>
          <c:h val="0.882639031619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'Date Chart'!$B$2</c:f>
              <c:strCache>
                <c:ptCount val="1"/>
                <c:pt idx="0">
                  <c:v>SN-10 Ambient A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Chart'!$B:$B</c:f>
              <c:numCache>
                <c:formatCode>General</c:formatCode>
                <c:ptCount val="1048576"/>
                <c:pt idx="1">
                  <c:v>0.0</c:v>
                </c:pt>
                <c:pt idx="3" formatCode="_(* #,##0_);_(* \(#,##0\);_(* &quot;-&quot;??_);_(@_)">
                  <c:v>0.0</c:v>
                </c:pt>
                <c:pt idx="4" formatCode="_(* #,##0_);_(* \(#,##0\);_(* &quot;-&quot;??_);_(@_)">
                  <c:v>0.0</c:v>
                </c:pt>
                <c:pt idx="5" formatCode="_(* #,##0_);_(* \(#,##0\);_(* &quot;-&quot;??_);_(@_)">
                  <c:v>0.0</c:v>
                </c:pt>
                <c:pt idx="6" formatCode="_(* #,##0_);_(* \(#,##0\);_(* &quot;-&quot;??_);_(@_)">
                  <c:v>0.0</c:v>
                </c:pt>
                <c:pt idx="7" formatCode="_(* #,##0_);_(* \(#,##0\);_(* &quot;-&quot;??_);_(@_)">
                  <c:v>554500.0</c:v>
                </c:pt>
                <c:pt idx="8" formatCode="_(* #,##0_);_(* \(#,##0\);_(* &quot;-&quot;??_);_(@_)">
                  <c:v>0.0</c:v>
                </c:pt>
                <c:pt idx="9" formatCode="_(* #,##0_);_(* \(#,##0\);_(* &quot;-&quot;??_);_(@_)">
                  <c:v>53000.0</c:v>
                </c:pt>
                <c:pt idx="10" formatCode="_(* #,##0_);_(* \(#,##0\);_(* &quot;-&quot;??_);_(@_)">
                  <c:v>250.0</c:v>
                </c:pt>
                <c:pt idx="11" formatCode="_(* #,##0_);_(* \(#,##0\);_(* &quot;-&quot;??_);_(@_)">
                  <c:v>0.0</c:v>
                </c:pt>
                <c:pt idx="12" formatCode="_(* #,##0_);_(* \(#,##0\);_(* &quot;-&quot;??_);_(@_)">
                  <c:v>309333.3333333333</c:v>
                </c:pt>
                <c:pt idx="13" formatCode="_(* #,##0_);_(* \(#,##0\);_(* &quot;-&quot;??_);_(@_)">
                  <c:v>447466.6666666667</c:v>
                </c:pt>
                <c:pt idx="14" formatCode="_(* #,##0_);_(* \(#,##0\);_(* &quot;-&quot;??_);_(@_)">
                  <c:v>0.0</c:v>
                </c:pt>
                <c:pt idx="15" formatCode="_(* #,##0_);_(* \(#,##0\);_(* &quot;-&quot;??_);_(@_)">
                  <c:v>38266.66666666666</c:v>
                </c:pt>
                <c:pt idx="16" formatCode="_(* #,##0_);_(* \(#,##0\);_(* &quot;-&quot;??_);_(@_)">
                  <c:v>0.0</c:v>
                </c:pt>
                <c:pt idx="17" formatCode="_(* #,##0_);_(* \(#,##0\);_(* &quot;-&quot;??_);_(@_)">
                  <c:v>0.0</c:v>
                </c:pt>
                <c:pt idx="18" formatCode="_(* #,##0_);_(* \(#,##0\);_(* &quot;-&quot;??_);_(@_)">
                  <c:v>0.0</c:v>
                </c:pt>
                <c:pt idx="19" formatCode="_(* #,##0_);_(* \(#,##0\);_(* &quot;-&quot;??_);_(@_)">
                  <c:v>0.0</c:v>
                </c:pt>
                <c:pt idx="20" formatCode="_(* #,##0_);_(* \(#,##0\);_(* &quot;-&quot;??_);_(@_)">
                  <c:v>0.0</c:v>
                </c:pt>
                <c:pt idx="21" formatCode="_(* #,##0_);_(* \(#,##0\);_(* &quot;-&quot;??_);_(@_)">
                  <c:v>0.0</c:v>
                </c:pt>
                <c:pt idx="22" formatCode="_(* #,##0_);_(* \(#,##0\);_(* &quot;-&quot;??_);_(@_)">
                  <c:v>0.0</c:v>
                </c:pt>
                <c:pt idx="23" formatCode="_(* #,##0_);_(* \(#,##0\);_(* &quot;-&quot;??_);_(@_)">
                  <c:v>0.0</c:v>
                </c:pt>
                <c:pt idx="24" formatCode="_(* #,##0_);_(* \(#,##0\);_(* &quot;-&quot;??_);_(@_)">
                  <c:v>0.0</c:v>
                </c:pt>
                <c:pt idx="25" formatCode="_(* #,##0_);_(* \(#,##0\);_(* &quot;-&quot;??_);_(@_)">
                  <c:v>0.0</c:v>
                </c:pt>
                <c:pt idx="26" formatCode="_(* #,##0_);_(* \(#,##0\);_(* &quot;-&quot;??_);_(@_)">
                  <c:v>326906.6666666667</c:v>
                </c:pt>
                <c:pt idx="27" formatCode="_(* #,##0_);_(* \(#,##0\);_(* &quot;-&quot;??_);_(@_)">
                  <c:v>182050.0</c:v>
                </c:pt>
                <c:pt idx="28" formatCode="_(* #,##0_);_(* \(#,##0\);_(* &quot;-&quot;??_);_(@_)">
                  <c:v>0.0</c:v>
                </c:pt>
                <c:pt idx="29" formatCode="_(* #,##0_);_(* \(#,##0\);_(* &quot;-&quot;??_);_(@_)">
                  <c:v>6300.0</c:v>
                </c:pt>
                <c:pt idx="30" formatCode="_(* #,##0_);_(* \(#,##0\);_(* &quot;-&quot;??_);_(@_)">
                  <c:v>0.0</c:v>
                </c:pt>
                <c:pt idx="31" formatCode="_(* #,##0_);_(* \(#,##0\);_(* &quot;-&quot;??_);_(@_)">
                  <c:v>0.0</c:v>
                </c:pt>
                <c:pt idx="32" formatCode="_(* #,##0_);_(* \(#,##0\);_(* &quot;-&quot;??_);_(@_)">
                  <c:v>0.0</c:v>
                </c:pt>
                <c:pt idx="33" formatCode="_(* #,##0_);_(* \(#,##0\);_(* &quot;-&quot;??_);_(@_)">
                  <c:v>0.0</c:v>
                </c:pt>
                <c:pt idx="34" formatCode="_(* #,##0_);_(* \(#,##0\);_(* &quot;-&quot;??_);_(@_)">
                  <c:v>0.0</c:v>
                </c:pt>
                <c:pt idx="35" formatCode="_(* #,##0_);_(* \(#,##0\);_(* &quot;-&quot;??_);_(@_)">
                  <c:v>0.0</c:v>
                </c:pt>
                <c:pt idx="36" formatCode="_(* #,##0_);_(* \(#,##0\);_(* &quot;-&quot;??_);_(@_)">
                  <c:v>0.0</c:v>
                </c:pt>
                <c:pt idx="37" formatCode="_(* #,##0_);_(* \(#,##0\);_(* &quot;-&quot;??_);_(@_)">
                  <c:v>0.0</c:v>
                </c:pt>
                <c:pt idx="38" formatCode="_(* #,##0_);_(* \(#,##0\);_(* &quot;-&quot;??_);_(@_)">
                  <c:v>0.0</c:v>
                </c:pt>
                <c:pt idx="39" formatCode="_(* #,##0_);_(* \(#,##0\);_(* &quot;-&quot;??_);_(@_)">
                  <c:v>0.0</c:v>
                </c:pt>
                <c:pt idx="40" formatCode="_(* #,##0_);_(* \(#,##0\);_(* &quot;-&quot;??_);_(@_)">
                  <c:v>0.0</c:v>
                </c:pt>
                <c:pt idx="41" formatCode="_(* #,##0_);_(* \(#,##0\);_(* &quot;-&quot;??_);_(@_)">
                  <c:v>0.0</c:v>
                </c:pt>
                <c:pt idx="42" formatCode="_(* #,##0_);_(* \(#,##0\);_(* &quot;-&quot;??_);_(@_)">
                  <c:v>0.0</c:v>
                </c:pt>
                <c:pt idx="43" formatCode="_(* #,##0_);_(* \(#,##0\);_(* &quot;-&quot;??_);_(@_)">
                  <c:v>0.0</c:v>
                </c:pt>
                <c:pt idx="44" formatCode="_(* #,##0_);_(* \(#,##0\);_(* &quot;-&quot;??_);_(@_)">
                  <c:v>0.0</c:v>
                </c:pt>
                <c:pt idx="45" formatCode="_(* #,##0_);_(* \(#,##0\);_(* &quot;-&quot;??_);_(@_)">
                  <c:v>0.0</c:v>
                </c:pt>
                <c:pt idx="46" formatCode="_(* #,##0_);_(* \(#,##0\);_(* &quot;-&quot;??_);_(@_)">
                  <c:v>0.0</c:v>
                </c:pt>
                <c:pt idx="47" formatCode="_(* #,##0_);_(* \(#,##0\);_(* &quot;-&quot;??_);_(@_)">
                  <c:v>0.0</c:v>
                </c:pt>
                <c:pt idx="48" formatCode="_(* #,##0_);_(* \(#,##0\);_(* &quot;-&quot;??_);_(@_)">
                  <c:v>0.0</c:v>
                </c:pt>
                <c:pt idx="49" formatCode="_(* #,##0_);_(* \(#,##0\);_(* &quot;-&quot;??_);_(@_)">
                  <c:v>0.0</c:v>
                </c:pt>
                <c:pt idx="50" formatCode="_(* #,##0_);_(* \(#,##0\);_(* &quot;-&quot;??_);_(@_)">
                  <c:v>0.0</c:v>
                </c:pt>
                <c:pt idx="51" formatCode="_(* #,##0_);_(* \(#,##0\);_(* &quot;-&quot;??_);_(@_)">
                  <c:v>0.0</c:v>
                </c:pt>
                <c:pt idx="52" formatCode="_(* #,##0_);_(* \(#,##0\);_(* &quot;-&quot;??_);_(@_)">
                  <c:v>0.0</c:v>
                </c:pt>
                <c:pt idx="53" formatCode="_(* #,##0_);_(* \(#,##0\);_(* &quot;-&quot;??_);_(@_)">
                  <c:v>0.0</c:v>
                </c:pt>
                <c:pt idx="54" formatCode="_(* #,##0_);_(* \(#,##0\);_(* &quot;-&quot;??_);_(@_)">
                  <c:v>0.0</c:v>
                </c:pt>
                <c:pt idx="55" formatCode="_(* #,##0_);_(* \(#,##0\);_(* &quot;-&quot;??_);_(@_)">
                  <c:v>0.0</c:v>
                </c:pt>
                <c:pt idx="56" formatCode="_(* #,##0_);_(* \(#,##0\);_(* &quot;-&quot;??_);_(@_)">
                  <c:v>0.0</c:v>
                </c:pt>
                <c:pt idx="57" formatCode="_(* #,##0_);_(* \(#,##0\);_(* &quot;-&quot;??_);_(@_)">
                  <c:v>0.0</c:v>
                </c:pt>
                <c:pt idx="58" formatCode="_(* #,##0_);_(* \(#,##0\);_(* &quot;-&quot;??_);_(@_)">
                  <c:v>0.0</c:v>
                </c:pt>
                <c:pt idx="59" formatCode="_(* #,##0_);_(* \(#,##0\);_(* &quot;-&quot;??_);_(@_)">
                  <c:v>0.0</c:v>
                </c:pt>
                <c:pt idx="60" formatCode="_(* #,##0_);_(* \(#,##0\);_(* &quot;-&quot;??_);_(@_)">
                  <c:v>0.0</c:v>
                </c:pt>
                <c:pt idx="61" formatCode="_(* #,##0_);_(* \(#,##0\);_(* &quot;-&quot;??_);_(@_)">
                  <c:v>0.0</c:v>
                </c:pt>
                <c:pt idx="62" formatCode="_(* #,##0_);_(* \(#,##0\);_(* &quot;-&quot;??_);_(@_)">
                  <c:v>0.0</c:v>
                </c:pt>
                <c:pt idx="63" formatCode="_(* #,##0_);_(* \(#,##0\);_(* &quot;-&quot;??_);_(@_)">
                  <c:v>200.0</c:v>
                </c:pt>
              </c:numCache>
            </c:numRef>
          </c:val>
        </c:ser>
        <c:ser>
          <c:idx val="1"/>
          <c:order val="1"/>
          <c:tx>
            <c:strRef>
              <c:f>'Date Chart'!$C$2</c:f>
              <c:strCache>
                <c:ptCount val="1"/>
                <c:pt idx="0">
                  <c:v>SN-10 Low B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Chart'!$C$4:$C$72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404466.6666666667</c:v>
                </c:pt>
                <c:pt idx="7">
                  <c:v>11200.0</c:v>
                </c:pt>
                <c:pt idx="8">
                  <c:v>0.0</c:v>
                </c:pt>
                <c:pt idx="9">
                  <c:v>0.0</c:v>
                </c:pt>
                <c:pt idx="10">
                  <c:v>172266.6666666667</c:v>
                </c:pt>
                <c:pt idx="11">
                  <c:v>0.0</c:v>
                </c:pt>
                <c:pt idx="12">
                  <c:v>67600.0</c:v>
                </c:pt>
                <c:pt idx="13">
                  <c:v>0.0</c:v>
                </c:pt>
                <c:pt idx="14">
                  <c:v>0.0</c:v>
                </c:pt>
                <c:pt idx="15">
                  <c:v>115733.3333333333</c:v>
                </c:pt>
                <c:pt idx="16">
                  <c:v>156750.0</c:v>
                </c:pt>
                <c:pt idx="17">
                  <c:v>0.0</c:v>
                </c:pt>
                <c:pt idx="18">
                  <c:v>4500.0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377373.3333333333</c:v>
                </c:pt>
                <c:pt idx="35">
                  <c:v>128000.0</c:v>
                </c:pt>
                <c:pt idx="36">
                  <c:v>0.0</c:v>
                </c:pt>
                <c:pt idx="37">
                  <c:v>1866.666666666667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866.6666666666666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'Date Chart'!$D$2</c:f>
              <c:strCache>
                <c:ptCount val="1"/>
                <c:pt idx="0">
                  <c:v>SN-6 Ambient A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Chart'!$D$4:$D$72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69066.66666666666</c:v>
                </c:pt>
                <c:pt idx="4">
                  <c:v>461500.0</c:v>
                </c:pt>
                <c:pt idx="5">
                  <c:v>0.0</c:v>
                </c:pt>
                <c:pt idx="6">
                  <c:v>1416.666666666667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1400.0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163200.0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'Date Chart'!$E$2</c:f>
              <c:strCache>
                <c:ptCount val="1"/>
                <c:pt idx="0">
                  <c:v>NF-6 Low B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Chart'!$E$4:$E$72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307800.0</c:v>
                </c:pt>
                <c:pt idx="15">
                  <c:v>190400.0</c:v>
                </c:pt>
                <c:pt idx="16">
                  <c:v>8016.666666666666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81600.0</c:v>
                </c:pt>
                <c:pt idx="26">
                  <c:v>1586.666666666667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302933.3333333333</c:v>
                </c:pt>
              </c:numCache>
            </c:numRef>
          </c:val>
        </c:ser>
        <c:ser>
          <c:idx val="4"/>
          <c:order val="4"/>
          <c:tx>
            <c:strRef>
              <c:f>'Date Chart'!$F$2</c:f>
              <c:strCache>
                <c:ptCount val="1"/>
                <c:pt idx="0">
                  <c:v>SN-10 Ambient B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Chart'!$F$4:$F$72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80666.66666666666</c:v>
                </c:pt>
                <c:pt idx="4">
                  <c:v>0.0</c:v>
                </c:pt>
                <c:pt idx="5">
                  <c:v>0.0</c:v>
                </c:pt>
                <c:pt idx="6">
                  <c:v>9400.0</c:v>
                </c:pt>
                <c:pt idx="7">
                  <c:v>5750.0</c:v>
                </c:pt>
                <c:pt idx="8">
                  <c:v>201600.0</c:v>
                </c:pt>
                <c:pt idx="9">
                  <c:v>8960.0</c:v>
                </c:pt>
                <c:pt idx="10">
                  <c:v>194666.6666666667</c:v>
                </c:pt>
                <c:pt idx="11">
                  <c:v>3400.0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406800.0</c:v>
                </c:pt>
                <c:pt idx="22">
                  <c:v>0.0</c:v>
                </c:pt>
                <c:pt idx="23">
                  <c:v>177173.3333333333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68250.0</c:v>
                </c:pt>
                <c:pt idx="35">
                  <c:v>77866.66666666666</c:v>
                </c:pt>
                <c:pt idx="36">
                  <c:v>0.0</c:v>
                </c:pt>
                <c:pt idx="37">
                  <c:v>1166.666666666667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416.6666666666666</c:v>
                </c:pt>
                <c:pt idx="56">
                  <c:v>266666.6666666666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'Date Chart'!$G$2</c:f>
              <c:strCache>
                <c:ptCount val="1"/>
                <c:pt idx="0">
                  <c:v>SN-6 Ambient B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Chart'!$G$4:$G$72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218033.3333333333</c:v>
                </c:pt>
                <c:pt idx="7">
                  <c:v>3583.333333333333</c:v>
                </c:pt>
                <c:pt idx="8">
                  <c:v>0.0</c:v>
                </c:pt>
                <c:pt idx="9">
                  <c:v>0.0</c:v>
                </c:pt>
                <c:pt idx="10">
                  <c:v>8166.666666666666</c:v>
                </c:pt>
                <c:pt idx="11">
                  <c:v>24500.0</c:v>
                </c:pt>
                <c:pt idx="12">
                  <c:v>209066.6666666667</c:v>
                </c:pt>
                <c:pt idx="13">
                  <c:v>4500.0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150166.6666666667</c:v>
                </c:pt>
                <c:pt idx="24">
                  <c:v>0.0</c:v>
                </c:pt>
                <c:pt idx="25">
                  <c:v>484266.6666666667</c:v>
                </c:pt>
                <c:pt idx="26">
                  <c:v>9866.666666666668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235200.0</c:v>
                </c:pt>
                <c:pt idx="36">
                  <c:v>0.0</c:v>
                </c:pt>
                <c:pt idx="37">
                  <c:v>104533.3333333333</c:v>
                </c:pt>
                <c:pt idx="38">
                  <c:v>0.0</c:v>
                </c:pt>
                <c:pt idx="39">
                  <c:v>29920.0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'Date Chart'!$H$2</c:f>
              <c:strCache>
                <c:ptCount val="1"/>
                <c:pt idx="0">
                  <c:v>SN-10 Low A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Chart'!$H$4:$H$72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98000.0</c:v>
                </c:pt>
                <c:pt idx="4">
                  <c:v>77250.0</c:v>
                </c:pt>
                <c:pt idx="5">
                  <c:v>0.0</c:v>
                </c:pt>
                <c:pt idx="6">
                  <c:v>2666.666666666667</c:v>
                </c:pt>
                <c:pt idx="7">
                  <c:v>200.0</c:v>
                </c:pt>
                <c:pt idx="8">
                  <c:v>0.0</c:v>
                </c:pt>
                <c:pt idx="9">
                  <c:v>281000.0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378000.0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95466.66666666666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'Date Chart'!$I$2</c:f>
              <c:strCache>
                <c:ptCount val="1"/>
                <c:pt idx="0">
                  <c:v>SN-6 Low B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Chart'!$I$4:$I$72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210133.3333333333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245660.0</c:v>
                </c:pt>
                <c:pt idx="17">
                  <c:v>0.0</c:v>
                </c:pt>
                <c:pt idx="18">
                  <c:v>7900.0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1400.0</c:v>
                </c:pt>
                <c:pt idx="33">
                  <c:v>0.0</c:v>
                </c:pt>
                <c:pt idx="34">
                  <c:v>808800.0</c:v>
                </c:pt>
                <c:pt idx="35">
                  <c:v>121066.6666666667</c:v>
                </c:pt>
                <c:pt idx="36">
                  <c:v>0.0</c:v>
                </c:pt>
                <c:pt idx="37">
                  <c:v>1833.333333333333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'Date Chart'!$J$2</c:f>
              <c:strCache>
                <c:ptCount val="1"/>
                <c:pt idx="0">
                  <c:v>K-10 Low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Chart'!$J$4:$J$72</c:f>
              <c:numCache>
                <c:formatCode>_(* #,##0_);_(* \(#,##0\);_(* "-"??_);_(@_)</c:formatCode>
                <c:ptCount val="69"/>
                <c:pt idx="0">
                  <c:v>37200.0</c:v>
                </c:pt>
                <c:pt idx="1">
                  <c:v>0.0</c:v>
                </c:pt>
                <c:pt idx="2">
                  <c:v>0.0</c:v>
                </c:pt>
                <c:pt idx="3">
                  <c:v>52266.66666666666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241066.6666666667</c:v>
                </c:pt>
                <c:pt idx="13">
                  <c:v>66666.66666666667</c:v>
                </c:pt>
                <c:pt idx="14">
                  <c:v>3400.0</c:v>
                </c:pt>
                <c:pt idx="15">
                  <c:v>10000.0</c:v>
                </c:pt>
                <c:pt idx="16">
                  <c:v>21600.0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190850.0</c:v>
                </c:pt>
                <c:pt idx="25">
                  <c:v>17306.66666666667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13000.0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'Date Chart'!$K$2</c:f>
              <c:strCache>
                <c:ptCount val="1"/>
                <c:pt idx="0">
                  <c:v>SN-6 Low A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Chart'!$K$4:$K$72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11866.66666666667</c:v>
                </c:pt>
                <c:pt idx="10">
                  <c:v>250133.3333333333</c:v>
                </c:pt>
                <c:pt idx="11">
                  <c:v>136000.0</c:v>
                </c:pt>
                <c:pt idx="12">
                  <c:v>1000.0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164266.6666666667</c:v>
                </c:pt>
                <c:pt idx="21">
                  <c:v>750.0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154666.6666666667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'Date Chart'!$L$2</c:f>
              <c:strCache>
                <c:ptCount val="1"/>
                <c:pt idx="0">
                  <c:v>HL-10 Low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Chart'!$L$4:$L$72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54400.0</c:v>
                </c:pt>
                <c:pt idx="16">
                  <c:v>268146.6666666667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149050.0</c:v>
                </c:pt>
                <c:pt idx="31">
                  <c:v>0.0</c:v>
                </c:pt>
                <c:pt idx="32">
                  <c:v>176000.0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47466.66666666667</c:v>
                </c:pt>
                <c:pt idx="38">
                  <c:v>0.0</c:v>
                </c:pt>
                <c:pt idx="39">
                  <c:v>125.0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10000.0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'Date Chart'!$M$2</c:f>
              <c:strCache>
                <c:ptCount val="1"/>
                <c:pt idx="0">
                  <c:v>NF-10 Low B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Chart'!$M$4:$M$72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126400.0</c:v>
                </c:pt>
                <c:pt idx="11">
                  <c:v>0.0</c:v>
                </c:pt>
                <c:pt idx="12">
                  <c:v>0.0</c:v>
                </c:pt>
                <c:pt idx="13">
                  <c:v>186133.3333333333</c:v>
                </c:pt>
                <c:pt idx="14">
                  <c:v>0.0</c:v>
                </c:pt>
                <c:pt idx="15">
                  <c:v>0.0</c:v>
                </c:pt>
                <c:pt idx="16">
                  <c:v>2625.0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1466.666666666667</c:v>
                </c:pt>
                <c:pt idx="22">
                  <c:v>0.0</c:v>
                </c:pt>
                <c:pt idx="23">
                  <c:v>74666.66666666666</c:v>
                </c:pt>
                <c:pt idx="24">
                  <c:v>1200.0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208.3333333333333</c:v>
                </c:pt>
              </c:numCache>
            </c:numRef>
          </c:val>
        </c:ser>
        <c:ser>
          <c:idx val="12"/>
          <c:order val="12"/>
          <c:tx>
            <c:strRef>
              <c:f>'Date Chart'!$N$2</c:f>
              <c:strCache>
                <c:ptCount val="1"/>
                <c:pt idx="0">
                  <c:v>K-6 Low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Chart'!$N$4:$N$72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123200.0</c:v>
                </c:pt>
                <c:pt idx="11">
                  <c:v>1800.0</c:v>
                </c:pt>
                <c:pt idx="12">
                  <c:v>130933.3333333333</c:v>
                </c:pt>
                <c:pt idx="13">
                  <c:v>48406.66666666666</c:v>
                </c:pt>
                <c:pt idx="14">
                  <c:v>0.0</c:v>
                </c:pt>
                <c:pt idx="15">
                  <c:v>4266.666666666666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49600.0</c:v>
                </c:pt>
                <c:pt idx="28">
                  <c:v>9066.666666666668</c:v>
                </c:pt>
                <c:pt idx="29">
                  <c:v>0.0</c:v>
                </c:pt>
                <c:pt idx="30">
                  <c:v>2800.0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'Date Chart'!$O$2</c:f>
              <c:strCache>
                <c:ptCount val="1"/>
                <c:pt idx="0">
                  <c:v>K-10 Ambient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Chart'!$O$4:$O$72</c:f>
              <c:numCache>
                <c:formatCode>_(* #,##0_);_(* \(#,##0\);_(* "-"??_);_(@_)</c:formatCode>
                <c:ptCount val="69"/>
                <c:pt idx="0">
                  <c:v>47400.0</c:v>
                </c:pt>
                <c:pt idx="1">
                  <c:v>0.0</c:v>
                </c:pt>
                <c:pt idx="2">
                  <c:v>0.0</c:v>
                </c:pt>
                <c:pt idx="3">
                  <c:v>66800.0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108000.0</c:v>
                </c:pt>
                <c:pt idx="10">
                  <c:v>13250.0</c:v>
                </c:pt>
                <c:pt idx="11">
                  <c:v>625.0</c:v>
                </c:pt>
                <c:pt idx="12">
                  <c:v>0.0</c:v>
                </c:pt>
                <c:pt idx="13">
                  <c:v>37566.66666666666</c:v>
                </c:pt>
                <c:pt idx="14">
                  <c:v>31206.66666666667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40533.33333333333</c:v>
                </c:pt>
                <c:pt idx="22">
                  <c:v>0.0</c:v>
                </c:pt>
                <c:pt idx="23">
                  <c:v>63413.33333333333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25166.66666666667</c:v>
                </c:pt>
                <c:pt idx="29">
                  <c:v>0.0</c:v>
                </c:pt>
                <c:pt idx="30">
                  <c:v>1280.0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18166.66666666667</c:v>
                </c:pt>
                <c:pt idx="36">
                  <c:v>0.0</c:v>
                </c:pt>
                <c:pt idx="37">
                  <c:v>12800.0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'Date Chart'!$P$2</c:f>
              <c:strCache>
                <c:ptCount val="1"/>
                <c:pt idx="0">
                  <c:v>NF-10 Ambient A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Chart'!$P$4:$P$72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248000.0</c:v>
                </c:pt>
                <c:pt idx="15">
                  <c:v>0.0</c:v>
                </c:pt>
                <c:pt idx="16">
                  <c:v>4916.666666666666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214480.0</c:v>
                </c:pt>
                <c:pt idx="24">
                  <c:v>2933.333333333333</c:v>
                </c:pt>
                <c:pt idx="25">
                  <c:v>0.0</c:v>
                </c:pt>
                <c:pt idx="26">
                  <c:v>0.0</c:v>
                </c:pt>
                <c:pt idx="27">
                  <c:v>224533.3333333333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'Date Chart'!$Q$2</c:f>
              <c:strCache>
                <c:ptCount val="1"/>
                <c:pt idx="0">
                  <c:v>NF-10 Ambient B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Chart'!$Q$4:$Q$72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245666.6666666667</c:v>
                </c:pt>
                <c:pt idx="7">
                  <c:v>1000.0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115733.3333333333</c:v>
                </c:pt>
                <c:pt idx="35">
                  <c:v>58133.33333333334</c:v>
                </c:pt>
                <c:pt idx="36">
                  <c:v>0.0</c:v>
                </c:pt>
                <c:pt idx="37">
                  <c:v>666.6666666666666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'Date Chart'!$R$2</c:f>
              <c:strCache>
                <c:ptCount val="1"/>
                <c:pt idx="0">
                  <c:v>HL-10 Ambient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Chart'!$R$4:$R$72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205866.6666666667</c:v>
                </c:pt>
                <c:pt idx="14">
                  <c:v>26320.0</c:v>
                </c:pt>
                <c:pt idx="15">
                  <c:v>2800.0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436800.0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67666.66666666667</c:v>
                </c:pt>
                <c:pt idx="40">
                  <c:v>0.0</c:v>
                </c:pt>
                <c:pt idx="41">
                  <c:v>0.0</c:v>
                </c:pt>
                <c:pt idx="42">
                  <c:v>1564.444444444444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196800.0</c:v>
                </c:pt>
                <c:pt idx="50">
                  <c:v>0.0</c:v>
                </c:pt>
                <c:pt idx="51">
                  <c:v>1650.0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'Date Chart'!$S$2</c:f>
              <c:strCache>
                <c:ptCount val="1"/>
                <c:pt idx="0">
                  <c:v>HL-6 Low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Chart'!$S$4:$S$72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3483.333333333333</c:v>
                </c:pt>
                <c:pt idx="3">
                  <c:v>3844.444444444444</c:v>
                </c:pt>
                <c:pt idx="4">
                  <c:v>0.0</c:v>
                </c:pt>
                <c:pt idx="5">
                  <c:v>0.0</c:v>
                </c:pt>
                <c:pt idx="6">
                  <c:v>142666.6666666667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282133.3333333333</c:v>
                </c:pt>
                <c:pt idx="28">
                  <c:v>4391.666666666666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483.3333333333334</c:v>
                </c:pt>
                <c:pt idx="36">
                  <c:v>0.0</c:v>
                </c:pt>
                <c:pt idx="37">
                  <c:v>356266.6666666666</c:v>
                </c:pt>
                <c:pt idx="38">
                  <c:v>0.0</c:v>
                </c:pt>
                <c:pt idx="39">
                  <c:v>165000.0</c:v>
                </c:pt>
                <c:pt idx="40">
                  <c:v>0.0</c:v>
                </c:pt>
                <c:pt idx="41">
                  <c:v>0.0</c:v>
                </c:pt>
                <c:pt idx="42">
                  <c:v>995.5555555555555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'Date Chart'!$T$2</c:f>
              <c:strCache>
                <c:ptCount val="1"/>
                <c:pt idx="0">
                  <c:v>NF-6 Ambient B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Chart'!$T$4:$T$72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350.0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139800.0</c:v>
                </c:pt>
                <c:pt idx="16">
                  <c:v>7050.0</c:v>
                </c:pt>
                <c:pt idx="17">
                  <c:v>0.0</c:v>
                </c:pt>
                <c:pt idx="18">
                  <c:v>3200.0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'Date Chart'!$U$2</c:f>
              <c:strCache>
                <c:ptCount val="1"/>
                <c:pt idx="0">
                  <c:v>K-6 Ambient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Chart'!$U$4:$U$72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2041.666666666667</c:v>
                </c:pt>
                <c:pt idx="9">
                  <c:v>89666.66666666667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99733.33333333334</c:v>
                </c:pt>
                <c:pt idx="22">
                  <c:v>0.0</c:v>
                </c:pt>
                <c:pt idx="23">
                  <c:v>132840.0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72053.33333333333</c:v>
                </c:pt>
                <c:pt idx="31">
                  <c:v>0.0</c:v>
                </c:pt>
                <c:pt idx="32">
                  <c:v>4200.0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51150.0</c:v>
                </c:pt>
                <c:pt idx="40">
                  <c:v>65666.66666666667</c:v>
                </c:pt>
                <c:pt idx="41">
                  <c:v>0.0</c:v>
                </c:pt>
                <c:pt idx="42">
                  <c:v>193.3333333333333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'Date Chart'!$V$2</c:f>
              <c:strCache>
                <c:ptCount val="1"/>
                <c:pt idx="0">
                  <c:v>NF-6 Ambient A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Chart'!$V$4:$V$72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466.6666666666666</c:v>
                </c:pt>
                <c:pt idx="12">
                  <c:v>0.0</c:v>
                </c:pt>
                <c:pt idx="13">
                  <c:v>0.0</c:v>
                </c:pt>
                <c:pt idx="14">
                  <c:v>10800.0</c:v>
                </c:pt>
                <c:pt idx="15">
                  <c:v>0.0</c:v>
                </c:pt>
                <c:pt idx="16">
                  <c:v>3575.0</c:v>
                </c:pt>
                <c:pt idx="17">
                  <c:v>0.0</c:v>
                </c:pt>
                <c:pt idx="18">
                  <c:v>1111</c:v>
                </c:pt>
                <c:pt idx="19">
                  <c:v>0.0</c:v>
                </c:pt>
                <c:pt idx="20">
                  <c:v>1333.333333333333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33.33333333333333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'Date Chart'!$W$2</c:f>
              <c:strCache>
                <c:ptCount val="1"/>
                <c:pt idx="0">
                  <c:v>NF-10 Low A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Chart'!$W$4:$W$72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583.3333333333333</c:v>
                </c:pt>
                <c:pt idx="12">
                  <c:v>2266.666666666667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2333.333333333333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41958.33333333333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'Date Chart'!$X$2</c:f>
              <c:strCache>
                <c:ptCount val="1"/>
                <c:pt idx="0">
                  <c:v>NF-6 Low A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Chart'!$X$4:$X$72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88200.0</c:v>
                </c:pt>
                <c:pt idx="26">
                  <c:v>47025.0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246933.3333333333</c:v>
                </c:pt>
                <c:pt idx="31">
                  <c:v>0.0</c:v>
                </c:pt>
                <c:pt idx="32">
                  <c:v>9400.0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142000.0</c:v>
                </c:pt>
                <c:pt idx="40">
                  <c:v>0.0</c:v>
                </c:pt>
                <c:pt idx="41">
                  <c:v>0.0</c:v>
                </c:pt>
                <c:pt idx="42">
                  <c:v>888.8888888888888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'Date Chart'!$Y$2</c:f>
              <c:strCache>
                <c:ptCount val="1"/>
                <c:pt idx="0">
                  <c:v>HL-6 Ambient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Chart'!$Y$4:$Y$72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105066.6666666667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66.66666666666665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564664"/>
        <c:axId val="2134567656"/>
      </c:barChart>
      <c:dateAx>
        <c:axId val="2134564664"/>
        <c:scaling>
          <c:orientation val="minMax"/>
          <c:max val="42928.0"/>
        </c:scaling>
        <c:delete val="0"/>
        <c:axPos val="b"/>
        <c:numFmt formatCode="m/d/yy" sourceLinked="1"/>
        <c:majorTickMark val="out"/>
        <c:minorTickMark val="none"/>
        <c:tickLblPos val="nextTo"/>
        <c:crossAx val="2134567656"/>
        <c:crosses val="autoZero"/>
        <c:auto val="1"/>
        <c:lblOffset val="100"/>
        <c:baseTimeUnit val="days"/>
        <c:minorUnit val="1.0"/>
        <c:minorTimeUnit val="days"/>
      </c:dateAx>
      <c:valAx>
        <c:axId val="2134567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34564664"/>
        <c:crosses val="autoZero"/>
        <c:crossBetween val="between"/>
      </c:valAx>
      <c:spPr>
        <a:ln w="28575" cmpd="sng"/>
      </c:spPr>
    </c:plotArea>
    <c:plotVisOnly val="1"/>
    <c:dispBlanksAs val="gap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/>
              <a:t>SPAWNING</a:t>
            </a:r>
            <a:r>
              <a:rPr lang="en-US" sz="2800" baseline="0"/>
              <a:t> DATA, COLOR CODED BY TREATMENT</a:t>
            </a:r>
            <a:endParaRPr lang="en-US" sz="2800"/>
          </a:p>
        </c:rich>
      </c:tx>
      <c:layout>
        <c:manualLayout>
          <c:xMode val="edge"/>
          <c:yMode val="edge"/>
          <c:x val="0.288127061360942"/>
          <c:y val="0.049126641777554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'Date Chart'!$B$2</c:f>
              <c:strCache>
                <c:ptCount val="1"/>
                <c:pt idx="0">
                  <c:v>SN-10 Ambient A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Chart'!$B$4:$B$72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554500.0</c:v>
                </c:pt>
                <c:pt idx="5">
                  <c:v>0.0</c:v>
                </c:pt>
                <c:pt idx="6">
                  <c:v>53000.0</c:v>
                </c:pt>
                <c:pt idx="7">
                  <c:v>250.0</c:v>
                </c:pt>
                <c:pt idx="8">
                  <c:v>0.0</c:v>
                </c:pt>
                <c:pt idx="9">
                  <c:v>309333.3333333333</c:v>
                </c:pt>
                <c:pt idx="10">
                  <c:v>447466.6666666667</c:v>
                </c:pt>
                <c:pt idx="11">
                  <c:v>0.0</c:v>
                </c:pt>
                <c:pt idx="12">
                  <c:v>38266.66666666666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326906.6666666667</c:v>
                </c:pt>
                <c:pt idx="24">
                  <c:v>182050.0</c:v>
                </c:pt>
                <c:pt idx="25">
                  <c:v>0.0</c:v>
                </c:pt>
                <c:pt idx="26">
                  <c:v>6300.0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200.0</c:v>
                </c:pt>
              </c:numCache>
            </c:numRef>
          </c:val>
        </c:ser>
        <c:ser>
          <c:idx val="1"/>
          <c:order val="1"/>
          <c:tx>
            <c:strRef>
              <c:f>'Date Chart'!$C$2</c:f>
              <c:strCache>
                <c:ptCount val="1"/>
                <c:pt idx="0">
                  <c:v>SN-10 Low B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Chart'!$C$4:$C$72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404466.6666666667</c:v>
                </c:pt>
                <c:pt idx="7">
                  <c:v>11200.0</c:v>
                </c:pt>
                <c:pt idx="8">
                  <c:v>0.0</c:v>
                </c:pt>
                <c:pt idx="9">
                  <c:v>0.0</c:v>
                </c:pt>
                <c:pt idx="10">
                  <c:v>172266.6666666667</c:v>
                </c:pt>
                <c:pt idx="11">
                  <c:v>0.0</c:v>
                </c:pt>
                <c:pt idx="12">
                  <c:v>67600.0</c:v>
                </c:pt>
                <c:pt idx="13">
                  <c:v>0.0</c:v>
                </c:pt>
                <c:pt idx="14">
                  <c:v>0.0</c:v>
                </c:pt>
                <c:pt idx="15">
                  <c:v>115733.3333333333</c:v>
                </c:pt>
                <c:pt idx="16">
                  <c:v>156750.0</c:v>
                </c:pt>
                <c:pt idx="17">
                  <c:v>0.0</c:v>
                </c:pt>
                <c:pt idx="18">
                  <c:v>4500.0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377373.3333333333</c:v>
                </c:pt>
                <c:pt idx="35">
                  <c:v>128000.0</c:v>
                </c:pt>
                <c:pt idx="36">
                  <c:v>0.0</c:v>
                </c:pt>
                <c:pt idx="37">
                  <c:v>1866.666666666667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866.6666666666666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'Date Chart'!$D$2</c:f>
              <c:strCache>
                <c:ptCount val="1"/>
                <c:pt idx="0">
                  <c:v>SN-6 Ambient A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Chart'!$D$4:$D$72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69066.66666666666</c:v>
                </c:pt>
                <c:pt idx="4">
                  <c:v>461500.0</c:v>
                </c:pt>
                <c:pt idx="5">
                  <c:v>0.0</c:v>
                </c:pt>
                <c:pt idx="6">
                  <c:v>1416.666666666667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1400.0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163200.0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'Date Chart'!$E$2</c:f>
              <c:strCache>
                <c:ptCount val="1"/>
                <c:pt idx="0">
                  <c:v>NF-6 Low B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Chart'!$E$4:$E$72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307800.0</c:v>
                </c:pt>
                <c:pt idx="15">
                  <c:v>190400.0</c:v>
                </c:pt>
                <c:pt idx="16">
                  <c:v>8016.666666666666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81600.0</c:v>
                </c:pt>
                <c:pt idx="26">
                  <c:v>1586.666666666667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302933.3333333333</c:v>
                </c:pt>
              </c:numCache>
            </c:numRef>
          </c:val>
        </c:ser>
        <c:ser>
          <c:idx val="4"/>
          <c:order val="4"/>
          <c:tx>
            <c:strRef>
              <c:f>'Date Chart'!$F$2</c:f>
              <c:strCache>
                <c:ptCount val="1"/>
                <c:pt idx="0">
                  <c:v>SN-10 Ambient B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Chart'!$F$4:$F$72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80666.66666666666</c:v>
                </c:pt>
                <c:pt idx="4">
                  <c:v>0.0</c:v>
                </c:pt>
                <c:pt idx="5">
                  <c:v>0.0</c:v>
                </c:pt>
                <c:pt idx="6">
                  <c:v>9400.0</c:v>
                </c:pt>
                <c:pt idx="7">
                  <c:v>5750.0</c:v>
                </c:pt>
                <c:pt idx="8">
                  <c:v>201600.0</c:v>
                </c:pt>
                <c:pt idx="9">
                  <c:v>8960.0</c:v>
                </c:pt>
                <c:pt idx="10">
                  <c:v>194666.6666666667</c:v>
                </c:pt>
                <c:pt idx="11">
                  <c:v>3400.0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406800.0</c:v>
                </c:pt>
                <c:pt idx="22">
                  <c:v>0.0</c:v>
                </c:pt>
                <c:pt idx="23">
                  <c:v>177173.3333333333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68250.0</c:v>
                </c:pt>
                <c:pt idx="35">
                  <c:v>77866.66666666666</c:v>
                </c:pt>
                <c:pt idx="36">
                  <c:v>0.0</c:v>
                </c:pt>
                <c:pt idx="37">
                  <c:v>1166.666666666667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416.6666666666666</c:v>
                </c:pt>
                <c:pt idx="56">
                  <c:v>266666.6666666666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'Date Chart'!$G$2</c:f>
              <c:strCache>
                <c:ptCount val="1"/>
                <c:pt idx="0">
                  <c:v>SN-6 Ambient B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Chart'!$G$4:$G$72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218033.3333333333</c:v>
                </c:pt>
                <c:pt idx="7">
                  <c:v>3583.333333333333</c:v>
                </c:pt>
                <c:pt idx="8">
                  <c:v>0.0</c:v>
                </c:pt>
                <c:pt idx="9">
                  <c:v>0.0</c:v>
                </c:pt>
                <c:pt idx="10">
                  <c:v>8166.666666666666</c:v>
                </c:pt>
                <c:pt idx="11">
                  <c:v>24500.0</c:v>
                </c:pt>
                <c:pt idx="12">
                  <c:v>209066.6666666667</c:v>
                </c:pt>
                <c:pt idx="13">
                  <c:v>4500.0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150166.6666666667</c:v>
                </c:pt>
                <c:pt idx="24">
                  <c:v>0.0</c:v>
                </c:pt>
                <c:pt idx="25">
                  <c:v>484266.6666666667</c:v>
                </c:pt>
                <c:pt idx="26">
                  <c:v>9866.666666666668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235200.0</c:v>
                </c:pt>
                <c:pt idx="36">
                  <c:v>0.0</c:v>
                </c:pt>
                <c:pt idx="37">
                  <c:v>104533.3333333333</c:v>
                </c:pt>
                <c:pt idx="38">
                  <c:v>0.0</c:v>
                </c:pt>
                <c:pt idx="39">
                  <c:v>29920.0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'Date Chart'!$H$2</c:f>
              <c:strCache>
                <c:ptCount val="1"/>
                <c:pt idx="0">
                  <c:v>SN-10 Low A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Chart'!$H$4:$H$72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98000.0</c:v>
                </c:pt>
                <c:pt idx="4">
                  <c:v>77250.0</c:v>
                </c:pt>
                <c:pt idx="5">
                  <c:v>0.0</c:v>
                </c:pt>
                <c:pt idx="6">
                  <c:v>2666.666666666667</c:v>
                </c:pt>
                <c:pt idx="7">
                  <c:v>200.0</c:v>
                </c:pt>
                <c:pt idx="8">
                  <c:v>0.0</c:v>
                </c:pt>
                <c:pt idx="9">
                  <c:v>281000.0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378000.0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95466.66666666666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'Date Chart'!$I$2</c:f>
              <c:strCache>
                <c:ptCount val="1"/>
                <c:pt idx="0">
                  <c:v>SN-6 Low B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Chart'!$I$4:$I$72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210133.3333333333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245660.0</c:v>
                </c:pt>
                <c:pt idx="17">
                  <c:v>0.0</c:v>
                </c:pt>
                <c:pt idx="18">
                  <c:v>7900.0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1400.0</c:v>
                </c:pt>
                <c:pt idx="33">
                  <c:v>0.0</c:v>
                </c:pt>
                <c:pt idx="34">
                  <c:v>808800.0</c:v>
                </c:pt>
                <c:pt idx="35">
                  <c:v>121066.6666666667</c:v>
                </c:pt>
                <c:pt idx="36">
                  <c:v>0.0</c:v>
                </c:pt>
                <c:pt idx="37">
                  <c:v>1833.333333333333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'Date Chart'!$J$2</c:f>
              <c:strCache>
                <c:ptCount val="1"/>
                <c:pt idx="0">
                  <c:v>K-10 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Chart'!$J$4:$J$72</c:f>
              <c:numCache>
                <c:formatCode>_(* #,##0_);_(* \(#,##0\);_(* "-"??_);_(@_)</c:formatCode>
                <c:ptCount val="69"/>
                <c:pt idx="0">
                  <c:v>37200.0</c:v>
                </c:pt>
                <c:pt idx="1">
                  <c:v>0.0</c:v>
                </c:pt>
                <c:pt idx="2">
                  <c:v>0.0</c:v>
                </c:pt>
                <c:pt idx="3">
                  <c:v>52266.66666666666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241066.6666666667</c:v>
                </c:pt>
                <c:pt idx="13">
                  <c:v>66666.66666666667</c:v>
                </c:pt>
                <c:pt idx="14">
                  <c:v>3400.0</c:v>
                </c:pt>
                <c:pt idx="15">
                  <c:v>10000.0</c:v>
                </c:pt>
                <c:pt idx="16">
                  <c:v>21600.0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190850.0</c:v>
                </c:pt>
                <c:pt idx="25">
                  <c:v>17306.66666666667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13000.0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'Date Chart'!$K$2</c:f>
              <c:strCache>
                <c:ptCount val="1"/>
                <c:pt idx="0">
                  <c:v>SN-6 Low A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Chart'!$K$4:$K$72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11866.66666666667</c:v>
                </c:pt>
                <c:pt idx="10">
                  <c:v>250133.3333333333</c:v>
                </c:pt>
                <c:pt idx="11">
                  <c:v>136000.0</c:v>
                </c:pt>
                <c:pt idx="12">
                  <c:v>1000.0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164266.6666666667</c:v>
                </c:pt>
                <c:pt idx="21">
                  <c:v>750.0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154666.6666666667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'Date Chart'!$L$2</c:f>
              <c:strCache>
                <c:ptCount val="1"/>
                <c:pt idx="0">
                  <c:v>HL-10 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Chart'!$L$4:$L$72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54400.0</c:v>
                </c:pt>
                <c:pt idx="16">
                  <c:v>268146.6666666667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149050.0</c:v>
                </c:pt>
                <c:pt idx="31">
                  <c:v>0.0</c:v>
                </c:pt>
                <c:pt idx="32">
                  <c:v>176000.0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47466.66666666667</c:v>
                </c:pt>
                <c:pt idx="38">
                  <c:v>0.0</c:v>
                </c:pt>
                <c:pt idx="39">
                  <c:v>125.0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10000.0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'Date Chart'!$M$2</c:f>
              <c:strCache>
                <c:ptCount val="1"/>
                <c:pt idx="0">
                  <c:v>NF-10 Low B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Chart'!$M$4:$M$72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126400.0</c:v>
                </c:pt>
                <c:pt idx="11">
                  <c:v>0.0</c:v>
                </c:pt>
                <c:pt idx="12">
                  <c:v>0.0</c:v>
                </c:pt>
                <c:pt idx="13">
                  <c:v>186133.3333333333</c:v>
                </c:pt>
                <c:pt idx="14">
                  <c:v>0.0</c:v>
                </c:pt>
                <c:pt idx="15">
                  <c:v>0.0</c:v>
                </c:pt>
                <c:pt idx="16">
                  <c:v>2625.0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1466.666666666667</c:v>
                </c:pt>
                <c:pt idx="22">
                  <c:v>0.0</c:v>
                </c:pt>
                <c:pt idx="23">
                  <c:v>74666.66666666666</c:v>
                </c:pt>
                <c:pt idx="24">
                  <c:v>1200.0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208.3333333333333</c:v>
                </c:pt>
              </c:numCache>
            </c:numRef>
          </c:val>
        </c:ser>
        <c:ser>
          <c:idx val="12"/>
          <c:order val="12"/>
          <c:tx>
            <c:strRef>
              <c:f>'Date Chart'!$N$2</c:f>
              <c:strCache>
                <c:ptCount val="1"/>
                <c:pt idx="0">
                  <c:v>K-6 Low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Chart'!$N$4:$N$72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123200.0</c:v>
                </c:pt>
                <c:pt idx="11">
                  <c:v>1800.0</c:v>
                </c:pt>
                <c:pt idx="12">
                  <c:v>130933.3333333333</c:v>
                </c:pt>
                <c:pt idx="13">
                  <c:v>48406.66666666666</c:v>
                </c:pt>
                <c:pt idx="14">
                  <c:v>0.0</c:v>
                </c:pt>
                <c:pt idx="15">
                  <c:v>4266.666666666666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49600.0</c:v>
                </c:pt>
                <c:pt idx="28">
                  <c:v>9066.666666666668</c:v>
                </c:pt>
                <c:pt idx="29">
                  <c:v>0.0</c:v>
                </c:pt>
                <c:pt idx="30">
                  <c:v>2800.0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'Date Chart'!$O$2</c:f>
              <c:strCache>
                <c:ptCount val="1"/>
                <c:pt idx="0">
                  <c:v>K-10 Ambient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Chart'!$O$4:$O$72</c:f>
              <c:numCache>
                <c:formatCode>_(* #,##0_);_(* \(#,##0\);_(* "-"??_);_(@_)</c:formatCode>
                <c:ptCount val="69"/>
                <c:pt idx="0">
                  <c:v>47400.0</c:v>
                </c:pt>
                <c:pt idx="1">
                  <c:v>0.0</c:v>
                </c:pt>
                <c:pt idx="2">
                  <c:v>0.0</c:v>
                </c:pt>
                <c:pt idx="3">
                  <c:v>66800.0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108000.0</c:v>
                </c:pt>
                <c:pt idx="10">
                  <c:v>13250.0</c:v>
                </c:pt>
                <c:pt idx="11">
                  <c:v>625.0</c:v>
                </c:pt>
                <c:pt idx="12">
                  <c:v>0.0</c:v>
                </c:pt>
                <c:pt idx="13">
                  <c:v>37566.66666666666</c:v>
                </c:pt>
                <c:pt idx="14">
                  <c:v>31206.66666666667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40533.33333333333</c:v>
                </c:pt>
                <c:pt idx="22">
                  <c:v>0.0</c:v>
                </c:pt>
                <c:pt idx="23">
                  <c:v>63413.33333333333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25166.66666666667</c:v>
                </c:pt>
                <c:pt idx="29">
                  <c:v>0.0</c:v>
                </c:pt>
                <c:pt idx="30">
                  <c:v>1280.0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18166.66666666667</c:v>
                </c:pt>
                <c:pt idx="36">
                  <c:v>0.0</c:v>
                </c:pt>
                <c:pt idx="37">
                  <c:v>12800.0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'Date Chart'!$P$2</c:f>
              <c:strCache>
                <c:ptCount val="1"/>
                <c:pt idx="0">
                  <c:v>NF-10 Ambient A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Chart'!$P$4:$P$72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248000.0</c:v>
                </c:pt>
                <c:pt idx="15">
                  <c:v>0.0</c:v>
                </c:pt>
                <c:pt idx="16">
                  <c:v>4916.666666666666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214480.0</c:v>
                </c:pt>
                <c:pt idx="24">
                  <c:v>2933.333333333333</c:v>
                </c:pt>
                <c:pt idx="25">
                  <c:v>0.0</c:v>
                </c:pt>
                <c:pt idx="26">
                  <c:v>0.0</c:v>
                </c:pt>
                <c:pt idx="27">
                  <c:v>224533.3333333333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'Date Chart'!$Q$2</c:f>
              <c:strCache>
                <c:ptCount val="1"/>
                <c:pt idx="0">
                  <c:v>NF-10 Ambient B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Chart'!$Q$4:$Q$72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245666.6666666667</c:v>
                </c:pt>
                <c:pt idx="7">
                  <c:v>1000.0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115733.3333333333</c:v>
                </c:pt>
                <c:pt idx="35">
                  <c:v>58133.33333333334</c:v>
                </c:pt>
                <c:pt idx="36">
                  <c:v>0.0</c:v>
                </c:pt>
                <c:pt idx="37">
                  <c:v>666.6666666666666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'Date Chart'!$R$2</c:f>
              <c:strCache>
                <c:ptCount val="1"/>
                <c:pt idx="0">
                  <c:v>HL-10 Ambient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Chart'!$R$4:$R$72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205866.6666666667</c:v>
                </c:pt>
                <c:pt idx="14">
                  <c:v>26320.0</c:v>
                </c:pt>
                <c:pt idx="15">
                  <c:v>2800.0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436800.0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67666.66666666667</c:v>
                </c:pt>
                <c:pt idx="40">
                  <c:v>0.0</c:v>
                </c:pt>
                <c:pt idx="41">
                  <c:v>0.0</c:v>
                </c:pt>
                <c:pt idx="42">
                  <c:v>1564.444444444444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196800.0</c:v>
                </c:pt>
                <c:pt idx="50">
                  <c:v>0.0</c:v>
                </c:pt>
                <c:pt idx="51">
                  <c:v>1650.0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'Date Chart'!$S$2</c:f>
              <c:strCache>
                <c:ptCount val="1"/>
                <c:pt idx="0">
                  <c:v>HL-6 Low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Chart'!$S$4:$S$72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3483.333333333333</c:v>
                </c:pt>
                <c:pt idx="3">
                  <c:v>3844.444444444444</c:v>
                </c:pt>
                <c:pt idx="4">
                  <c:v>0.0</c:v>
                </c:pt>
                <c:pt idx="5">
                  <c:v>0.0</c:v>
                </c:pt>
                <c:pt idx="6">
                  <c:v>142666.6666666667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282133.3333333333</c:v>
                </c:pt>
                <c:pt idx="28">
                  <c:v>4391.666666666666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483.3333333333334</c:v>
                </c:pt>
                <c:pt idx="36">
                  <c:v>0.0</c:v>
                </c:pt>
                <c:pt idx="37">
                  <c:v>356266.6666666666</c:v>
                </c:pt>
                <c:pt idx="38">
                  <c:v>0.0</c:v>
                </c:pt>
                <c:pt idx="39">
                  <c:v>165000.0</c:v>
                </c:pt>
                <c:pt idx="40">
                  <c:v>0.0</c:v>
                </c:pt>
                <c:pt idx="41">
                  <c:v>0.0</c:v>
                </c:pt>
                <c:pt idx="42">
                  <c:v>995.5555555555555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'Date Chart'!$T$2</c:f>
              <c:strCache>
                <c:ptCount val="1"/>
                <c:pt idx="0">
                  <c:v>NF-6 Ambient B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Chart'!$T$4:$T$72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350.0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139800.0</c:v>
                </c:pt>
                <c:pt idx="16">
                  <c:v>7050.0</c:v>
                </c:pt>
                <c:pt idx="17">
                  <c:v>0.0</c:v>
                </c:pt>
                <c:pt idx="18">
                  <c:v>3200.0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'Date Chart'!$U$2</c:f>
              <c:strCache>
                <c:ptCount val="1"/>
                <c:pt idx="0">
                  <c:v>K-6 Ambient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Chart'!$U$4:$U$72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2041.666666666667</c:v>
                </c:pt>
                <c:pt idx="9">
                  <c:v>89666.66666666667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99733.33333333334</c:v>
                </c:pt>
                <c:pt idx="22">
                  <c:v>0.0</c:v>
                </c:pt>
                <c:pt idx="23">
                  <c:v>132840.0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72053.33333333333</c:v>
                </c:pt>
                <c:pt idx="31">
                  <c:v>0.0</c:v>
                </c:pt>
                <c:pt idx="32">
                  <c:v>4200.0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51150.0</c:v>
                </c:pt>
                <c:pt idx="40">
                  <c:v>65666.66666666667</c:v>
                </c:pt>
                <c:pt idx="41">
                  <c:v>0.0</c:v>
                </c:pt>
                <c:pt idx="42">
                  <c:v>193.3333333333333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'Date Chart'!$V$2</c:f>
              <c:strCache>
                <c:ptCount val="1"/>
                <c:pt idx="0">
                  <c:v>NF-6 Ambient A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Chart'!$V$4:$V$72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466.6666666666666</c:v>
                </c:pt>
                <c:pt idx="12">
                  <c:v>0.0</c:v>
                </c:pt>
                <c:pt idx="13">
                  <c:v>0.0</c:v>
                </c:pt>
                <c:pt idx="14">
                  <c:v>10800.0</c:v>
                </c:pt>
                <c:pt idx="15">
                  <c:v>0.0</c:v>
                </c:pt>
                <c:pt idx="16">
                  <c:v>3575.0</c:v>
                </c:pt>
                <c:pt idx="17">
                  <c:v>0.0</c:v>
                </c:pt>
                <c:pt idx="18">
                  <c:v>1111</c:v>
                </c:pt>
                <c:pt idx="19">
                  <c:v>0.0</c:v>
                </c:pt>
                <c:pt idx="20">
                  <c:v>1333.333333333333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33.33333333333333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'Date Chart'!$W$2</c:f>
              <c:strCache>
                <c:ptCount val="1"/>
                <c:pt idx="0">
                  <c:v>NF-10 Low A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Chart'!$W$4:$W$72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583.3333333333333</c:v>
                </c:pt>
                <c:pt idx="12">
                  <c:v>2266.666666666667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2333.333333333333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41958.33333333333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'Date Chart'!$X$2</c:f>
              <c:strCache>
                <c:ptCount val="1"/>
                <c:pt idx="0">
                  <c:v>NF-6 Low A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Chart'!$X$4:$X$72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88200.0</c:v>
                </c:pt>
                <c:pt idx="26">
                  <c:v>47025.0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246933.3333333333</c:v>
                </c:pt>
                <c:pt idx="31">
                  <c:v>0.0</c:v>
                </c:pt>
                <c:pt idx="32">
                  <c:v>9400.0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142000.0</c:v>
                </c:pt>
                <c:pt idx="40">
                  <c:v>0.0</c:v>
                </c:pt>
                <c:pt idx="41">
                  <c:v>0.0</c:v>
                </c:pt>
                <c:pt idx="42">
                  <c:v>888.8888888888888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'Date Chart'!$Y$2</c:f>
              <c:strCache>
                <c:ptCount val="1"/>
                <c:pt idx="0">
                  <c:v>HL-6 Ambient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</c:spPr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Chart'!$Y$4:$Y$72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105066.6666666667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66.66666666666665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925976"/>
        <c:axId val="2145928920"/>
      </c:barChart>
      <c:dateAx>
        <c:axId val="21459259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5928920"/>
        <c:crosses val="autoZero"/>
        <c:auto val="1"/>
        <c:lblOffset val="100"/>
        <c:baseTimeUnit val="days"/>
        <c:minorUnit val="1.0"/>
        <c:minorTimeUnit val="days"/>
      </c:dateAx>
      <c:valAx>
        <c:axId val="214592892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5925976"/>
        <c:crosses val="autoZero"/>
        <c:crossBetween val="between"/>
      </c:valAx>
      <c:spPr>
        <a:ln w="28575" cmpd="sng"/>
      </c:spPr>
    </c:plotArea>
    <c:plotVisOnly val="1"/>
    <c:dispBlanksAs val="gap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/>
              <a:t>Hood Canal Spawning</a:t>
            </a:r>
            <a:r>
              <a:rPr lang="en-US" sz="2800" baseline="0"/>
              <a:t> Data</a:t>
            </a:r>
            <a:endParaRPr lang="en-US" sz="2800"/>
          </a:p>
        </c:rich>
      </c:tx>
      <c:layout>
        <c:manualLayout>
          <c:xMode val="edge"/>
          <c:yMode val="edge"/>
          <c:x val="0.288127061360942"/>
          <c:y val="0.049126641777554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barChart>
        <c:barDir val="col"/>
        <c:grouping val="clustered"/>
        <c:varyColors val="0"/>
        <c:ser>
          <c:idx val="0"/>
          <c:order val="0"/>
          <c:tx>
            <c:v>HL-6 Low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Chart'!$S$4:$S$72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3483.333333333333</c:v>
                </c:pt>
                <c:pt idx="3">
                  <c:v>3844.444444444444</c:v>
                </c:pt>
                <c:pt idx="4">
                  <c:v>0.0</c:v>
                </c:pt>
                <c:pt idx="5">
                  <c:v>0.0</c:v>
                </c:pt>
                <c:pt idx="6">
                  <c:v>142666.6666666667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282133.3333333333</c:v>
                </c:pt>
                <c:pt idx="28">
                  <c:v>4391.666666666666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483.3333333333334</c:v>
                </c:pt>
                <c:pt idx="36">
                  <c:v>0.0</c:v>
                </c:pt>
                <c:pt idx="37">
                  <c:v>356266.6666666666</c:v>
                </c:pt>
                <c:pt idx="38">
                  <c:v>0.0</c:v>
                </c:pt>
                <c:pt idx="39">
                  <c:v>165000.0</c:v>
                </c:pt>
                <c:pt idx="40">
                  <c:v>0.0</c:v>
                </c:pt>
                <c:pt idx="41">
                  <c:v>0.0</c:v>
                </c:pt>
                <c:pt idx="42">
                  <c:v>995.5555555555555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"/>
          <c:order val="1"/>
          <c:tx>
            <c:v>HL-6 Ambient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Chart'!$Y$4:$Y$72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105066.6666666667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66.66666666666665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"/>
          <c:order val="2"/>
          <c:tx>
            <c:v>HL-10 Low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Chart'!$L$4:$L$72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54400.0</c:v>
                </c:pt>
                <c:pt idx="16">
                  <c:v>268146.6666666667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149050.0</c:v>
                </c:pt>
                <c:pt idx="31">
                  <c:v>0.0</c:v>
                </c:pt>
                <c:pt idx="32">
                  <c:v>176000.0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47466.66666666667</c:v>
                </c:pt>
                <c:pt idx="38">
                  <c:v>0.0</c:v>
                </c:pt>
                <c:pt idx="39">
                  <c:v>125.0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10000.0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3"/>
          <c:order val="3"/>
          <c:tx>
            <c:v>HL-10 Ambient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Chart'!$R$4:$R$72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205866.6666666667</c:v>
                </c:pt>
                <c:pt idx="14">
                  <c:v>26320.0</c:v>
                </c:pt>
                <c:pt idx="15">
                  <c:v>2800.0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436800.0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67666.66666666667</c:v>
                </c:pt>
                <c:pt idx="40">
                  <c:v>0.0</c:v>
                </c:pt>
                <c:pt idx="41">
                  <c:v>0.0</c:v>
                </c:pt>
                <c:pt idx="42">
                  <c:v>1564.444444444444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196800.0</c:v>
                </c:pt>
                <c:pt idx="50">
                  <c:v>0.0</c:v>
                </c:pt>
                <c:pt idx="51">
                  <c:v>1650.0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977656"/>
        <c:axId val="2145980840"/>
      </c:barChart>
      <c:dateAx>
        <c:axId val="21459776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5980840"/>
        <c:crosses val="autoZero"/>
        <c:auto val="1"/>
        <c:lblOffset val="100"/>
        <c:baseTimeUnit val="days"/>
        <c:minorUnit val="1.0"/>
        <c:minorTimeUnit val="days"/>
      </c:dateAx>
      <c:valAx>
        <c:axId val="214598084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5977656"/>
        <c:crosses val="autoZero"/>
        <c:crossBetween val="between"/>
      </c:valAx>
      <c:spPr>
        <a:ln w="28575" cmpd="sng"/>
      </c:spPr>
    </c:plotArea>
    <c:legend>
      <c:legendPos val="r"/>
      <c:layout>
        <c:manualLayout>
          <c:xMode val="edge"/>
          <c:yMode val="edge"/>
          <c:x val="0.805075500193108"/>
          <c:y val="0.312941100290095"/>
          <c:w val="0.0854953909131872"/>
          <c:h val="0.307375510212203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100" b="1"/>
          </a:pPr>
          <a:endParaRPr lang="en-US"/>
        </a:p>
      </c:txPr>
    </c:legend>
    <c:plotVisOnly val="1"/>
    <c:dispBlanksAs val="gap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/>
              <a:t>South Sound F2</a:t>
            </a:r>
            <a:r>
              <a:rPr lang="en-US" sz="2800" baseline="0"/>
              <a:t> Spawning Data</a:t>
            </a:r>
            <a:endParaRPr lang="en-US" sz="2800"/>
          </a:p>
        </c:rich>
      </c:tx>
      <c:layout>
        <c:manualLayout>
          <c:xMode val="edge"/>
          <c:yMode val="edge"/>
          <c:x val="0.314522987691194"/>
          <c:y val="0.0971745991285614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barChart>
        <c:barDir val="col"/>
        <c:grouping val="clustered"/>
        <c:varyColors val="0"/>
        <c:ser>
          <c:idx val="0"/>
          <c:order val="0"/>
          <c:tx>
            <c:v>K-6 Low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Chart'!$N$4:$N$72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123200.0</c:v>
                </c:pt>
                <c:pt idx="11">
                  <c:v>1800.0</c:v>
                </c:pt>
                <c:pt idx="12">
                  <c:v>130933.3333333333</c:v>
                </c:pt>
                <c:pt idx="13">
                  <c:v>48406.66666666666</c:v>
                </c:pt>
                <c:pt idx="14">
                  <c:v>0.0</c:v>
                </c:pt>
                <c:pt idx="15">
                  <c:v>4266.666666666666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49600.0</c:v>
                </c:pt>
                <c:pt idx="28">
                  <c:v>9066.666666666668</c:v>
                </c:pt>
                <c:pt idx="29">
                  <c:v>0.0</c:v>
                </c:pt>
                <c:pt idx="30">
                  <c:v>2800.0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"/>
          <c:order val="1"/>
          <c:tx>
            <c:v>K-6 Ambient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Chart'!$U$4:$U$72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2041.666666666667</c:v>
                </c:pt>
                <c:pt idx="9">
                  <c:v>89666.66666666667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99733.33333333334</c:v>
                </c:pt>
                <c:pt idx="22">
                  <c:v>0.0</c:v>
                </c:pt>
                <c:pt idx="23">
                  <c:v>132840.0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72053.33333333333</c:v>
                </c:pt>
                <c:pt idx="31">
                  <c:v>0.0</c:v>
                </c:pt>
                <c:pt idx="32">
                  <c:v>4200.0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51150.0</c:v>
                </c:pt>
                <c:pt idx="40">
                  <c:v>65666.66666666667</c:v>
                </c:pt>
                <c:pt idx="41">
                  <c:v>0.0</c:v>
                </c:pt>
                <c:pt idx="42">
                  <c:v>193.3333333333333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"/>
          <c:order val="2"/>
          <c:tx>
            <c:v>K-10 Low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Chart'!$J$4:$J$72</c:f>
              <c:numCache>
                <c:formatCode>_(* #,##0_);_(* \(#,##0\);_(* "-"??_);_(@_)</c:formatCode>
                <c:ptCount val="69"/>
                <c:pt idx="0">
                  <c:v>37200.0</c:v>
                </c:pt>
                <c:pt idx="1">
                  <c:v>0.0</c:v>
                </c:pt>
                <c:pt idx="2">
                  <c:v>0.0</c:v>
                </c:pt>
                <c:pt idx="3">
                  <c:v>52266.66666666666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241066.6666666667</c:v>
                </c:pt>
                <c:pt idx="13">
                  <c:v>66666.66666666667</c:v>
                </c:pt>
                <c:pt idx="14">
                  <c:v>3400.0</c:v>
                </c:pt>
                <c:pt idx="15">
                  <c:v>10000.0</c:v>
                </c:pt>
                <c:pt idx="16">
                  <c:v>21600.0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190850.0</c:v>
                </c:pt>
                <c:pt idx="25">
                  <c:v>17306.66666666667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13000.0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3"/>
          <c:order val="3"/>
          <c:tx>
            <c:v>K-10 Ambient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Chart'!$O$4:$O$72</c:f>
              <c:numCache>
                <c:formatCode>_(* #,##0_);_(* \(#,##0\);_(* "-"??_);_(@_)</c:formatCode>
                <c:ptCount val="69"/>
                <c:pt idx="0">
                  <c:v>47400.0</c:v>
                </c:pt>
                <c:pt idx="1">
                  <c:v>0.0</c:v>
                </c:pt>
                <c:pt idx="2">
                  <c:v>0.0</c:v>
                </c:pt>
                <c:pt idx="3">
                  <c:v>66800.0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108000.0</c:v>
                </c:pt>
                <c:pt idx="10">
                  <c:v>13250.0</c:v>
                </c:pt>
                <c:pt idx="11">
                  <c:v>625.0</c:v>
                </c:pt>
                <c:pt idx="12">
                  <c:v>0.0</c:v>
                </c:pt>
                <c:pt idx="13">
                  <c:v>37566.66666666666</c:v>
                </c:pt>
                <c:pt idx="14">
                  <c:v>31206.66666666667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40533.33333333333</c:v>
                </c:pt>
                <c:pt idx="22">
                  <c:v>0.0</c:v>
                </c:pt>
                <c:pt idx="23">
                  <c:v>63413.33333333333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25166.66666666667</c:v>
                </c:pt>
                <c:pt idx="29">
                  <c:v>0.0</c:v>
                </c:pt>
                <c:pt idx="30">
                  <c:v>1280.0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18166.66666666667</c:v>
                </c:pt>
                <c:pt idx="36">
                  <c:v>0.0</c:v>
                </c:pt>
                <c:pt idx="37">
                  <c:v>12800.0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029128"/>
        <c:axId val="2146032328"/>
      </c:barChart>
      <c:dateAx>
        <c:axId val="21460291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032328"/>
        <c:crosses val="autoZero"/>
        <c:auto val="1"/>
        <c:lblOffset val="100"/>
        <c:baseTimeUnit val="days"/>
        <c:minorUnit val="1.0"/>
        <c:minorTimeUnit val="days"/>
      </c:dateAx>
      <c:valAx>
        <c:axId val="2146032328"/>
        <c:scaling>
          <c:orientation val="minMax"/>
          <c:max val="250000.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6029128"/>
        <c:crosses val="autoZero"/>
        <c:crossBetween val="between"/>
      </c:valAx>
      <c:spPr>
        <a:solidFill>
          <a:srgbClr val="FFFFFF"/>
        </a:solidFill>
        <a:ln w="28575" cmpd="sng"/>
      </c:spPr>
    </c:plotArea>
    <c:legend>
      <c:legendPos val="r"/>
      <c:layout>
        <c:manualLayout>
          <c:xMode val="edge"/>
          <c:yMode val="edge"/>
          <c:x val="0.776070408575115"/>
          <c:y val="0.352037396145136"/>
          <c:w val="0.0834046833217755"/>
          <c:h val="0.261442187870983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100" b="1"/>
          </a:pPr>
          <a:endParaRPr lang="en-US"/>
        </a:p>
      </c:txPr>
    </c:legend>
    <c:plotVisOnly val="1"/>
    <c:dispBlanksAs val="gap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3200" b="1"/>
            </a:pPr>
            <a:r>
              <a:rPr lang="en-US" sz="2400" b="1" i="0" baseline="0">
                <a:effectLst/>
              </a:rPr>
              <a:t>South Sound 2-month SPAWNING DATA</a:t>
            </a:r>
            <a:endParaRPr lang="en-US" sz="3200" b="1">
              <a:effectLst/>
            </a:endParaRPr>
          </a:p>
        </c:rich>
      </c:tx>
      <c:layout>
        <c:manualLayout>
          <c:xMode val="edge"/>
          <c:yMode val="edge"/>
          <c:x val="0.284197824977182"/>
          <c:y val="0.0624155701467549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53653141098031"/>
          <c:y val="0.0341836921547597"/>
          <c:w val="0.904005813794544"/>
          <c:h val="0.831874835116291"/>
        </c:manualLayout>
      </c:layout>
      <c:barChart>
        <c:barDir val="col"/>
        <c:grouping val="clustered"/>
        <c:varyColors val="0"/>
        <c:ser>
          <c:idx val="0"/>
          <c:order val="0"/>
          <c:tx>
            <c:v>SN-6 Low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Chart'!$AA$4:$AA$72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11866.66666666667</c:v>
                </c:pt>
                <c:pt idx="10">
                  <c:v>460266.6666666667</c:v>
                </c:pt>
                <c:pt idx="11">
                  <c:v>136000.0</c:v>
                </c:pt>
                <c:pt idx="12">
                  <c:v>1000.0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245660.0</c:v>
                </c:pt>
                <c:pt idx="17">
                  <c:v>0.0</c:v>
                </c:pt>
                <c:pt idx="18">
                  <c:v>7900.0</c:v>
                </c:pt>
                <c:pt idx="19">
                  <c:v>0.0</c:v>
                </c:pt>
                <c:pt idx="20">
                  <c:v>164266.6666666667</c:v>
                </c:pt>
                <c:pt idx="21">
                  <c:v>750.0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1400.0</c:v>
                </c:pt>
                <c:pt idx="33">
                  <c:v>0.0</c:v>
                </c:pt>
                <c:pt idx="34">
                  <c:v>808800.0</c:v>
                </c:pt>
                <c:pt idx="35">
                  <c:v>121066.6666666667</c:v>
                </c:pt>
                <c:pt idx="36">
                  <c:v>0.0</c:v>
                </c:pt>
                <c:pt idx="37">
                  <c:v>156500.0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1"/>
          <c:order val="1"/>
          <c:tx>
            <c:v>SN-6 Ambient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Chart'!$AB$4:$AB$72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69066.66666666666</c:v>
                </c:pt>
                <c:pt idx="4">
                  <c:v>461500.0</c:v>
                </c:pt>
                <c:pt idx="5">
                  <c:v>0.0</c:v>
                </c:pt>
                <c:pt idx="6">
                  <c:v>21945</c:v>
                </c:pt>
                <c:pt idx="7">
                  <c:v>3583.333333333333</c:v>
                </c:pt>
                <c:pt idx="8">
                  <c:v>0.0</c:v>
                </c:pt>
                <c:pt idx="9">
                  <c:v>0.0</c:v>
                </c:pt>
                <c:pt idx="10">
                  <c:v>8166.666666666666</c:v>
                </c:pt>
                <c:pt idx="11">
                  <c:v>24500.0</c:v>
                </c:pt>
                <c:pt idx="12">
                  <c:v>209066.6666666667</c:v>
                </c:pt>
                <c:pt idx="13">
                  <c:v>4500.0</c:v>
                </c:pt>
                <c:pt idx="14">
                  <c:v>0.0</c:v>
                </c:pt>
                <c:pt idx="15">
                  <c:v>0.0</c:v>
                </c:pt>
                <c:pt idx="16">
                  <c:v>1400.0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150166.6666666667</c:v>
                </c:pt>
                <c:pt idx="24">
                  <c:v>0.0</c:v>
                </c:pt>
                <c:pt idx="25">
                  <c:v>484266.6666666667</c:v>
                </c:pt>
                <c:pt idx="26">
                  <c:v>9866.666666666668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235200.0</c:v>
                </c:pt>
                <c:pt idx="36">
                  <c:v>0.0</c:v>
                </c:pt>
                <c:pt idx="37">
                  <c:v>104533.3333333333</c:v>
                </c:pt>
                <c:pt idx="38">
                  <c:v>0.0</c:v>
                </c:pt>
                <c:pt idx="39">
                  <c:v>193120.0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"/>
          <c:order val="2"/>
          <c:tx>
            <c:v>SN-10 Low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Chart'!$AC$4:$AC$72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98000.0</c:v>
                </c:pt>
                <c:pt idx="4">
                  <c:v>77250.0</c:v>
                </c:pt>
                <c:pt idx="5">
                  <c:v>0.0</c:v>
                </c:pt>
                <c:pt idx="6">
                  <c:v>407133.3333333333</c:v>
                </c:pt>
                <c:pt idx="7">
                  <c:v>11400.0</c:v>
                </c:pt>
                <c:pt idx="8">
                  <c:v>0.0</c:v>
                </c:pt>
                <c:pt idx="9">
                  <c:v>281000.0</c:v>
                </c:pt>
                <c:pt idx="10">
                  <c:v>172266.6666666667</c:v>
                </c:pt>
                <c:pt idx="11">
                  <c:v>0.0</c:v>
                </c:pt>
                <c:pt idx="12">
                  <c:v>67600.0</c:v>
                </c:pt>
                <c:pt idx="13">
                  <c:v>0.0</c:v>
                </c:pt>
                <c:pt idx="14">
                  <c:v>0.0</c:v>
                </c:pt>
                <c:pt idx="15">
                  <c:v>115733.3333333333</c:v>
                </c:pt>
                <c:pt idx="16">
                  <c:v>156750.0</c:v>
                </c:pt>
                <c:pt idx="17">
                  <c:v>0.0</c:v>
                </c:pt>
                <c:pt idx="18">
                  <c:v>4500.0</c:v>
                </c:pt>
                <c:pt idx="19">
                  <c:v>0.0</c:v>
                </c:pt>
                <c:pt idx="20">
                  <c:v>378000.0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377373.3333333333</c:v>
                </c:pt>
                <c:pt idx="35">
                  <c:v>128000.0</c:v>
                </c:pt>
                <c:pt idx="36">
                  <c:v>0.0</c:v>
                </c:pt>
                <c:pt idx="37">
                  <c:v>1866.666666666667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866.6666666666666</c:v>
                </c:pt>
                <c:pt idx="43">
                  <c:v>0.0</c:v>
                </c:pt>
                <c:pt idx="44">
                  <c:v>95466.66666666666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3"/>
          <c:order val="3"/>
          <c:tx>
            <c:v>SN-10 Ambient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Chart'!$AD$4:$AD$72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80666.66666666666</c:v>
                </c:pt>
                <c:pt idx="4">
                  <c:v>554500.0</c:v>
                </c:pt>
                <c:pt idx="5">
                  <c:v>0.0</c:v>
                </c:pt>
                <c:pt idx="6">
                  <c:v>62400.0</c:v>
                </c:pt>
                <c:pt idx="7">
                  <c:v>6000.0</c:v>
                </c:pt>
                <c:pt idx="8">
                  <c:v>201600.0</c:v>
                </c:pt>
                <c:pt idx="9">
                  <c:v>318293.3333333333</c:v>
                </c:pt>
                <c:pt idx="10">
                  <c:v>642133.3333333333</c:v>
                </c:pt>
                <c:pt idx="11">
                  <c:v>3400.0</c:v>
                </c:pt>
                <c:pt idx="12">
                  <c:v>38266.66666666666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406800.0</c:v>
                </c:pt>
                <c:pt idx="22">
                  <c:v>0.0</c:v>
                </c:pt>
                <c:pt idx="23">
                  <c:v>504080.0</c:v>
                </c:pt>
                <c:pt idx="24">
                  <c:v>182050.0</c:v>
                </c:pt>
                <c:pt idx="25">
                  <c:v>0.0</c:v>
                </c:pt>
                <c:pt idx="26">
                  <c:v>6300.0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68250.0</c:v>
                </c:pt>
                <c:pt idx="35">
                  <c:v>77866.66666666666</c:v>
                </c:pt>
                <c:pt idx="36">
                  <c:v>0.0</c:v>
                </c:pt>
                <c:pt idx="37">
                  <c:v>1166.666666666667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416.6666666666666</c:v>
                </c:pt>
                <c:pt idx="56">
                  <c:v>266666.6666666666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072024"/>
        <c:axId val="2146075224"/>
      </c:barChart>
      <c:dateAx>
        <c:axId val="21460720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075224"/>
        <c:crosses val="autoZero"/>
        <c:auto val="1"/>
        <c:lblOffset val="100"/>
        <c:baseTimeUnit val="days"/>
        <c:minorUnit val="1.0"/>
        <c:minorTimeUnit val="days"/>
      </c:dateAx>
      <c:valAx>
        <c:axId val="2146075224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6072024"/>
        <c:crosses val="autoZero"/>
        <c:crossBetween val="between"/>
      </c:valAx>
      <c:spPr>
        <a:ln w="57150" cmpd="sng"/>
      </c:spPr>
    </c:plotArea>
    <c:legend>
      <c:legendPos val="r"/>
      <c:layout>
        <c:manualLayout>
          <c:xMode val="edge"/>
          <c:yMode val="edge"/>
          <c:x val="0.813109283718567"/>
          <c:y val="0.228495621215665"/>
          <c:w val="0.0942013223420386"/>
          <c:h val="0.305755460157789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/>
              <a:t>North Sound </a:t>
            </a:r>
            <a:r>
              <a:rPr lang="en-US" sz="2800" baseline="0"/>
              <a:t>2-month </a:t>
            </a:r>
            <a:r>
              <a:rPr lang="en-US" sz="2800"/>
              <a:t>SPAWNING</a:t>
            </a:r>
            <a:r>
              <a:rPr lang="en-US" sz="2800" baseline="0"/>
              <a:t> DATA</a:t>
            </a:r>
            <a:endParaRPr lang="en-US" sz="2800"/>
          </a:p>
        </c:rich>
      </c:tx>
      <c:layout>
        <c:manualLayout>
          <c:xMode val="edge"/>
          <c:yMode val="edge"/>
          <c:x val="0.292159321818644"/>
          <c:y val="0.0623279020815467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barChart>
        <c:barDir val="col"/>
        <c:grouping val="clustered"/>
        <c:varyColors val="0"/>
        <c:ser>
          <c:idx val="0"/>
          <c:order val="0"/>
          <c:tx>
            <c:v>NF-6 Low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Chart'!$AE$4:$AE$72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307800.0</c:v>
                </c:pt>
                <c:pt idx="15">
                  <c:v>190400.0</c:v>
                </c:pt>
                <c:pt idx="16">
                  <c:v>8016.666666666666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169800.0</c:v>
                </c:pt>
                <c:pt idx="26">
                  <c:v>48611.66666666666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246933.3333333333</c:v>
                </c:pt>
                <c:pt idx="31">
                  <c:v>0.0</c:v>
                </c:pt>
                <c:pt idx="32">
                  <c:v>9400.0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142000.0</c:v>
                </c:pt>
                <c:pt idx="40">
                  <c:v>0.0</c:v>
                </c:pt>
                <c:pt idx="41">
                  <c:v>0.0</c:v>
                </c:pt>
                <c:pt idx="42">
                  <c:v>888.8888888888888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302933.3333333333</c:v>
                </c:pt>
              </c:numCache>
            </c:numRef>
          </c:val>
        </c:ser>
        <c:ser>
          <c:idx val="1"/>
          <c:order val="1"/>
          <c:tx>
            <c:v>NF-6 Ambient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Chart'!$AF$4:$AF$72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350.0</c:v>
                </c:pt>
                <c:pt idx="9">
                  <c:v>0.0</c:v>
                </c:pt>
                <c:pt idx="10">
                  <c:v>0.0</c:v>
                </c:pt>
                <c:pt idx="11">
                  <c:v>466.6666666666666</c:v>
                </c:pt>
                <c:pt idx="12">
                  <c:v>0.0</c:v>
                </c:pt>
                <c:pt idx="13">
                  <c:v>0.0</c:v>
                </c:pt>
                <c:pt idx="14">
                  <c:v>10800.0</c:v>
                </c:pt>
                <c:pt idx="15">
                  <c:v>139800.0</c:v>
                </c:pt>
                <c:pt idx="16">
                  <c:v>10625.0</c:v>
                </c:pt>
                <c:pt idx="17">
                  <c:v>0.0</c:v>
                </c:pt>
                <c:pt idx="18">
                  <c:v>1143</c:v>
                </c:pt>
                <c:pt idx="19">
                  <c:v>0.0</c:v>
                </c:pt>
                <c:pt idx="20">
                  <c:v>1333.333333333333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33.33333333333333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ser>
          <c:idx val="2"/>
          <c:order val="2"/>
          <c:tx>
            <c:v>NF-10 Low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Chart'!$AG$4:$AG$72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126400.0</c:v>
                </c:pt>
                <c:pt idx="11">
                  <c:v>583.3333333333333</c:v>
                </c:pt>
                <c:pt idx="12">
                  <c:v>2266.666666666667</c:v>
                </c:pt>
                <c:pt idx="13">
                  <c:v>186133.3333333333</c:v>
                </c:pt>
                <c:pt idx="14">
                  <c:v>0.0</c:v>
                </c:pt>
                <c:pt idx="15">
                  <c:v>0.0</c:v>
                </c:pt>
                <c:pt idx="16">
                  <c:v>4958.333333333333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1466.666666666667</c:v>
                </c:pt>
                <c:pt idx="22">
                  <c:v>0.0</c:v>
                </c:pt>
                <c:pt idx="23">
                  <c:v>74666.66666666666</c:v>
                </c:pt>
                <c:pt idx="24">
                  <c:v>1200.0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41958.33333333333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208.3333333333333</c:v>
                </c:pt>
              </c:numCache>
            </c:numRef>
          </c:val>
        </c:ser>
        <c:ser>
          <c:idx val="3"/>
          <c:order val="3"/>
          <c:tx>
            <c:v>NF-10 Ambient</c:v>
          </c:tx>
          <c:invertIfNegative val="0"/>
          <c:cat>
            <c:numRef>
              <c:f>'Date Chart'!$A$4:$A$72</c:f>
              <c:numCache>
                <c:formatCode>m/d/yy</c:formatCode>
                <c:ptCount val="69"/>
                <c:pt idx="0">
                  <c:v>42866.0</c:v>
                </c:pt>
                <c:pt idx="1">
                  <c:v>42867.0</c:v>
                </c:pt>
                <c:pt idx="2">
                  <c:v>42868.0</c:v>
                </c:pt>
                <c:pt idx="3">
                  <c:v>42869.0</c:v>
                </c:pt>
                <c:pt idx="4">
                  <c:v>42870.0</c:v>
                </c:pt>
                <c:pt idx="5">
                  <c:v>42871.0</c:v>
                </c:pt>
                <c:pt idx="6">
                  <c:v>42872.0</c:v>
                </c:pt>
                <c:pt idx="7">
                  <c:v>42873.0</c:v>
                </c:pt>
                <c:pt idx="8">
                  <c:v>42874.0</c:v>
                </c:pt>
                <c:pt idx="9">
                  <c:v>42875.0</c:v>
                </c:pt>
                <c:pt idx="10">
                  <c:v>42876.0</c:v>
                </c:pt>
                <c:pt idx="11">
                  <c:v>42877.0</c:v>
                </c:pt>
                <c:pt idx="12">
                  <c:v>42878.0</c:v>
                </c:pt>
                <c:pt idx="13">
                  <c:v>42879.0</c:v>
                </c:pt>
                <c:pt idx="14">
                  <c:v>42880.0</c:v>
                </c:pt>
                <c:pt idx="15">
                  <c:v>42881.0</c:v>
                </c:pt>
                <c:pt idx="16">
                  <c:v>42882.0</c:v>
                </c:pt>
                <c:pt idx="17">
                  <c:v>42883.0</c:v>
                </c:pt>
                <c:pt idx="18">
                  <c:v>42884.0</c:v>
                </c:pt>
                <c:pt idx="19">
                  <c:v>42885.0</c:v>
                </c:pt>
                <c:pt idx="20">
                  <c:v>42886.0</c:v>
                </c:pt>
                <c:pt idx="21">
                  <c:v>42887.0</c:v>
                </c:pt>
                <c:pt idx="22">
                  <c:v>42888.0</c:v>
                </c:pt>
                <c:pt idx="23">
                  <c:v>42889.0</c:v>
                </c:pt>
                <c:pt idx="24">
                  <c:v>42890.0</c:v>
                </c:pt>
                <c:pt idx="25">
                  <c:v>42891.0</c:v>
                </c:pt>
                <c:pt idx="26">
                  <c:v>42892.0</c:v>
                </c:pt>
                <c:pt idx="27">
                  <c:v>42893.0</c:v>
                </c:pt>
                <c:pt idx="28">
                  <c:v>42894.0</c:v>
                </c:pt>
                <c:pt idx="29">
                  <c:v>42895.0</c:v>
                </c:pt>
                <c:pt idx="30">
                  <c:v>42896.0</c:v>
                </c:pt>
                <c:pt idx="31">
                  <c:v>42897.0</c:v>
                </c:pt>
                <c:pt idx="32">
                  <c:v>42898.0</c:v>
                </c:pt>
                <c:pt idx="33">
                  <c:v>42899.0</c:v>
                </c:pt>
                <c:pt idx="34">
                  <c:v>42900.0</c:v>
                </c:pt>
                <c:pt idx="35">
                  <c:v>42901.0</c:v>
                </c:pt>
                <c:pt idx="36">
                  <c:v>42902.0</c:v>
                </c:pt>
                <c:pt idx="37">
                  <c:v>42903.0</c:v>
                </c:pt>
                <c:pt idx="38">
                  <c:v>42904.0</c:v>
                </c:pt>
                <c:pt idx="39">
                  <c:v>42905.0</c:v>
                </c:pt>
                <c:pt idx="40">
                  <c:v>42906.0</c:v>
                </c:pt>
                <c:pt idx="41">
                  <c:v>42907.0</c:v>
                </c:pt>
                <c:pt idx="42">
                  <c:v>42908.0</c:v>
                </c:pt>
                <c:pt idx="43">
                  <c:v>42909.0</c:v>
                </c:pt>
                <c:pt idx="44">
                  <c:v>42910.0</c:v>
                </c:pt>
                <c:pt idx="45">
                  <c:v>42911.0</c:v>
                </c:pt>
                <c:pt idx="46">
                  <c:v>42912.0</c:v>
                </c:pt>
                <c:pt idx="47">
                  <c:v>42913.0</c:v>
                </c:pt>
                <c:pt idx="48">
                  <c:v>42914.0</c:v>
                </c:pt>
                <c:pt idx="49">
                  <c:v>42915.0</c:v>
                </c:pt>
                <c:pt idx="50">
                  <c:v>42916.0</c:v>
                </c:pt>
                <c:pt idx="51">
                  <c:v>42917.0</c:v>
                </c:pt>
                <c:pt idx="52">
                  <c:v>42918.0</c:v>
                </c:pt>
                <c:pt idx="53">
                  <c:v>42919.0</c:v>
                </c:pt>
                <c:pt idx="54">
                  <c:v>42920.0</c:v>
                </c:pt>
                <c:pt idx="55">
                  <c:v>42921.0</c:v>
                </c:pt>
                <c:pt idx="56">
                  <c:v>42922.0</c:v>
                </c:pt>
                <c:pt idx="57">
                  <c:v>42923.0</c:v>
                </c:pt>
                <c:pt idx="58">
                  <c:v>42924.0</c:v>
                </c:pt>
                <c:pt idx="59">
                  <c:v>42925.0</c:v>
                </c:pt>
                <c:pt idx="60">
                  <c:v>42926.0</c:v>
                </c:pt>
                <c:pt idx="61">
                  <c:v>42927.0</c:v>
                </c:pt>
                <c:pt idx="62">
                  <c:v>42928.0</c:v>
                </c:pt>
              </c:numCache>
            </c:numRef>
          </c:cat>
          <c:val>
            <c:numRef>
              <c:f>'Date Chart'!$AH$4:$AH$72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245666.6666666667</c:v>
                </c:pt>
                <c:pt idx="7">
                  <c:v>1000.0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248000.0</c:v>
                </c:pt>
                <c:pt idx="15">
                  <c:v>0.0</c:v>
                </c:pt>
                <c:pt idx="16">
                  <c:v>4916.666666666666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214480.0</c:v>
                </c:pt>
                <c:pt idx="24">
                  <c:v>2933.333333333333</c:v>
                </c:pt>
                <c:pt idx="25">
                  <c:v>0.0</c:v>
                </c:pt>
                <c:pt idx="26">
                  <c:v>0.0</c:v>
                </c:pt>
                <c:pt idx="27">
                  <c:v>224533.3333333333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115733.3333333333</c:v>
                </c:pt>
                <c:pt idx="35">
                  <c:v>58133.33333333334</c:v>
                </c:pt>
                <c:pt idx="36">
                  <c:v>0.0</c:v>
                </c:pt>
                <c:pt idx="37">
                  <c:v>666.6666666666666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116312"/>
        <c:axId val="2146119512"/>
      </c:barChart>
      <c:dateAx>
        <c:axId val="21461163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119512"/>
        <c:crosses val="autoZero"/>
        <c:auto val="1"/>
        <c:lblOffset val="100"/>
        <c:baseTimeUnit val="days"/>
        <c:minorUnit val="1.0"/>
        <c:minorTimeUnit val="days"/>
      </c:dateAx>
      <c:valAx>
        <c:axId val="2146119512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6116312"/>
        <c:crosses val="autoZero"/>
        <c:crossBetween val="between"/>
      </c:valAx>
      <c:spPr>
        <a:ln w="28575" cmpd="sng"/>
      </c:spPr>
    </c:plotArea>
    <c:legend>
      <c:legendPos val="r"/>
      <c:layout>
        <c:manualLayout>
          <c:xMode val="edge"/>
          <c:yMode val="edge"/>
          <c:x val="0.6961737998476"/>
          <c:y val="0.315624074218445"/>
          <c:w val="0.0891167202394585"/>
          <c:h val="0.287645243668866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100" b="1"/>
          </a:pPr>
          <a:endParaRPr lang="en-US"/>
        </a:p>
      </c:txPr>
    </c:legend>
    <c:plotVisOnly val="1"/>
    <c:dispBlanksAs val="gap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 baseline="0"/>
              <a:t>Hood Canal Total Larvae Spawned</a:t>
            </a:r>
            <a:endParaRPr lang="en-US" sz="2800"/>
          </a:p>
        </c:rich>
      </c:tx>
      <c:layout>
        <c:manualLayout>
          <c:xMode val="edge"/>
          <c:yMode val="edge"/>
          <c:x val="0.152649460484106"/>
          <c:y val="0.116264465725624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scatterChart>
        <c:scatterStyle val="smoothMarker"/>
        <c:varyColors val="0"/>
        <c:ser>
          <c:idx val="0"/>
          <c:order val="0"/>
          <c:tx>
            <c:v>HL-6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Chart'!$AJ$4:$AJ$72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3483.333333333333</c:v>
                </c:pt>
                <c:pt idx="3">
                  <c:v>7327.777777777777</c:v>
                </c:pt>
                <c:pt idx="4">
                  <c:v>7327.777777777777</c:v>
                </c:pt>
                <c:pt idx="5">
                  <c:v>7327.777777777777</c:v>
                </c:pt>
                <c:pt idx="6">
                  <c:v>149994.4444444444</c:v>
                </c:pt>
                <c:pt idx="7">
                  <c:v>149994.4444444444</c:v>
                </c:pt>
                <c:pt idx="8">
                  <c:v>149994.4444444444</c:v>
                </c:pt>
                <c:pt idx="9">
                  <c:v>149994.4444444444</c:v>
                </c:pt>
                <c:pt idx="10">
                  <c:v>149994.4444444444</c:v>
                </c:pt>
                <c:pt idx="11">
                  <c:v>149994.4444444444</c:v>
                </c:pt>
                <c:pt idx="12">
                  <c:v>149994.4444444444</c:v>
                </c:pt>
                <c:pt idx="13">
                  <c:v>149994.4444444444</c:v>
                </c:pt>
                <c:pt idx="14">
                  <c:v>149994.4444444444</c:v>
                </c:pt>
                <c:pt idx="15">
                  <c:v>149994.4444444444</c:v>
                </c:pt>
                <c:pt idx="16">
                  <c:v>149994.4444444444</c:v>
                </c:pt>
                <c:pt idx="17">
                  <c:v>149994.4444444444</c:v>
                </c:pt>
                <c:pt idx="18">
                  <c:v>149994.4444444444</c:v>
                </c:pt>
                <c:pt idx="19">
                  <c:v>149994.4444444444</c:v>
                </c:pt>
                <c:pt idx="20">
                  <c:v>149994.4444444444</c:v>
                </c:pt>
                <c:pt idx="21">
                  <c:v>149994.4444444444</c:v>
                </c:pt>
                <c:pt idx="22">
                  <c:v>149994.4444444444</c:v>
                </c:pt>
                <c:pt idx="23">
                  <c:v>149994.4444444444</c:v>
                </c:pt>
                <c:pt idx="24">
                  <c:v>149994.4444444444</c:v>
                </c:pt>
                <c:pt idx="25">
                  <c:v>149994.4444444444</c:v>
                </c:pt>
                <c:pt idx="26">
                  <c:v>149994.4444444444</c:v>
                </c:pt>
                <c:pt idx="27">
                  <c:v>432127.7777777778</c:v>
                </c:pt>
                <c:pt idx="28">
                  <c:v>436519.4444444445</c:v>
                </c:pt>
                <c:pt idx="29">
                  <c:v>436519.4444444445</c:v>
                </c:pt>
                <c:pt idx="30">
                  <c:v>436519.4444444445</c:v>
                </c:pt>
                <c:pt idx="31">
                  <c:v>436519.4444444445</c:v>
                </c:pt>
                <c:pt idx="32">
                  <c:v>436519.4444444445</c:v>
                </c:pt>
                <c:pt idx="33">
                  <c:v>436519.4444444445</c:v>
                </c:pt>
                <c:pt idx="34">
                  <c:v>436519.4444444445</c:v>
                </c:pt>
                <c:pt idx="35">
                  <c:v>437002.7777777778</c:v>
                </c:pt>
                <c:pt idx="36">
                  <c:v>437002.7777777778</c:v>
                </c:pt>
                <c:pt idx="37">
                  <c:v>793269.4444444445</c:v>
                </c:pt>
                <c:pt idx="38">
                  <c:v>793269.4444444445</c:v>
                </c:pt>
                <c:pt idx="39">
                  <c:v>958269.4444444445</c:v>
                </c:pt>
                <c:pt idx="40">
                  <c:v>958269.4444444445</c:v>
                </c:pt>
                <c:pt idx="41">
                  <c:v>958269.4444444445</c:v>
                </c:pt>
                <c:pt idx="42">
                  <c:v>959265.0</c:v>
                </c:pt>
                <c:pt idx="43">
                  <c:v>959265.0</c:v>
                </c:pt>
                <c:pt idx="44">
                  <c:v>959265.0</c:v>
                </c:pt>
                <c:pt idx="45">
                  <c:v>959265.0</c:v>
                </c:pt>
                <c:pt idx="46">
                  <c:v>959265.0</c:v>
                </c:pt>
                <c:pt idx="47">
                  <c:v>959265.0</c:v>
                </c:pt>
                <c:pt idx="48">
                  <c:v>959265.0</c:v>
                </c:pt>
                <c:pt idx="49">
                  <c:v>959265.0</c:v>
                </c:pt>
                <c:pt idx="50">
                  <c:v>959265.0</c:v>
                </c:pt>
                <c:pt idx="51">
                  <c:v>959265.0</c:v>
                </c:pt>
                <c:pt idx="52">
                  <c:v>959265.0</c:v>
                </c:pt>
                <c:pt idx="53">
                  <c:v>959265.0</c:v>
                </c:pt>
                <c:pt idx="54">
                  <c:v>959265.0</c:v>
                </c:pt>
                <c:pt idx="55">
                  <c:v>959265.0</c:v>
                </c:pt>
              </c:numCache>
            </c:numRef>
          </c:yVal>
          <c:smooth val="1"/>
        </c:ser>
        <c:ser>
          <c:idx val="1"/>
          <c:order val="1"/>
          <c:tx>
            <c:v>HL-6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Chart'!$AL$4:$AL$72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105066.6666666667</c:v>
                </c:pt>
                <c:pt idx="33">
                  <c:v>105066.6666666667</c:v>
                </c:pt>
                <c:pt idx="34">
                  <c:v>105066.6666666667</c:v>
                </c:pt>
                <c:pt idx="35">
                  <c:v>105066.6666666667</c:v>
                </c:pt>
                <c:pt idx="36">
                  <c:v>105066.6666666667</c:v>
                </c:pt>
                <c:pt idx="37">
                  <c:v>105066.6666666667</c:v>
                </c:pt>
                <c:pt idx="38">
                  <c:v>105066.6666666667</c:v>
                </c:pt>
                <c:pt idx="39">
                  <c:v>105066.6666666667</c:v>
                </c:pt>
                <c:pt idx="40">
                  <c:v>105066.6666666667</c:v>
                </c:pt>
                <c:pt idx="41">
                  <c:v>105066.6666666667</c:v>
                </c:pt>
                <c:pt idx="42">
                  <c:v>105066.6666666667</c:v>
                </c:pt>
                <c:pt idx="43">
                  <c:v>105066.6666666667</c:v>
                </c:pt>
                <c:pt idx="44">
                  <c:v>105066.6666666667</c:v>
                </c:pt>
                <c:pt idx="45">
                  <c:v>105066.6666666667</c:v>
                </c:pt>
                <c:pt idx="46">
                  <c:v>105066.6666666667</c:v>
                </c:pt>
                <c:pt idx="47">
                  <c:v>105066.6666666667</c:v>
                </c:pt>
                <c:pt idx="48">
                  <c:v>105066.6666666667</c:v>
                </c:pt>
                <c:pt idx="49">
                  <c:v>105066.6666666667</c:v>
                </c:pt>
                <c:pt idx="50">
                  <c:v>105066.6666666667</c:v>
                </c:pt>
                <c:pt idx="51">
                  <c:v>105066.6666666667</c:v>
                </c:pt>
                <c:pt idx="52">
                  <c:v>105066.6666666667</c:v>
                </c:pt>
                <c:pt idx="53">
                  <c:v>105066.6666666667</c:v>
                </c:pt>
                <c:pt idx="54">
                  <c:v>105066.6666666667</c:v>
                </c:pt>
                <c:pt idx="55">
                  <c:v>105066.6666666667</c:v>
                </c:pt>
              </c:numCache>
            </c:numRef>
          </c:yVal>
          <c:smooth val="1"/>
        </c:ser>
        <c:ser>
          <c:idx val="2"/>
          <c:order val="2"/>
          <c:tx>
            <c:v>HL-10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Chart'!$AN$4:$AN$72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54400.0</c:v>
                </c:pt>
                <c:pt idx="16">
                  <c:v>322546.6666666667</c:v>
                </c:pt>
                <c:pt idx="17">
                  <c:v>322546.6666666667</c:v>
                </c:pt>
                <c:pt idx="18">
                  <c:v>322546.6666666667</c:v>
                </c:pt>
                <c:pt idx="19">
                  <c:v>322546.6666666667</c:v>
                </c:pt>
                <c:pt idx="20">
                  <c:v>322546.6666666667</c:v>
                </c:pt>
                <c:pt idx="21">
                  <c:v>322546.6666666667</c:v>
                </c:pt>
                <c:pt idx="22">
                  <c:v>322546.6666666667</c:v>
                </c:pt>
                <c:pt idx="23">
                  <c:v>322546.6666666667</c:v>
                </c:pt>
                <c:pt idx="24">
                  <c:v>322546.6666666667</c:v>
                </c:pt>
                <c:pt idx="25">
                  <c:v>322546.6666666667</c:v>
                </c:pt>
                <c:pt idx="26">
                  <c:v>322546.6666666667</c:v>
                </c:pt>
                <c:pt idx="27">
                  <c:v>322546.6666666667</c:v>
                </c:pt>
                <c:pt idx="28">
                  <c:v>322546.6666666667</c:v>
                </c:pt>
                <c:pt idx="29">
                  <c:v>322546.6666666667</c:v>
                </c:pt>
                <c:pt idx="30">
                  <c:v>471596.6666666667</c:v>
                </c:pt>
                <c:pt idx="31">
                  <c:v>471596.6666666667</c:v>
                </c:pt>
                <c:pt idx="32">
                  <c:v>647596.6666666667</c:v>
                </c:pt>
                <c:pt idx="33">
                  <c:v>647596.6666666667</c:v>
                </c:pt>
                <c:pt idx="34">
                  <c:v>647596.6666666667</c:v>
                </c:pt>
                <c:pt idx="35">
                  <c:v>647596.6666666667</c:v>
                </c:pt>
                <c:pt idx="36">
                  <c:v>647596.6666666667</c:v>
                </c:pt>
                <c:pt idx="37">
                  <c:v>695063.3333333333</c:v>
                </c:pt>
                <c:pt idx="38">
                  <c:v>695063.3333333333</c:v>
                </c:pt>
                <c:pt idx="39">
                  <c:v>695188.3333333333</c:v>
                </c:pt>
                <c:pt idx="40">
                  <c:v>695188.3333333333</c:v>
                </c:pt>
                <c:pt idx="41">
                  <c:v>695188.3333333333</c:v>
                </c:pt>
                <c:pt idx="42">
                  <c:v>695188.3333333333</c:v>
                </c:pt>
                <c:pt idx="43">
                  <c:v>695188.3333333333</c:v>
                </c:pt>
                <c:pt idx="44">
                  <c:v>705188.3333333333</c:v>
                </c:pt>
                <c:pt idx="45">
                  <c:v>705188.3333333333</c:v>
                </c:pt>
                <c:pt idx="46">
                  <c:v>705188.3333333333</c:v>
                </c:pt>
                <c:pt idx="47">
                  <c:v>705188.3333333333</c:v>
                </c:pt>
                <c:pt idx="48">
                  <c:v>705188.3333333333</c:v>
                </c:pt>
                <c:pt idx="49">
                  <c:v>705188.3333333333</c:v>
                </c:pt>
                <c:pt idx="50">
                  <c:v>705188.3333333333</c:v>
                </c:pt>
                <c:pt idx="51">
                  <c:v>705188.3333333333</c:v>
                </c:pt>
                <c:pt idx="52">
                  <c:v>705188.3333333333</c:v>
                </c:pt>
                <c:pt idx="53">
                  <c:v>705188.3333333333</c:v>
                </c:pt>
                <c:pt idx="54">
                  <c:v>705188.3333333333</c:v>
                </c:pt>
                <c:pt idx="55">
                  <c:v>705188.3333333333</c:v>
                </c:pt>
              </c:numCache>
            </c:numRef>
          </c:yVal>
          <c:smooth val="1"/>
        </c:ser>
        <c:ser>
          <c:idx val="3"/>
          <c:order val="3"/>
          <c:tx>
            <c:v>HL-10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Chart'!$AP$4:$AP$72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205866.6666666667</c:v>
                </c:pt>
                <c:pt idx="14">
                  <c:v>232186.6666666667</c:v>
                </c:pt>
                <c:pt idx="15">
                  <c:v>234986.6666666667</c:v>
                </c:pt>
                <c:pt idx="16">
                  <c:v>234986.6666666667</c:v>
                </c:pt>
                <c:pt idx="17">
                  <c:v>234986.6666666667</c:v>
                </c:pt>
                <c:pt idx="18">
                  <c:v>234986.6666666667</c:v>
                </c:pt>
                <c:pt idx="19">
                  <c:v>234986.6666666667</c:v>
                </c:pt>
                <c:pt idx="20">
                  <c:v>671786.6666666666</c:v>
                </c:pt>
                <c:pt idx="21">
                  <c:v>671786.6666666666</c:v>
                </c:pt>
                <c:pt idx="22">
                  <c:v>671786.6666666666</c:v>
                </c:pt>
                <c:pt idx="23">
                  <c:v>671786.6666666666</c:v>
                </c:pt>
                <c:pt idx="24">
                  <c:v>671786.6666666666</c:v>
                </c:pt>
                <c:pt idx="25">
                  <c:v>671786.6666666666</c:v>
                </c:pt>
                <c:pt idx="26">
                  <c:v>671786.6666666666</c:v>
                </c:pt>
                <c:pt idx="27">
                  <c:v>671786.6666666666</c:v>
                </c:pt>
                <c:pt idx="28">
                  <c:v>671786.6666666666</c:v>
                </c:pt>
                <c:pt idx="29">
                  <c:v>671786.6666666666</c:v>
                </c:pt>
                <c:pt idx="30">
                  <c:v>671786.6666666666</c:v>
                </c:pt>
                <c:pt idx="31">
                  <c:v>671786.6666666666</c:v>
                </c:pt>
                <c:pt idx="32">
                  <c:v>671786.6666666666</c:v>
                </c:pt>
                <c:pt idx="33">
                  <c:v>671786.6666666666</c:v>
                </c:pt>
                <c:pt idx="34">
                  <c:v>671786.6666666666</c:v>
                </c:pt>
                <c:pt idx="35">
                  <c:v>671786.6666666666</c:v>
                </c:pt>
                <c:pt idx="36">
                  <c:v>671786.6666666666</c:v>
                </c:pt>
                <c:pt idx="37">
                  <c:v>671786.6666666666</c:v>
                </c:pt>
                <c:pt idx="38">
                  <c:v>671786.6666666666</c:v>
                </c:pt>
                <c:pt idx="39">
                  <c:v>739453.3333333332</c:v>
                </c:pt>
                <c:pt idx="40">
                  <c:v>739453.3333333332</c:v>
                </c:pt>
                <c:pt idx="41">
                  <c:v>739453.3333333332</c:v>
                </c:pt>
                <c:pt idx="42">
                  <c:v>741017.7777777778</c:v>
                </c:pt>
                <c:pt idx="43">
                  <c:v>741017.7777777778</c:v>
                </c:pt>
                <c:pt idx="44">
                  <c:v>741017.7777777778</c:v>
                </c:pt>
                <c:pt idx="45">
                  <c:v>741017.7777777778</c:v>
                </c:pt>
                <c:pt idx="46">
                  <c:v>741017.7777777778</c:v>
                </c:pt>
                <c:pt idx="47">
                  <c:v>741017.7777777778</c:v>
                </c:pt>
                <c:pt idx="48">
                  <c:v>741017.7777777778</c:v>
                </c:pt>
                <c:pt idx="49">
                  <c:v>937817.7777777778</c:v>
                </c:pt>
                <c:pt idx="50">
                  <c:v>937817.7777777778</c:v>
                </c:pt>
                <c:pt idx="51">
                  <c:v>939467.7777777778</c:v>
                </c:pt>
                <c:pt idx="52">
                  <c:v>939467.7777777778</c:v>
                </c:pt>
                <c:pt idx="53">
                  <c:v>939467.7777777778</c:v>
                </c:pt>
                <c:pt idx="54">
                  <c:v>939467.7777777778</c:v>
                </c:pt>
                <c:pt idx="55">
                  <c:v>939467.7777777778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159512"/>
        <c:axId val="2146162728"/>
      </c:scatterChart>
      <c:valAx>
        <c:axId val="21461595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162728"/>
        <c:crosses val="autoZero"/>
        <c:crossBetween val="midCat"/>
        <c:minorUnit val="1.0"/>
      </c:valAx>
      <c:valAx>
        <c:axId val="2146162728"/>
        <c:scaling>
          <c:orientation val="minMax"/>
          <c:min val="0.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6159512"/>
        <c:crosses val="autoZero"/>
        <c:crossBetween val="midCat"/>
      </c:valAx>
      <c:spPr>
        <a:ln w="12700" cmpd="sng"/>
      </c:spPr>
    </c:plotArea>
    <c:legend>
      <c:legendPos val="r"/>
      <c:layout>
        <c:manualLayout>
          <c:xMode val="edge"/>
          <c:yMode val="edge"/>
          <c:x val="0.131586238123743"/>
          <c:y val="0.327075297591969"/>
          <c:w val="0.110202529508373"/>
          <c:h val="0.304392283017246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span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US" sz="2400" b="1" i="0" baseline="0">
                <a:effectLst/>
              </a:rPr>
              <a:t>South Sound F2 Total Larvae Spawned</a:t>
            </a:r>
            <a:endParaRPr lang="en-US" sz="3600">
              <a:effectLst/>
            </a:endParaRPr>
          </a:p>
        </c:rich>
      </c:tx>
      <c:layout>
        <c:manualLayout>
          <c:xMode val="edge"/>
          <c:yMode val="edge"/>
          <c:x val="0.0707781154548664"/>
          <c:y val="0.0738616270725987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scatterChart>
        <c:scatterStyle val="smoothMarker"/>
        <c:varyColors val="0"/>
        <c:ser>
          <c:idx val="0"/>
          <c:order val="0"/>
          <c:tx>
            <c:v>K-6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Chart'!$AR$3:$AR$72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123200.0</c:v>
                </c:pt>
                <c:pt idx="12">
                  <c:v>125000.0</c:v>
                </c:pt>
                <c:pt idx="13">
                  <c:v>255933.3333333333</c:v>
                </c:pt>
                <c:pt idx="14">
                  <c:v>304340.0</c:v>
                </c:pt>
                <c:pt idx="15">
                  <c:v>304340.0</c:v>
                </c:pt>
                <c:pt idx="16">
                  <c:v>308606.6666666667</c:v>
                </c:pt>
                <c:pt idx="17">
                  <c:v>308606.6666666667</c:v>
                </c:pt>
                <c:pt idx="18">
                  <c:v>308606.6666666667</c:v>
                </c:pt>
                <c:pt idx="19">
                  <c:v>308606.6666666667</c:v>
                </c:pt>
                <c:pt idx="20">
                  <c:v>308606.6666666667</c:v>
                </c:pt>
                <c:pt idx="21">
                  <c:v>308606.6666666667</c:v>
                </c:pt>
                <c:pt idx="22">
                  <c:v>308606.6666666667</c:v>
                </c:pt>
                <c:pt idx="23">
                  <c:v>308606.6666666667</c:v>
                </c:pt>
                <c:pt idx="24">
                  <c:v>308606.6666666667</c:v>
                </c:pt>
                <c:pt idx="25">
                  <c:v>308606.6666666667</c:v>
                </c:pt>
                <c:pt idx="26">
                  <c:v>308606.6666666667</c:v>
                </c:pt>
                <c:pt idx="27">
                  <c:v>308606.6666666667</c:v>
                </c:pt>
                <c:pt idx="28">
                  <c:v>358206.6666666667</c:v>
                </c:pt>
                <c:pt idx="29">
                  <c:v>367273.3333333333</c:v>
                </c:pt>
                <c:pt idx="30">
                  <c:v>367273.3333333333</c:v>
                </c:pt>
                <c:pt idx="31">
                  <c:v>370073.3333333333</c:v>
                </c:pt>
                <c:pt idx="32">
                  <c:v>370073.3333333333</c:v>
                </c:pt>
                <c:pt idx="33">
                  <c:v>370073.3333333333</c:v>
                </c:pt>
                <c:pt idx="34">
                  <c:v>370073.3333333333</c:v>
                </c:pt>
                <c:pt idx="35">
                  <c:v>370073.3333333333</c:v>
                </c:pt>
                <c:pt idx="36">
                  <c:v>370073.3333333333</c:v>
                </c:pt>
                <c:pt idx="37">
                  <c:v>370073.3333333333</c:v>
                </c:pt>
                <c:pt idx="38">
                  <c:v>370073.3333333333</c:v>
                </c:pt>
                <c:pt idx="39">
                  <c:v>370073.3333333333</c:v>
                </c:pt>
                <c:pt idx="40">
                  <c:v>370073.3333333333</c:v>
                </c:pt>
                <c:pt idx="41">
                  <c:v>370073.3333333333</c:v>
                </c:pt>
                <c:pt idx="42">
                  <c:v>370073.3333333333</c:v>
                </c:pt>
                <c:pt idx="43">
                  <c:v>370073.3333333333</c:v>
                </c:pt>
                <c:pt idx="44">
                  <c:v>370073.3333333333</c:v>
                </c:pt>
                <c:pt idx="45">
                  <c:v>370073.3333333333</c:v>
                </c:pt>
              </c:numCache>
            </c:numRef>
          </c:yVal>
          <c:smooth val="1"/>
        </c:ser>
        <c:ser>
          <c:idx val="1"/>
          <c:order val="1"/>
          <c:tx>
            <c:v>K-6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Chart'!$AT$3:$AT$72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2041.666666666667</c:v>
                </c:pt>
                <c:pt idx="10">
                  <c:v>91708.33333333334</c:v>
                </c:pt>
                <c:pt idx="11">
                  <c:v>91708.33333333334</c:v>
                </c:pt>
                <c:pt idx="12">
                  <c:v>91708.33333333334</c:v>
                </c:pt>
                <c:pt idx="13">
                  <c:v>91708.33333333334</c:v>
                </c:pt>
                <c:pt idx="14">
                  <c:v>91708.33333333334</c:v>
                </c:pt>
                <c:pt idx="15">
                  <c:v>91708.33333333334</c:v>
                </c:pt>
                <c:pt idx="16">
                  <c:v>91708.33333333334</c:v>
                </c:pt>
                <c:pt idx="17">
                  <c:v>91708.33333333334</c:v>
                </c:pt>
                <c:pt idx="18">
                  <c:v>91708.33333333334</c:v>
                </c:pt>
                <c:pt idx="19">
                  <c:v>91708.33333333334</c:v>
                </c:pt>
                <c:pt idx="20">
                  <c:v>91708.33333333334</c:v>
                </c:pt>
                <c:pt idx="21">
                  <c:v>91708.33333333334</c:v>
                </c:pt>
                <c:pt idx="22">
                  <c:v>191441.6666666667</c:v>
                </c:pt>
                <c:pt idx="23">
                  <c:v>191441.6666666667</c:v>
                </c:pt>
                <c:pt idx="24">
                  <c:v>324281.6666666667</c:v>
                </c:pt>
                <c:pt idx="25">
                  <c:v>324281.6666666667</c:v>
                </c:pt>
                <c:pt idx="26">
                  <c:v>324281.6666666667</c:v>
                </c:pt>
                <c:pt idx="27">
                  <c:v>324281.6666666667</c:v>
                </c:pt>
                <c:pt idx="28">
                  <c:v>324281.6666666667</c:v>
                </c:pt>
                <c:pt idx="29">
                  <c:v>324281.6666666667</c:v>
                </c:pt>
                <c:pt idx="30">
                  <c:v>324281.6666666667</c:v>
                </c:pt>
                <c:pt idx="31">
                  <c:v>396335.0</c:v>
                </c:pt>
                <c:pt idx="32">
                  <c:v>396335.0</c:v>
                </c:pt>
                <c:pt idx="33">
                  <c:v>400535.0</c:v>
                </c:pt>
                <c:pt idx="34">
                  <c:v>400535.0</c:v>
                </c:pt>
                <c:pt idx="35">
                  <c:v>400535.0</c:v>
                </c:pt>
                <c:pt idx="36">
                  <c:v>400535.0</c:v>
                </c:pt>
                <c:pt idx="37">
                  <c:v>400535.0</c:v>
                </c:pt>
                <c:pt idx="38">
                  <c:v>400535.0</c:v>
                </c:pt>
                <c:pt idx="39">
                  <c:v>400535.0</c:v>
                </c:pt>
                <c:pt idx="40">
                  <c:v>451685.0</c:v>
                </c:pt>
                <c:pt idx="41">
                  <c:v>517351.6666666667</c:v>
                </c:pt>
                <c:pt idx="42">
                  <c:v>517351.6666666667</c:v>
                </c:pt>
                <c:pt idx="43">
                  <c:v>517545.0</c:v>
                </c:pt>
                <c:pt idx="44">
                  <c:v>517545.0</c:v>
                </c:pt>
                <c:pt idx="45">
                  <c:v>517545.0</c:v>
                </c:pt>
              </c:numCache>
            </c:numRef>
          </c:yVal>
          <c:smooth val="1"/>
        </c:ser>
        <c:ser>
          <c:idx val="2"/>
          <c:order val="2"/>
          <c:tx>
            <c:v>K-10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Chart'!$AV$3:$AV$72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37200.0</c:v>
                </c:pt>
                <c:pt idx="2">
                  <c:v>37200.0</c:v>
                </c:pt>
                <c:pt idx="3">
                  <c:v>37200.0</c:v>
                </c:pt>
                <c:pt idx="4">
                  <c:v>89466.66666666666</c:v>
                </c:pt>
                <c:pt idx="5">
                  <c:v>89466.66666666666</c:v>
                </c:pt>
                <c:pt idx="6">
                  <c:v>89466.66666666666</c:v>
                </c:pt>
                <c:pt idx="7">
                  <c:v>89466.66666666666</c:v>
                </c:pt>
                <c:pt idx="8">
                  <c:v>89466.66666666666</c:v>
                </c:pt>
                <c:pt idx="9">
                  <c:v>89466.66666666666</c:v>
                </c:pt>
                <c:pt idx="10">
                  <c:v>89466.66666666666</c:v>
                </c:pt>
                <c:pt idx="11">
                  <c:v>89466.66666666666</c:v>
                </c:pt>
                <c:pt idx="12">
                  <c:v>89466.66666666666</c:v>
                </c:pt>
                <c:pt idx="13">
                  <c:v>330533.3333333333</c:v>
                </c:pt>
                <c:pt idx="14">
                  <c:v>397200.0</c:v>
                </c:pt>
                <c:pt idx="15">
                  <c:v>400600.0</c:v>
                </c:pt>
                <c:pt idx="16">
                  <c:v>410600.0</c:v>
                </c:pt>
                <c:pt idx="17">
                  <c:v>432200.0</c:v>
                </c:pt>
                <c:pt idx="18">
                  <c:v>432200.0</c:v>
                </c:pt>
                <c:pt idx="19">
                  <c:v>432200.0</c:v>
                </c:pt>
                <c:pt idx="20">
                  <c:v>432200.0</c:v>
                </c:pt>
                <c:pt idx="21">
                  <c:v>432200.0</c:v>
                </c:pt>
                <c:pt idx="22">
                  <c:v>432200.0</c:v>
                </c:pt>
                <c:pt idx="23">
                  <c:v>432200.0</c:v>
                </c:pt>
                <c:pt idx="24">
                  <c:v>432200.0</c:v>
                </c:pt>
                <c:pt idx="25">
                  <c:v>623050.0</c:v>
                </c:pt>
                <c:pt idx="26">
                  <c:v>640356.6666666666</c:v>
                </c:pt>
                <c:pt idx="27">
                  <c:v>640356.6666666666</c:v>
                </c:pt>
                <c:pt idx="28">
                  <c:v>640356.6666666666</c:v>
                </c:pt>
                <c:pt idx="29">
                  <c:v>640356.6666666666</c:v>
                </c:pt>
                <c:pt idx="30">
                  <c:v>640356.6666666666</c:v>
                </c:pt>
                <c:pt idx="31">
                  <c:v>640356.6666666666</c:v>
                </c:pt>
                <c:pt idx="32">
                  <c:v>640356.6666666666</c:v>
                </c:pt>
                <c:pt idx="33">
                  <c:v>640356.6666666666</c:v>
                </c:pt>
                <c:pt idx="34">
                  <c:v>640356.6666666666</c:v>
                </c:pt>
                <c:pt idx="35">
                  <c:v>640356.6666666666</c:v>
                </c:pt>
                <c:pt idx="36">
                  <c:v>640356.6666666666</c:v>
                </c:pt>
                <c:pt idx="37">
                  <c:v>640356.6666666666</c:v>
                </c:pt>
                <c:pt idx="38">
                  <c:v>640356.6666666666</c:v>
                </c:pt>
                <c:pt idx="39">
                  <c:v>640356.6666666666</c:v>
                </c:pt>
                <c:pt idx="40">
                  <c:v>653356.6666666666</c:v>
                </c:pt>
                <c:pt idx="41">
                  <c:v>653356.6666666666</c:v>
                </c:pt>
                <c:pt idx="42">
                  <c:v>653356.6666666666</c:v>
                </c:pt>
                <c:pt idx="43">
                  <c:v>653356.6666666666</c:v>
                </c:pt>
                <c:pt idx="44">
                  <c:v>653356.6666666666</c:v>
                </c:pt>
                <c:pt idx="45">
                  <c:v>653356.6666666666</c:v>
                </c:pt>
              </c:numCache>
            </c:numRef>
          </c:yVal>
          <c:smooth val="1"/>
        </c:ser>
        <c:ser>
          <c:idx val="3"/>
          <c:order val="3"/>
          <c:tx>
            <c:v>K-10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Chart'!$AX$3:$AX$72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47400.0</c:v>
                </c:pt>
                <c:pt idx="2">
                  <c:v>47400.0</c:v>
                </c:pt>
                <c:pt idx="3">
                  <c:v>47400.0</c:v>
                </c:pt>
                <c:pt idx="4">
                  <c:v>114200.0</c:v>
                </c:pt>
                <c:pt idx="5">
                  <c:v>114200.0</c:v>
                </c:pt>
                <c:pt idx="6">
                  <c:v>114200.0</c:v>
                </c:pt>
                <c:pt idx="7">
                  <c:v>114200.0</c:v>
                </c:pt>
                <c:pt idx="8">
                  <c:v>114200.0</c:v>
                </c:pt>
                <c:pt idx="9">
                  <c:v>114200.0</c:v>
                </c:pt>
                <c:pt idx="10">
                  <c:v>222200.0</c:v>
                </c:pt>
                <c:pt idx="11">
                  <c:v>235450.0</c:v>
                </c:pt>
                <c:pt idx="12">
                  <c:v>236075.0</c:v>
                </c:pt>
                <c:pt idx="13">
                  <c:v>236075.0</c:v>
                </c:pt>
                <c:pt idx="14">
                  <c:v>273641.6666666667</c:v>
                </c:pt>
                <c:pt idx="15">
                  <c:v>304848.3333333333</c:v>
                </c:pt>
                <c:pt idx="16">
                  <c:v>304848.3333333333</c:v>
                </c:pt>
                <c:pt idx="17">
                  <c:v>304848.3333333333</c:v>
                </c:pt>
                <c:pt idx="18">
                  <c:v>304848.3333333333</c:v>
                </c:pt>
                <c:pt idx="19">
                  <c:v>304848.3333333333</c:v>
                </c:pt>
                <c:pt idx="20">
                  <c:v>304848.3333333333</c:v>
                </c:pt>
                <c:pt idx="21">
                  <c:v>304848.3333333333</c:v>
                </c:pt>
                <c:pt idx="22">
                  <c:v>345381.6666666667</c:v>
                </c:pt>
                <c:pt idx="23">
                  <c:v>345381.6666666667</c:v>
                </c:pt>
                <c:pt idx="24">
                  <c:v>408795.0</c:v>
                </c:pt>
                <c:pt idx="25">
                  <c:v>408795.0</c:v>
                </c:pt>
                <c:pt idx="26">
                  <c:v>408795.0</c:v>
                </c:pt>
                <c:pt idx="27">
                  <c:v>408795.0</c:v>
                </c:pt>
                <c:pt idx="28">
                  <c:v>408795.0</c:v>
                </c:pt>
                <c:pt idx="29">
                  <c:v>433961.6666666667</c:v>
                </c:pt>
                <c:pt idx="30">
                  <c:v>433961.6666666667</c:v>
                </c:pt>
                <c:pt idx="31">
                  <c:v>435241.6666666667</c:v>
                </c:pt>
                <c:pt idx="32">
                  <c:v>435241.6666666667</c:v>
                </c:pt>
                <c:pt idx="33">
                  <c:v>435241.6666666667</c:v>
                </c:pt>
                <c:pt idx="34">
                  <c:v>435241.6666666667</c:v>
                </c:pt>
                <c:pt idx="35">
                  <c:v>435241.6666666667</c:v>
                </c:pt>
                <c:pt idx="36">
                  <c:v>453408.3333333333</c:v>
                </c:pt>
                <c:pt idx="37">
                  <c:v>453408.3333333333</c:v>
                </c:pt>
                <c:pt idx="38">
                  <c:v>466208.3333333333</c:v>
                </c:pt>
                <c:pt idx="39">
                  <c:v>466208.3333333333</c:v>
                </c:pt>
                <c:pt idx="40">
                  <c:v>466208.3333333333</c:v>
                </c:pt>
                <c:pt idx="41">
                  <c:v>466208.3333333333</c:v>
                </c:pt>
                <c:pt idx="42">
                  <c:v>466208.3333333333</c:v>
                </c:pt>
                <c:pt idx="43">
                  <c:v>466208.3333333333</c:v>
                </c:pt>
                <c:pt idx="44">
                  <c:v>466208.3333333333</c:v>
                </c:pt>
                <c:pt idx="45">
                  <c:v>466208.3333333333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201864"/>
        <c:axId val="2146205080"/>
      </c:scatterChart>
      <c:valAx>
        <c:axId val="2146201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205080"/>
        <c:crosses val="autoZero"/>
        <c:crossBetween val="midCat"/>
        <c:minorUnit val="1.0"/>
      </c:valAx>
      <c:valAx>
        <c:axId val="2146205080"/>
        <c:scaling>
          <c:orientation val="minMax"/>
          <c:min val="0.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6201864"/>
        <c:crosses val="autoZero"/>
        <c:crossBetween val="midCat"/>
      </c:valAx>
      <c:spPr>
        <a:ln w="12700" cmpd="sng"/>
      </c:spPr>
    </c:plotArea>
    <c:legend>
      <c:legendPos val="r"/>
      <c:layout>
        <c:manualLayout>
          <c:xMode val="edge"/>
          <c:yMode val="edge"/>
          <c:x val="0.109169084127642"/>
          <c:y val="0.249336760061423"/>
          <c:w val="0.097161764818195"/>
          <c:h val="0.32488823584759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span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US" sz="2400" b="1" i="0" baseline="0">
                <a:effectLst/>
              </a:rPr>
              <a:t>South Sound Total Larvae Spawned</a:t>
            </a:r>
            <a:endParaRPr lang="en-US" sz="3600">
              <a:effectLst/>
            </a:endParaRPr>
          </a:p>
        </c:rich>
      </c:tx>
      <c:layout>
        <c:manualLayout>
          <c:xMode val="edge"/>
          <c:yMode val="edge"/>
          <c:x val="0.101967199275529"/>
          <c:y val="0.0985966162868635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scatterChart>
        <c:scatterStyle val="smoothMarker"/>
        <c:varyColors val="0"/>
        <c:ser>
          <c:idx val="0"/>
          <c:order val="0"/>
          <c:tx>
            <c:v>SN-6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Chart'!$AZ$3:$AZ$72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11866.66666666667</c:v>
                </c:pt>
                <c:pt idx="11">
                  <c:v>472133.3333333333</c:v>
                </c:pt>
                <c:pt idx="12">
                  <c:v>608133.3333333333</c:v>
                </c:pt>
                <c:pt idx="13">
                  <c:v>609133.3333333333</c:v>
                </c:pt>
                <c:pt idx="14">
                  <c:v>609133.3333333333</c:v>
                </c:pt>
                <c:pt idx="15">
                  <c:v>609133.3333333333</c:v>
                </c:pt>
                <c:pt idx="16">
                  <c:v>609133.3333333333</c:v>
                </c:pt>
                <c:pt idx="17">
                  <c:v>854793.3333333333</c:v>
                </c:pt>
                <c:pt idx="18">
                  <c:v>854793.3333333333</c:v>
                </c:pt>
                <c:pt idx="19">
                  <c:v>862693.3333333333</c:v>
                </c:pt>
                <c:pt idx="20">
                  <c:v>862693.3333333333</c:v>
                </c:pt>
                <c:pt idx="21">
                  <c:v>1.02696E6</c:v>
                </c:pt>
                <c:pt idx="22">
                  <c:v>1.02771E6</c:v>
                </c:pt>
                <c:pt idx="23">
                  <c:v>1.02771E6</c:v>
                </c:pt>
                <c:pt idx="24">
                  <c:v>1.02771E6</c:v>
                </c:pt>
                <c:pt idx="25">
                  <c:v>1.02771E6</c:v>
                </c:pt>
                <c:pt idx="26">
                  <c:v>1.02771E6</c:v>
                </c:pt>
                <c:pt idx="27">
                  <c:v>1.02771E6</c:v>
                </c:pt>
                <c:pt idx="28">
                  <c:v>1.02771E6</c:v>
                </c:pt>
                <c:pt idx="29">
                  <c:v>1.02771E6</c:v>
                </c:pt>
                <c:pt idx="30">
                  <c:v>1.02771E6</c:v>
                </c:pt>
                <c:pt idx="31">
                  <c:v>1.02771E6</c:v>
                </c:pt>
                <c:pt idx="32">
                  <c:v>1.02771E6</c:v>
                </c:pt>
                <c:pt idx="33">
                  <c:v>1.02911E6</c:v>
                </c:pt>
                <c:pt idx="34">
                  <c:v>1.02911E6</c:v>
                </c:pt>
                <c:pt idx="35">
                  <c:v>1.83791E6</c:v>
                </c:pt>
                <c:pt idx="36">
                  <c:v>1.95897666666667E6</c:v>
                </c:pt>
                <c:pt idx="37">
                  <c:v>1.95897666666667E6</c:v>
                </c:pt>
                <c:pt idx="38">
                  <c:v>2.11547666666667E6</c:v>
                </c:pt>
                <c:pt idx="39">
                  <c:v>2.11547666666667E6</c:v>
                </c:pt>
                <c:pt idx="40">
                  <c:v>2.11547666666667E6</c:v>
                </c:pt>
                <c:pt idx="41">
                  <c:v>2.11547666666667E6</c:v>
                </c:pt>
                <c:pt idx="42">
                  <c:v>2.11547666666667E6</c:v>
                </c:pt>
                <c:pt idx="43">
                  <c:v>2.11547666666667E6</c:v>
                </c:pt>
                <c:pt idx="44">
                  <c:v>2.11547666666667E6</c:v>
                </c:pt>
                <c:pt idx="45">
                  <c:v>2.11547666666667E6</c:v>
                </c:pt>
                <c:pt idx="46">
                  <c:v>2.11547666666667E6</c:v>
                </c:pt>
                <c:pt idx="47">
                  <c:v>2.11547666666667E6</c:v>
                </c:pt>
                <c:pt idx="48">
                  <c:v>2.11547666666667E6</c:v>
                </c:pt>
                <c:pt idx="49">
                  <c:v>2.11547666666667E6</c:v>
                </c:pt>
                <c:pt idx="50">
                  <c:v>2.11547666666667E6</c:v>
                </c:pt>
                <c:pt idx="51">
                  <c:v>2.11547666666667E6</c:v>
                </c:pt>
                <c:pt idx="52">
                  <c:v>2.11547666666667E6</c:v>
                </c:pt>
                <c:pt idx="53">
                  <c:v>2.11547666666667E6</c:v>
                </c:pt>
                <c:pt idx="54">
                  <c:v>2.11547666666667E6</c:v>
                </c:pt>
                <c:pt idx="55">
                  <c:v>2.11547666666667E6</c:v>
                </c:pt>
                <c:pt idx="56">
                  <c:v>2.11547666666667E6</c:v>
                </c:pt>
                <c:pt idx="57">
                  <c:v>2.11547666666667E6</c:v>
                </c:pt>
                <c:pt idx="58">
                  <c:v>2.11547666666667E6</c:v>
                </c:pt>
                <c:pt idx="59">
                  <c:v>2.11547666666667E6</c:v>
                </c:pt>
                <c:pt idx="60">
                  <c:v>2.11547666666667E6</c:v>
                </c:pt>
                <c:pt idx="61">
                  <c:v>2.11547666666667E6</c:v>
                </c:pt>
                <c:pt idx="62">
                  <c:v>2.11547666666667E6</c:v>
                </c:pt>
                <c:pt idx="63">
                  <c:v>2.11547666666667E6</c:v>
                </c:pt>
                <c:pt idx="64">
                  <c:v>2.11547666666667E6</c:v>
                </c:pt>
                <c:pt idx="65">
                  <c:v>2.11547666666667E6</c:v>
                </c:pt>
              </c:numCache>
            </c:numRef>
          </c:yVal>
          <c:smooth val="1"/>
        </c:ser>
        <c:ser>
          <c:idx val="1"/>
          <c:order val="1"/>
          <c:tx>
            <c:v>SN-6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Chart'!$BB$3:$BB$72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69066.66666666666</c:v>
                </c:pt>
                <c:pt idx="5">
                  <c:v>530566.6666666666</c:v>
                </c:pt>
                <c:pt idx="6">
                  <c:v>530566.6666666666</c:v>
                </c:pt>
                <c:pt idx="7">
                  <c:v>750016.6666666665</c:v>
                </c:pt>
                <c:pt idx="8">
                  <c:v>753599.9999999999</c:v>
                </c:pt>
                <c:pt idx="9">
                  <c:v>753599.9999999999</c:v>
                </c:pt>
                <c:pt idx="10">
                  <c:v>753599.9999999999</c:v>
                </c:pt>
                <c:pt idx="11">
                  <c:v>761766.6666666665</c:v>
                </c:pt>
                <c:pt idx="12">
                  <c:v>786266.6666666665</c:v>
                </c:pt>
                <c:pt idx="13">
                  <c:v>995333.3333333332</c:v>
                </c:pt>
                <c:pt idx="14">
                  <c:v>999833.3333333332</c:v>
                </c:pt>
                <c:pt idx="15">
                  <c:v>999833.3333333332</c:v>
                </c:pt>
                <c:pt idx="16">
                  <c:v>999833.3333333332</c:v>
                </c:pt>
                <c:pt idx="17">
                  <c:v>1.00123333333333E6</c:v>
                </c:pt>
                <c:pt idx="18">
                  <c:v>1.00123333333333E6</c:v>
                </c:pt>
                <c:pt idx="19">
                  <c:v>1.00123333333333E6</c:v>
                </c:pt>
                <c:pt idx="20">
                  <c:v>1.00123333333333E6</c:v>
                </c:pt>
                <c:pt idx="21">
                  <c:v>1.00123333333333E6</c:v>
                </c:pt>
                <c:pt idx="22">
                  <c:v>1.00123333333333E6</c:v>
                </c:pt>
                <c:pt idx="23">
                  <c:v>1.00123333333333E6</c:v>
                </c:pt>
                <c:pt idx="24">
                  <c:v>1.1514E6</c:v>
                </c:pt>
                <c:pt idx="25">
                  <c:v>1.1514E6</c:v>
                </c:pt>
                <c:pt idx="26">
                  <c:v>1.63566666666667E6</c:v>
                </c:pt>
                <c:pt idx="27">
                  <c:v>1.64553333333333E6</c:v>
                </c:pt>
                <c:pt idx="28">
                  <c:v>1.64553333333333E6</c:v>
                </c:pt>
                <c:pt idx="29">
                  <c:v>1.64553333333333E6</c:v>
                </c:pt>
                <c:pt idx="30">
                  <c:v>1.64553333333333E6</c:v>
                </c:pt>
                <c:pt idx="31">
                  <c:v>1.64553333333333E6</c:v>
                </c:pt>
                <c:pt idx="32">
                  <c:v>1.64553333333333E6</c:v>
                </c:pt>
                <c:pt idx="33">
                  <c:v>1.64553333333333E6</c:v>
                </c:pt>
                <c:pt idx="34">
                  <c:v>1.64553333333333E6</c:v>
                </c:pt>
                <c:pt idx="35">
                  <c:v>1.64553333333333E6</c:v>
                </c:pt>
                <c:pt idx="36">
                  <c:v>1.88073333333333E6</c:v>
                </c:pt>
                <c:pt idx="37">
                  <c:v>1.88073333333333E6</c:v>
                </c:pt>
                <c:pt idx="38">
                  <c:v>1.98526666666667E6</c:v>
                </c:pt>
                <c:pt idx="39">
                  <c:v>1.98526666666667E6</c:v>
                </c:pt>
                <c:pt idx="40">
                  <c:v>2.17838666666667E6</c:v>
                </c:pt>
                <c:pt idx="41">
                  <c:v>2.17838666666667E6</c:v>
                </c:pt>
                <c:pt idx="42">
                  <c:v>2.17838666666667E6</c:v>
                </c:pt>
                <c:pt idx="43">
                  <c:v>2.17838666666667E6</c:v>
                </c:pt>
                <c:pt idx="44">
                  <c:v>2.17838666666667E6</c:v>
                </c:pt>
                <c:pt idx="45">
                  <c:v>2.17838666666667E6</c:v>
                </c:pt>
                <c:pt idx="46">
                  <c:v>2.17838666666667E6</c:v>
                </c:pt>
                <c:pt idx="47">
                  <c:v>2.17838666666667E6</c:v>
                </c:pt>
                <c:pt idx="48">
                  <c:v>2.17838666666667E6</c:v>
                </c:pt>
                <c:pt idx="49">
                  <c:v>2.17838666666667E6</c:v>
                </c:pt>
                <c:pt idx="50">
                  <c:v>2.17838666666667E6</c:v>
                </c:pt>
                <c:pt idx="51">
                  <c:v>2.17838666666667E6</c:v>
                </c:pt>
                <c:pt idx="52">
                  <c:v>2.17838666666667E6</c:v>
                </c:pt>
                <c:pt idx="53">
                  <c:v>2.17838666666667E6</c:v>
                </c:pt>
                <c:pt idx="54">
                  <c:v>2.17838666666667E6</c:v>
                </c:pt>
                <c:pt idx="55">
                  <c:v>2.17838666666667E6</c:v>
                </c:pt>
                <c:pt idx="56">
                  <c:v>2.17838666666667E6</c:v>
                </c:pt>
                <c:pt idx="57">
                  <c:v>2.17838666666667E6</c:v>
                </c:pt>
                <c:pt idx="58">
                  <c:v>2.17838666666667E6</c:v>
                </c:pt>
                <c:pt idx="59">
                  <c:v>2.17838666666667E6</c:v>
                </c:pt>
                <c:pt idx="60">
                  <c:v>2.17838666666667E6</c:v>
                </c:pt>
                <c:pt idx="61">
                  <c:v>2.17838666666667E6</c:v>
                </c:pt>
                <c:pt idx="62">
                  <c:v>2.17838666666667E6</c:v>
                </c:pt>
                <c:pt idx="63">
                  <c:v>2.17838666666667E6</c:v>
                </c:pt>
                <c:pt idx="64">
                  <c:v>2.17838666666667E6</c:v>
                </c:pt>
                <c:pt idx="65">
                  <c:v>2.17838666666667E6</c:v>
                </c:pt>
              </c:numCache>
            </c:numRef>
          </c:yVal>
          <c:smooth val="1"/>
        </c:ser>
        <c:ser>
          <c:idx val="2"/>
          <c:order val="2"/>
          <c:tx>
            <c:v>SN-10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Chart'!$BD$3:$BD$72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98000.0</c:v>
                </c:pt>
                <c:pt idx="5">
                  <c:v>175250.0</c:v>
                </c:pt>
                <c:pt idx="6">
                  <c:v>175250.0</c:v>
                </c:pt>
                <c:pt idx="7">
                  <c:v>582383.3333333333</c:v>
                </c:pt>
                <c:pt idx="8">
                  <c:v>593783.3333333333</c:v>
                </c:pt>
                <c:pt idx="9">
                  <c:v>593783.3333333333</c:v>
                </c:pt>
                <c:pt idx="10">
                  <c:v>874783.3333333333</c:v>
                </c:pt>
                <c:pt idx="11">
                  <c:v>1.04705E6</c:v>
                </c:pt>
                <c:pt idx="12">
                  <c:v>1.04705E6</c:v>
                </c:pt>
                <c:pt idx="13">
                  <c:v>1.11465E6</c:v>
                </c:pt>
                <c:pt idx="14">
                  <c:v>1.11465E6</c:v>
                </c:pt>
                <c:pt idx="15">
                  <c:v>1.11465E6</c:v>
                </c:pt>
                <c:pt idx="16">
                  <c:v>1.23038333333333E6</c:v>
                </c:pt>
                <c:pt idx="17">
                  <c:v>1.38713333333333E6</c:v>
                </c:pt>
                <c:pt idx="18">
                  <c:v>1.38713333333333E6</c:v>
                </c:pt>
                <c:pt idx="19">
                  <c:v>1.39163333333333E6</c:v>
                </c:pt>
                <c:pt idx="20">
                  <c:v>1.39163333333333E6</c:v>
                </c:pt>
                <c:pt idx="21">
                  <c:v>1.76963333333333E6</c:v>
                </c:pt>
                <c:pt idx="22">
                  <c:v>1.76963333333333E6</c:v>
                </c:pt>
                <c:pt idx="23">
                  <c:v>1.76963333333333E6</c:v>
                </c:pt>
                <c:pt idx="24">
                  <c:v>1.76963333333333E6</c:v>
                </c:pt>
                <c:pt idx="25">
                  <c:v>1.76963333333333E6</c:v>
                </c:pt>
                <c:pt idx="26">
                  <c:v>1.76963333333333E6</c:v>
                </c:pt>
                <c:pt idx="27">
                  <c:v>1.76963333333333E6</c:v>
                </c:pt>
                <c:pt idx="28">
                  <c:v>1.76963333333333E6</c:v>
                </c:pt>
                <c:pt idx="29">
                  <c:v>1.76963333333333E6</c:v>
                </c:pt>
                <c:pt idx="30">
                  <c:v>1.76963333333333E6</c:v>
                </c:pt>
                <c:pt idx="31">
                  <c:v>1.76963333333333E6</c:v>
                </c:pt>
                <c:pt idx="32">
                  <c:v>1.76963333333333E6</c:v>
                </c:pt>
                <c:pt idx="33">
                  <c:v>1.76963333333333E6</c:v>
                </c:pt>
                <c:pt idx="34">
                  <c:v>1.76963333333333E6</c:v>
                </c:pt>
                <c:pt idx="35">
                  <c:v>2.14700666666667E6</c:v>
                </c:pt>
                <c:pt idx="36">
                  <c:v>2.27500666666667E6</c:v>
                </c:pt>
                <c:pt idx="37">
                  <c:v>2.27500666666667E6</c:v>
                </c:pt>
                <c:pt idx="38">
                  <c:v>2.27687333333333E6</c:v>
                </c:pt>
                <c:pt idx="39">
                  <c:v>2.27687333333333E6</c:v>
                </c:pt>
                <c:pt idx="40">
                  <c:v>2.27687333333333E6</c:v>
                </c:pt>
                <c:pt idx="41">
                  <c:v>2.27687333333333E6</c:v>
                </c:pt>
                <c:pt idx="42">
                  <c:v>2.27687333333333E6</c:v>
                </c:pt>
                <c:pt idx="43">
                  <c:v>2.27774E6</c:v>
                </c:pt>
                <c:pt idx="44">
                  <c:v>2.27774E6</c:v>
                </c:pt>
                <c:pt idx="45">
                  <c:v>2.37320666666667E6</c:v>
                </c:pt>
                <c:pt idx="46">
                  <c:v>2.37320666666667E6</c:v>
                </c:pt>
                <c:pt idx="47">
                  <c:v>2.37320666666667E6</c:v>
                </c:pt>
                <c:pt idx="48">
                  <c:v>2.37320666666667E6</c:v>
                </c:pt>
                <c:pt idx="49">
                  <c:v>2.37320666666667E6</c:v>
                </c:pt>
                <c:pt idx="50">
                  <c:v>2.37320666666667E6</c:v>
                </c:pt>
                <c:pt idx="51">
                  <c:v>2.37320666666667E6</c:v>
                </c:pt>
                <c:pt idx="52">
                  <c:v>2.37320666666667E6</c:v>
                </c:pt>
                <c:pt idx="53">
                  <c:v>2.37320666666667E6</c:v>
                </c:pt>
                <c:pt idx="54">
                  <c:v>2.37320666666667E6</c:v>
                </c:pt>
                <c:pt idx="55">
                  <c:v>2.37320666666667E6</c:v>
                </c:pt>
                <c:pt idx="56">
                  <c:v>2.37320666666667E6</c:v>
                </c:pt>
                <c:pt idx="57">
                  <c:v>2.37320666666667E6</c:v>
                </c:pt>
                <c:pt idx="58">
                  <c:v>2.37320666666667E6</c:v>
                </c:pt>
                <c:pt idx="59">
                  <c:v>2.37320666666667E6</c:v>
                </c:pt>
                <c:pt idx="60">
                  <c:v>2.37320666666667E6</c:v>
                </c:pt>
                <c:pt idx="61">
                  <c:v>2.37320666666667E6</c:v>
                </c:pt>
                <c:pt idx="62">
                  <c:v>2.37320666666667E6</c:v>
                </c:pt>
                <c:pt idx="63">
                  <c:v>2.37320666666667E6</c:v>
                </c:pt>
                <c:pt idx="64">
                  <c:v>2.37320666666667E6</c:v>
                </c:pt>
                <c:pt idx="65">
                  <c:v>2.37320666666667E6</c:v>
                </c:pt>
              </c:numCache>
            </c:numRef>
          </c:yVal>
          <c:smooth val="1"/>
        </c:ser>
        <c:ser>
          <c:idx val="3"/>
          <c:order val="3"/>
          <c:tx>
            <c:v>SN-10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Chart'!$BF$4:$BF$72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80666.66666666666</c:v>
                </c:pt>
                <c:pt idx="4">
                  <c:v>635166.6666666666</c:v>
                </c:pt>
                <c:pt idx="5">
                  <c:v>635166.6666666666</c:v>
                </c:pt>
                <c:pt idx="6">
                  <c:v>697566.6666666666</c:v>
                </c:pt>
                <c:pt idx="7">
                  <c:v>703566.6666666666</c:v>
                </c:pt>
                <c:pt idx="8">
                  <c:v>905166.6666666666</c:v>
                </c:pt>
                <c:pt idx="9">
                  <c:v>1.22346E6</c:v>
                </c:pt>
                <c:pt idx="10">
                  <c:v>1.86559333333333E6</c:v>
                </c:pt>
                <c:pt idx="11">
                  <c:v>1.86899333333333E6</c:v>
                </c:pt>
                <c:pt idx="12">
                  <c:v>1.90726E6</c:v>
                </c:pt>
                <c:pt idx="13">
                  <c:v>1.90726E6</c:v>
                </c:pt>
                <c:pt idx="14">
                  <c:v>1.90726E6</c:v>
                </c:pt>
                <c:pt idx="15">
                  <c:v>1.90726E6</c:v>
                </c:pt>
                <c:pt idx="16">
                  <c:v>1.90726E6</c:v>
                </c:pt>
                <c:pt idx="17">
                  <c:v>1.90726E6</c:v>
                </c:pt>
                <c:pt idx="18">
                  <c:v>1.90726E6</c:v>
                </c:pt>
                <c:pt idx="19">
                  <c:v>1.90726E6</c:v>
                </c:pt>
                <c:pt idx="20">
                  <c:v>1.90726E6</c:v>
                </c:pt>
                <c:pt idx="21">
                  <c:v>2.31406E6</c:v>
                </c:pt>
                <c:pt idx="22">
                  <c:v>2.31406E6</c:v>
                </c:pt>
                <c:pt idx="23">
                  <c:v>2.81814E6</c:v>
                </c:pt>
                <c:pt idx="24">
                  <c:v>3.00019E6</c:v>
                </c:pt>
                <c:pt idx="25">
                  <c:v>3.00019E6</c:v>
                </c:pt>
                <c:pt idx="26">
                  <c:v>3.00649E6</c:v>
                </c:pt>
                <c:pt idx="27">
                  <c:v>3.00649E6</c:v>
                </c:pt>
                <c:pt idx="28">
                  <c:v>3.00649E6</c:v>
                </c:pt>
                <c:pt idx="29">
                  <c:v>3.00649E6</c:v>
                </c:pt>
                <c:pt idx="30">
                  <c:v>3.00649E6</c:v>
                </c:pt>
                <c:pt idx="31">
                  <c:v>3.00649E6</c:v>
                </c:pt>
                <c:pt idx="32">
                  <c:v>3.00649E6</c:v>
                </c:pt>
                <c:pt idx="33">
                  <c:v>3.00649E6</c:v>
                </c:pt>
                <c:pt idx="34">
                  <c:v>3.07474E6</c:v>
                </c:pt>
                <c:pt idx="35">
                  <c:v>3.15260666666667E6</c:v>
                </c:pt>
                <c:pt idx="36">
                  <c:v>3.15260666666667E6</c:v>
                </c:pt>
                <c:pt idx="37">
                  <c:v>3.15377333333333E6</c:v>
                </c:pt>
                <c:pt idx="38">
                  <c:v>3.15377333333333E6</c:v>
                </c:pt>
                <c:pt idx="39">
                  <c:v>3.15377333333333E6</c:v>
                </c:pt>
                <c:pt idx="40">
                  <c:v>3.15377333333333E6</c:v>
                </c:pt>
                <c:pt idx="41">
                  <c:v>3.15377333333333E6</c:v>
                </c:pt>
                <c:pt idx="42">
                  <c:v>3.15377333333333E6</c:v>
                </c:pt>
                <c:pt idx="43">
                  <c:v>3.15377333333333E6</c:v>
                </c:pt>
                <c:pt idx="44">
                  <c:v>3.15377333333333E6</c:v>
                </c:pt>
                <c:pt idx="45">
                  <c:v>3.15377333333333E6</c:v>
                </c:pt>
                <c:pt idx="46">
                  <c:v>3.15377333333333E6</c:v>
                </c:pt>
                <c:pt idx="47">
                  <c:v>3.15377333333333E6</c:v>
                </c:pt>
                <c:pt idx="48">
                  <c:v>3.15377333333333E6</c:v>
                </c:pt>
                <c:pt idx="49">
                  <c:v>3.15377333333333E6</c:v>
                </c:pt>
                <c:pt idx="50">
                  <c:v>3.15377333333333E6</c:v>
                </c:pt>
                <c:pt idx="51">
                  <c:v>3.15377333333333E6</c:v>
                </c:pt>
                <c:pt idx="52">
                  <c:v>3.15377333333333E6</c:v>
                </c:pt>
                <c:pt idx="53">
                  <c:v>3.15377333333333E6</c:v>
                </c:pt>
                <c:pt idx="54">
                  <c:v>3.15377333333333E6</c:v>
                </c:pt>
                <c:pt idx="55">
                  <c:v>3.15419E6</c:v>
                </c:pt>
                <c:pt idx="56">
                  <c:v>3.42085666666667E6</c:v>
                </c:pt>
                <c:pt idx="57">
                  <c:v>3.42085666666667E6</c:v>
                </c:pt>
                <c:pt idx="58">
                  <c:v>3.42085666666667E6</c:v>
                </c:pt>
                <c:pt idx="59">
                  <c:v>3.42085666666667E6</c:v>
                </c:pt>
                <c:pt idx="60">
                  <c:v>3.42105666666667E6</c:v>
                </c:pt>
                <c:pt idx="61">
                  <c:v>3.42105666666667E6</c:v>
                </c:pt>
                <c:pt idx="62">
                  <c:v>3.42105666666667E6</c:v>
                </c:pt>
                <c:pt idx="63">
                  <c:v>3.42105666666667E6</c:v>
                </c:pt>
                <c:pt idx="64">
                  <c:v>3.42105666666667E6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786232"/>
        <c:axId val="2141789432"/>
      </c:scatterChart>
      <c:valAx>
        <c:axId val="21417862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1789432"/>
        <c:crosses val="autoZero"/>
        <c:crossBetween val="midCat"/>
        <c:minorUnit val="1.0"/>
      </c:valAx>
      <c:valAx>
        <c:axId val="2141789432"/>
        <c:scaling>
          <c:orientation val="minMax"/>
          <c:min val="0.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1786232"/>
        <c:crosses val="autoZero"/>
        <c:crossBetween val="midCat"/>
      </c:valAx>
      <c:spPr>
        <a:ln w="12700" cmpd="sng"/>
      </c:spPr>
    </c:plotArea>
    <c:legend>
      <c:legendPos val="r"/>
      <c:layout>
        <c:manualLayout>
          <c:xMode val="edge"/>
          <c:yMode val="edge"/>
          <c:x val="0.109169084127642"/>
          <c:y val="0.249336760061423"/>
          <c:w val="0.123847753679913"/>
          <c:h val="0.297325143241741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span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US" sz="2400" b="1" i="0" baseline="0">
                <a:effectLst/>
              </a:rPr>
              <a:t>North Sound Total Larvae Spawned</a:t>
            </a:r>
            <a:endParaRPr lang="en-US" sz="3600">
              <a:effectLst/>
            </a:endParaRPr>
          </a:p>
        </c:rich>
      </c:tx>
      <c:layout>
        <c:manualLayout>
          <c:xMode val="edge"/>
          <c:yMode val="edge"/>
          <c:x val="0.118536400055256"/>
          <c:y val="0.0985966162868635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scatterChart>
        <c:scatterStyle val="smoothMarker"/>
        <c:varyColors val="0"/>
        <c:ser>
          <c:idx val="0"/>
          <c:order val="0"/>
          <c:tx>
            <c:v>NF-6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Chart'!$BH$3:$BH$72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307800.0</c:v>
                </c:pt>
                <c:pt idx="16">
                  <c:v>498200.0</c:v>
                </c:pt>
                <c:pt idx="17">
                  <c:v>506216.6666666667</c:v>
                </c:pt>
                <c:pt idx="18">
                  <c:v>506216.6666666667</c:v>
                </c:pt>
                <c:pt idx="19">
                  <c:v>506216.6666666667</c:v>
                </c:pt>
                <c:pt idx="20">
                  <c:v>506216.6666666667</c:v>
                </c:pt>
                <c:pt idx="21">
                  <c:v>506216.6666666667</c:v>
                </c:pt>
                <c:pt idx="22">
                  <c:v>506216.6666666667</c:v>
                </c:pt>
                <c:pt idx="23">
                  <c:v>506216.6666666667</c:v>
                </c:pt>
                <c:pt idx="24">
                  <c:v>506216.6666666667</c:v>
                </c:pt>
                <c:pt idx="25">
                  <c:v>506216.6666666667</c:v>
                </c:pt>
                <c:pt idx="26">
                  <c:v>676016.6666666666</c:v>
                </c:pt>
                <c:pt idx="27">
                  <c:v>724628.3333333332</c:v>
                </c:pt>
                <c:pt idx="28">
                  <c:v>724628.3333333332</c:v>
                </c:pt>
                <c:pt idx="29">
                  <c:v>724628.3333333332</c:v>
                </c:pt>
                <c:pt idx="30">
                  <c:v>724628.3333333332</c:v>
                </c:pt>
                <c:pt idx="31">
                  <c:v>971561.6666666666</c:v>
                </c:pt>
                <c:pt idx="32">
                  <c:v>971561.6666666666</c:v>
                </c:pt>
                <c:pt idx="33">
                  <c:v>980961.6666666666</c:v>
                </c:pt>
                <c:pt idx="34">
                  <c:v>980961.6666666666</c:v>
                </c:pt>
                <c:pt idx="35">
                  <c:v>980961.6666666666</c:v>
                </c:pt>
                <c:pt idx="36">
                  <c:v>980961.6666666666</c:v>
                </c:pt>
                <c:pt idx="37">
                  <c:v>980961.6666666666</c:v>
                </c:pt>
                <c:pt idx="38">
                  <c:v>980961.6666666666</c:v>
                </c:pt>
                <c:pt idx="39">
                  <c:v>980961.6666666666</c:v>
                </c:pt>
                <c:pt idx="40">
                  <c:v>1.12296166666667E6</c:v>
                </c:pt>
                <c:pt idx="41">
                  <c:v>1.12296166666667E6</c:v>
                </c:pt>
                <c:pt idx="42">
                  <c:v>1.12296166666667E6</c:v>
                </c:pt>
                <c:pt idx="43">
                  <c:v>1.12385055555556E6</c:v>
                </c:pt>
                <c:pt idx="44">
                  <c:v>1.12385055555556E6</c:v>
                </c:pt>
                <c:pt idx="45">
                  <c:v>1.12385055555556E6</c:v>
                </c:pt>
                <c:pt idx="46">
                  <c:v>1.12385055555556E6</c:v>
                </c:pt>
                <c:pt idx="47">
                  <c:v>1.12385055555556E6</c:v>
                </c:pt>
                <c:pt idx="48">
                  <c:v>1.12385055555556E6</c:v>
                </c:pt>
                <c:pt idx="49">
                  <c:v>1.12385055555556E6</c:v>
                </c:pt>
                <c:pt idx="50">
                  <c:v>1.12385055555556E6</c:v>
                </c:pt>
                <c:pt idx="51">
                  <c:v>1.12385055555556E6</c:v>
                </c:pt>
                <c:pt idx="52">
                  <c:v>1.12385055555556E6</c:v>
                </c:pt>
                <c:pt idx="53">
                  <c:v>1.12385055555556E6</c:v>
                </c:pt>
                <c:pt idx="54">
                  <c:v>1.12385055555556E6</c:v>
                </c:pt>
                <c:pt idx="55">
                  <c:v>1.12385055555556E6</c:v>
                </c:pt>
                <c:pt idx="56">
                  <c:v>1.12385055555556E6</c:v>
                </c:pt>
                <c:pt idx="57">
                  <c:v>1.12385055555556E6</c:v>
                </c:pt>
                <c:pt idx="58">
                  <c:v>1.12385055555556E6</c:v>
                </c:pt>
                <c:pt idx="59">
                  <c:v>1.12385055555556E6</c:v>
                </c:pt>
                <c:pt idx="60">
                  <c:v>1.12385055555556E6</c:v>
                </c:pt>
                <c:pt idx="61">
                  <c:v>1.42678388888889E6</c:v>
                </c:pt>
                <c:pt idx="62">
                  <c:v>1.42678388888889E6</c:v>
                </c:pt>
                <c:pt idx="63">
                  <c:v>1.42678388888889E6</c:v>
                </c:pt>
                <c:pt idx="64">
                  <c:v>1.42678388888889E6</c:v>
                </c:pt>
                <c:pt idx="65">
                  <c:v>1.42678388888889E6</c:v>
                </c:pt>
              </c:numCache>
            </c:numRef>
          </c:yVal>
          <c:smooth val="1"/>
        </c:ser>
        <c:ser>
          <c:idx val="1"/>
          <c:order val="1"/>
          <c:tx>
            <c:v>NF-6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Chart'!$BJ$3:$BJ$72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350.0</c:v>
                </c:pt>
                <c:pt idx="10">
                  <c:v>350.0</c:v>
                </c:pt>
                <c:pt idx="11">
                  <c:v>350.0</c:v>
                </c:pt>
                <c:pt idx="12">
                  <c:v>816.6666666666666</c:v>
                </c:pt>
                <c:pt idx="13">
                  <c:v>816.6666666666666</c:v>
                </c:pt>
                <c:pt idx="14">
                  <c:v>816.6666666666666</c:v>
                </c:pt>
                <c:pt idx="15">
                  <c:v>11616.66666666667</c:v>
                </c:pt>
                <c:pt idx="16">
                  <c:v>151416.6666666667</c:v>
                </c:pt>
                <c:pt idx="17">
                  <c:v>162041.6666666667</c:v>
                </c:pt>
                <c:pt idx="18">
                  <c:v>162041.6666666667</c:v>
                </c:pt>
                <c:pt idx="19">
                  <c:v>276341.6666666666</c:v>
                </c:pt>
                <c:pt idx="20">
                  <c:v>276341.6666666666</c:v>
                </c:pt>
                <c:pt idx="21">
                  <c:v>277675.0</c:v>
                </c:pt>
                <c:pt idx="22">
                  <c:v>277675.0</c:v>
                </c:pt>
                <c:pt idx="23">
                  <c:v>277675.0</c:v>
                </c:pt>
                <c:pt idx="24">
                  <c:v>277675.0</c:v>
                </c:pt>
                <c:pt idx="25">
                  <c:v>277675.0</c:v>
                </c:pt>
                <c:pt idx="26">
                  <c:v>277675.0</c:v>
                </c:pt>
                <c:pt idx="27">
                  <c:v>277675.0</c:v>
                </c:pt>
                <c:pt idx="28">
                  <c:v>277675.0</c:v>
                </c:pt>
                <c:pt idx="29">
                  <c:v>277675.0</c:v>
                </c:pt>
                <c:pt idx="30">
                  <c:v>277675.0</c:v>
                </c:pt>
                <c:pt idx="31">
                  <c:v>277675.0</c:v>
                </c:pt>
                <c:pt idx="32">
                  <c:v>277675.0</c:v>
                </c:pt>
                <c:pt idx="33">
                  <c:v>277675.0</c:v>
                </c:pt>
                <c:pt idx="34">
                  <c:v>277675.0</c:v>
                </c:pt>
                <c:pt idx="35">
                  <c:v>277675.0</c:v>
                </c:pt>
                <c:pt idx="36">
                  <c:v>277675.0</c:v>
                </c:pt>
                <c:pt idx="37">
                  <c:v>277675.0</c:v>
                </c:pt>
                <c:pt idx="38">
                  <c:v>277675.0</c:v>
                </c:pt>
                <c:pt idx="39">
                  <c:v>277675.0</c:v>
                </c:pt>
                <c:pt idx="40">
                  <c:v>277675.0</c:v>
                </c:pt>
                <c:pt idx="41">
                  <c:v>277675.0</c:v>
                </c:pt>
                <c:pt idx="42">
                  <c:v>277675.0</c:v>
                </c:pt>
                <c:pt idx="43">
                  <c:v>277708.3333333333</c:v>
                </c:pt>
                <c:pt idx="44">
                  <c:v>277708.3333333333</c:v>
                </c:pt>
                <c:pt idx="45">
                  <c:v>277708.3333333333</c:v>
                </c:pt>
                <c:pt idx="46">
                  <c:v>277708.3333333333</c:v>
                </c:pt>
                <c:pt idx="47">
                  <c:v>277708.3333333333</c:v>
                </c:pt>
                <c:pt idx="48">
                  <c:v>277708.3333333333</c:v>
                </c:pt>
                <c:pt idx="49">
                  <c:v>277708.3333333333</c:v>
                </c:pt>
                <c:pt idx="50">
                  <c:v>277708.3333333333</c:v>
                </c:pt>
                <c:pt idx="51">
                  <c:v>277708.3333333333</c:v>
                </c:pt>
                <c:pt idx="52">
                  <c:v>277708.3333333333</c:v>
                </c:pt>
                <c:pt idx="53">
                  <c:v>277708.3333333333</c:v>
                </c:pt>
                <c:pt idx="54">
                  <c:v>277708.3333333333</c:v>
                </c:pt>
                <c:pt idx="55">
                  <c:v>277708.3333333333</c:v>
                </c:pt>
                <c:pt idx="56">
                  <c:v>277708.3333333333</c:v>
                </c:pt>
                <c:pt idx="57">
                  <c:v>277708.3333333333</c:v>
                </c:pt>
                <c:pt idx="58">
                  <c:v>277708.3333333333</c:v>
                </c:pt>
                <c:pt idx="59">
                  <c:v>277708.3333333333</c:v>
                </c:pt>
                <c:pt idx="60">
                  <c:v>277708.3333333333</c:v>
                </c:pt>
                <c:pt idx="61">
                  <c:v>277708.3333333333</c:v>
                </c:pt>
                <c:pt idx="62">
                  <c:v>277708.3333333333</c:v>
                </c:pt>
                <c:pt idx="63">
                  <c:v>277708.3333333333</c:v>
                </c:pt>
                <c:pt idx="64">
                  <c:v>277708.3333333333</c:v>
                </c:pt>
                <c:pt idx="65">
                  <c:v>277708.3333333333</c:v>
                </c:pt>
              </c:numCache>
            </c:numRef>
          </c:yVal>
          <c:smooth val="1"/>
        </c:ser>
        <c:ser>
          <c:idx val="2"/>
          <c:order val="2"/>
          <c:tx>
            <c:v>NF-10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Chart'!$BL$3:$BL$72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126400.0</c:v>
                </c:pt>
                <c:pt idx="12">
                  <c:v>126983.3333333333</c:v>
                </c:pt>
                <c:pt idx="13">
                  <c:v>129250.0</c:v>
                </c:pt>
                <c:pt idx="14">
                  <c:v>315383.3333333333</c:v>
                </c:pt>
                <c:pt idx="15">
                  <c:v>315383.3333333333</c:v>
                </c:pt>
                <c:pt idx="16">
                  <c:v>315383.3333333333</c:v>
                </c:pt>
                <c:pt idx="17">
                  <c:v>320341.6666666666</c:v>
                </c:pt>
                <c:pt idx="18">
                  <c:v>320341.6666666666</c:v>
                </c:pt>
                <c:pt idx="19">
                  <c:v>320341.6666666666</c:v>
                </c:pt>
                <c:pt idx="20">
                  <c:v>320341.6666666666</c:v>
                </c:pt>
                <c:pt idx="21">
                  <c:v>320341.6666666666</c:v>
                </c:pt>
                <c:pt idx="22">
                  <c:v>321808.3333333333</c:v>
                </c:pt>
                <c:pt idx="23">
                  <c:v>321808.3333333333</c:v>
                </c:pt>
                <c:pt idx="24">
                  <c:v>396475.0</c:v>
                </c:pt>
                <c:pt idx="25">
                  <c:v>397675.0</c:v>
                </c:pt>
                <c:pt idx="26">
                  <c:v>397675.0</c:v>
                </c:pt>
                <c:pt idx="27">
                  <c:v>397675.0</c:v>
                </c:pt>
                <c:pt idx="28">
                  <c:v>397675.0</c:v>
                </c:pt>
                <c:pt idx="29">
                  <c:v>397675.0</c:v>
                </c:pt>
                <c:pt idx="30">
                  <c:v>397675.0</c:v>
                </c:pt>
                <c:pt idx="31">
                  <c:v>397675.0</c:v>
                </c:pt>
                <c:pt idx="32">
                  <c:v>397675.0</c:v>
                </c:pt>
                <c:pt idx="33">
                  <c:v>397675.0</c:v>
                </c:pt>
                <c:pt idx="34">
                  <c:v>397675.0</c:v>
                </c:pt>
                <c:pt idx="35">
                  <c:v>397675.0</c:v>
                </c:pt>
                <c:pt idx="36">
                  <c:v>397675.0</c:v>
                </c:pt>
                <c:pt idx="37">
                  <c:v>397675.0</c:v>
                </c:pt>
                <c:pt idx="38">
                  <c:v>397675.0</c:v>
                </c:pt>
                <c:pt idx="39">
                  <c:v>397675.0</c:v>
                </c:pt>
                <c:pt idx="40">
                  <c:v>397675.0</c:v>
                </c:pt>
                <c:pt idx="41">
                  <c:v>397675.0</c:v>
                </c:pt>
                <c:pt idx="42">
                  <c:v>397675.0</c:v>
                </c:pt>
                <c:pt idx="43">
                  <c:v>397675.0</c:v>
                </c:pt>
                <c:pt idx="44">
                  <c:v>397675.0</c:v>
                </c:pt>
                <c:pt idx="45">
                  <c:v>397675.0</c:v>
                </c:pt>
                <c:pt idx="46">
                  <c:v>397675.0</c:v>
                </c:pt>
                <c:pt idx="47">
                  <c:v>397675.0</c:v>
                </c:pt>
                <c:pt idx="48">
                  <c:v>397675.0</c:v>
                </c:pt>
                <c:pt idx="49">
                  <c:v>397675.0</c:v>
                </c:pt>
                <c:pt idx="50">
                  <c:v>397675.0</c:v>
                </c:pt>
                <c:pt idx="51">
                  <c:v>397675.0</c:v>
                </c:pt>
                <c:pt idx="52">
                  <c:v>397675.0</c:v>
                </c:pt>
                <c:pt idx="53">
                  <c:v>397675.0</c:v>
                </c:pt>
                <c:pt idx="54">
                  <c:v>439633.3333333333</c:v>
                </c:pt>
                <c:pt idx="55">
                  <c:v>439633.3333333333</c:v>
                </c:pt>
                <c:pt idx="56">
                  <c:v>439633.3333333333</c:v>
                </c:pt>
                <c:pt idx="57">
                  <c:v>439633.3333333333</c:v>
                </c:pt>
                <c:pt idx="58">
                  <c:v>439633.3333333333</c:v>
                </c:pt>
                <c:pt idx="59">
                  <c:v>439633.3333333333</c:v>
                </c:pt>
                <c:pt idx="60">
                  <c:v>439633.3333333333</c:v>
                </c:pt>
                <c:pt idx="61">
                  <c:v>439841.6666666667</c:v>
                </c:pt>
                <c:pt idx="62">
                  <c:v>439841.6666666667</c:v>
                </c:pt>
                <c:pt idx="63">
                  <c:v>439841.6666666667</c:v>
                </c:pt>
                <c:pt idx="64">
                  <c:v>439841.6666666667</c:v>
                </c:pt>
                <c:pt idx="65">
                  <c:v>439841.6666666667</c:v>
                </c:pt>
              </c:numCache>
            </c:numRef>
          </c:yVal>
          <c:smooth val="1"/>
        </c:ser>
        <c:ser>
          <c:idx val="3"/>
          <c:order val="3"/>
          <c:tx>
            <c:v>NF-10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Chart'!$BN$4:$BN$72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245666.6666666667</c:v>
                </c:pt>
                <c:pt idx="7">
                  <c:v>246666.6666666667</c:v>
                </c:pt>
                <c:pt idx="8">
                  <c:v>246666.6666666667</c:v>
                </c:pt>
                <c:pt idx="9">
                  <c:v>246666.6666666667</c:v>
                </c:pt>
                <c:pt idx="10">
                  <c:v>246666.6666666667</c:v>
                </c:pt>
                <c:pt idx="11">
                  <c:v>246666.6666666667</c:v>
                </c:pt>
                <c:pt idx="12">
                  <c:v>246666.6666666667</c:v>
                </c:pt>
                <c:pt idx="13">
                  <c:v>246666.6666666667</c:v>
                </c:pt>
                <c:pt idx="14">
                  <c:v>494666.6666666666</c:v>
                </c:pt>
                <c:pt idx="15">
                  <c:v>494666.6666666666</c:v>
                </c:pt>
                <c:pt idx="16">
                  <c:v>499583.3333333333</c:v>
                </c:pt>
                <c:pt idx="17">
                  <c:v>499583.3333333333</c:v>
                </c:pt>
                <c:pt idx="18">
                  <c:v>499583.3333333333</c:v>
                </c:pt>
                <c:pt idx="19">
                  <c:v>499583.3333333333</c:v>
                </c:pt>
                <c:pt idx="20">
                  <c:v>499583.3333333333</c:v>
                </c:pt>
                <c:pt idx="21">
                  <c:v>499583.3333333333</c:v>
                </c:pt>
                <c:pt idx="22">
                  <c:v>499583.3333333333</c:v>
                </c:pt>
                <c:pt idx="23">
                  <c:v>714063.3333333332</c:v>
                </c:pt>
                <c:pt idx="24">
                  <c:v>716996.6666666666</c:v>
                </c:pt>
                <c:pt idx="25">
                  <c:v>716996.6666666666</c:v>
                </c:pt>
                <c:pt idx="26">
                  <c:v>716996.6666666666</c:v>
                </c:pt>
                <c:pt idx="27">
                  <c:v>941529.9999999999</c:v>
                </c:pt>
                <c:pt idx="28">
                  <c:v>941529.9999999999</c:v>
                </c:pt>
                <c:pt idx="29">
                  <c:v>941529.9999999999</c:v>
                </c:pt>
                <c:pt idx="30">
                  <c:v>941529.9999999999</c:v>
                </c:pt>
                <c:pt idx="31">
                  <c:v>941529.9999999999</c:v>
                </c:pt>
                <c:pt idx="32">
                  <c:v>941529.9999999999</c:v>
                </c:pt>
                <c:pt idx="33">
                  <c:v>941529.9999999999</c:v>
                </c:pt>
                <c:pt idx="34">
                  <c:v>1.05726333333333E6</c:v>
                </c:pt>
                <c:pt idx="35">
                  <c:v>1.11539666666667E6</c:v>
                </c:pt>
                <c:pt idx="36">
                  <c:v>1.11539666666667E6</c:v>
                </c:pt>
                <c:pt idx="37">
                  <c:v>1.11606333333333E6</c:v>
                </c:pt>
                <c:pt idx="38">
                  <c:v>1.11606333333333E6</c:v>
                </c:pt>
                <c:pt idx="39">
                  <c:v>1.11606333333333E6</c:v>
                </c:pt>
                <c:pt idx="40">
                  <c:v>1.11606333333333E6</c:v>
                </c:pt>
                <c:pt idx="41">
                  <c:v>1.11606333333333E6</c:v>
                </c:pt>
                <c:pt idx="42">
                  <c:v>1.11606333333333E6</c:v>
                </c:pt>
                <c:pt idx="43">
                  <c:v>1.11606333333333E6</c:v>
                </c:pt>
                <c:pt idx="44">
                  <c:v>1.11606333333333E6</c:v>
                </c:pt>
                <c:pt idx="45">
                  <c:v>1.11606333333333E6</c:v>
                </c:pt>
                <c:pt idx="46">
                  <c:v>1.11606333333333E6</c:v>
                </c:pt>
                <c:pt idx="47">
                  <c:v>1.11606333333333E6</c:v>
                </c:pt>
                <c:pt idx="48">
                  <c:v>1.11606333333333E6</c:v>
                </c:pt>
                <c:pt idx="49">
                  <c:v>1.11606333333333E6</c:v>
                </c:pt>
                <c:pt idx="50">
                  <c:v>1.11606333333333E6</c:v>
                </c:pt>
                <c:pt idx="51">
                  <c:v>1.11606333333333E6</c:v>
                </c:pt>
                <c:pt idx="52">
                  <c:v>1.11606333333333E6</c:v>
                </c:pt>
                <c:pt idx="53">
                  <c:v>1.11606333333333E6</c:v>
                </c:pt>
                <c:pt idx="54">
                  <c:v>1.11606333333333E6</c:v>
                </c:pt>
                <c:pt idx="55">
                  <c:v>1.11606333333333E6</c:v>
                </c:pt>
                <c:pt idx="56">
                  <c:v>1.11606333333333E6</c:v>
                </c:pt>
                <c:pt idx="57">
                  <c:v>1.11606333333333E6</c:v>
                </c:pt>
                <c:pt idx="58">
                  <c:v>1.11606333333333E6</c:v>
                </c:pt>
                <c:pt idx="59">
                  <c:v>1.11606333333333E6</c:v>
                </c:pt>
                <c:pt idx="60">
                  <c:v>1.11606333333333E6</c:v>
                </c:pt>
                <c:pt idx="61">
                  <c:v>1.11606333333333E6</c:v>
                </c:pt>
                <c:pt idx="62">
                  <c:v>1.11606333333333E6</c:v>
                </c:pt>
                <c:pt idx="63">
                  <c:v>1.11606333333333E6</c:v>
                </c:pt>
                <c:pt idx="64">
                  <c:v>1.11606333333333E6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842280"/>
        <c:axId val="2141845496"/>
      </c:scatterChart>
      <c:valAx>
        <c:axId val="21418422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1845496"/>
        <c:crosses val="autoZero"/>
        <c:crossBetween val="midCat"/>
        <c:minorUnit val="1.0"/>
      </c:valAx>
      <c:valAx>
        <c:axId val="2141845496"/>
        <c:scaling>
          <c:orientation val="minMax"/>
          <c:min val="0.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1842280"/>
        <c:crosses val="autoZero"/>
        <c:crossBetween val="midCat"/>
      </c:valAx>
      <c:spPr>
        <a:ln w="12700" cmpd="sng"/>
      </c:spPr>
    </c:plotArea>
    <c:legend>
      <c:legendPos val="r"/>
      <c:layout>
        <c:manualLayout>
          <c:xMode val="edge"/>
          <c:yMode val="edge"/>
          <c:x val="0.144256803425888"/>
          <c:y val="0.298806738489953"/>
          <c:w val="0.132619683504474"/>
          <c:h val="0.329127272231511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span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 baseline="0"/>
              <a:t>Hood Canal Total Larvae Spawned, normalized</a:t>
            </a:r>
            <a:endParaRPr lang="en-US" sz="2800"/>
          </a:p>
        </c:rich>
      </c:tx>
      <c:layout>
        <c:manualLayout>
          <c:xMode val="edge"/>
          <c:yMode val="edge"/>
          <c:x val="0.122435035532839"/>
          <c:y val="0.0738616270725987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scatterChart>
        <c:scatterStyle val="smoothMarker"/>
        <c:varyColors val="0"/>
        <c:ser>
          <c:idx val="0"/>
          <c:order val="0"/>
          <c:tx>
            <c:v>HL-6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Chart'!$AK$4:$AK$72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290.2777777777778</c:v>
                </c:pt>
                <c:pt idx="3">
                  <c:v>610.6481481481481</c:v>
                </c:pt>
                <c:pt idx="4">
                  <c:v>610.6481481481481</c:v>
                </c:pt>
                <c:pt idx="5">
                  <c:v>610.6481481481481</c:v>
                </c:pt>
                <c:pt idx="6">
                  <c:v>12499.53703703704</c:v>
                </c:pt>
                <c:pt idx="7">
                  <c:v>12499.53703703704</c:v>
                </c:pt>
                <c:pt idx="8">
                  <c:v>12499.53703703704</c:v>
                </c:pt>
                <c:pt idx="9">
                  <c:v>12499.53703703704</c:v>
                </c:pt>
                <c:pt idx="10">
                  <c:v>12499.53703703704</c:v>
                </c:pt>
                <c:pt idx="11">
                  <c:v>12499.53703703704</c:v>
                </c:pt>
                <c:pt idx="12">
                  <c:v>12499.53703703704</c:v>
                </c:pt>
                <c:pt idx="13">
                  <c:v>12499.53703703704</c:v>
                </c:pt>
                <c:pt idx="14">
                  <c:v>12499.53703703704</c:v>
                </c:pt>
                <c:pt idx="15">
                  <c:v>12499.53703703704</c:v>
                </c:pt>
                <c:pt idx="16">
                  <c:v>12499.53703703704</c:v>
                </c:pt>
                <c:pt idx="17">
                  <c:v>12499.53703703704</c:v>
                </c:pt>
                <c:pt idx="18">
                  <c:v>12499.53703703704</c:v>
                </c:pt>
                <c:pt idx="19">
                  <c:v>12499.53703703704</c:v>
                </c:pt>
                <c:pt idx="20">
                  <c:v>12499.53703703704</c:v>
                </c:pt>
                <c:pt idx="21">
                  <c:v>12499.53703703704</c:v>
                </c:pt>
                <c:pt idx="22">
                  <c:v>12499.53703703704</c:v>
                </c:pt>
                <c:pt idx="23">
                  <c:v>12499.53703703704</c:v>
                </c:pt>
                <c:pt idx="24">
                  <c:v>12499.53703703704</c:v>
                </c:pt>
                <c:pt idx="25">
                  <c:v>12499.53703703704</c:v>
                </c:pt>
                <c:pt idx="26">
                  <c:v>12499.53703703704</c:v>
                </c:pt>
                <c:pt idx="27">
                  <c:v>36010.64814814815</c:v>
                </c:pt>
                <c:pt idx="28">
                  <c:v>36376.62037037037</c:v>
                </c:pt>
                <c:pt idx="29">
                  <c:v>36376.62037037037</c:v>
                </c:pt>
                <c:pt idx="30">
                  <c:v>36376.62037037037</c:v>
                </c:pt>
                <c:pt idx="31">
                  <c:v>36376.62037037037</c:v>
                </c:pt>
                <c:pt idx="32">
                  <c:v>36376.62037037037</c:v>
                </c:pt>
                <c:pt idx="33">
                  <c:v>36376.62037037037</c:v>
                </c:pt>
                <c:pt idx="34">
                  <c:v>36376.62037037037</c:v>
                </c:pt>
                <c:pt idx="35">
                  <c:v>36416.89814814815</c:v>
                </c:pt>
                <c:pt idx="36">
                  <c:v>36416.89814814815</c:v>
                </c:pt>
                <c:pt idx="37">
                  <c:v>66105.78703703704</c:v>
                </c:pt>
                <c:pt idx="38">
                  <c:v>66105.78703703704</c:v>
                </c:pt>
                <c:pt idx="39">
                  <c:v>79855.78703703704</c:v>
                </c:pt>
                <c:pt idx="40">
                  <c:v>79855.78703703704</c:v>
                </c:pt>
                <c:pt idx="41">
                  <c:v>79855.78703703704</c:v>
                </c:pt>
                <c:pt idx="42">
                  <c:v>79938.75</c:v>
                </c:pt>
                <c:pt idx="43">
                  <c:v>79938.75</c:v>
                </c:pt>
                <c:pt idx="44">
                  <c:v>79938.75</c:v>
                </c:pt>
                <c:pt idx="45">
                  <c:v>79938.75</c:v>
                </c:pt>
                <c:pt idx="46">
                  <c:v>79938.75</c:v>
                </c:pt>
                <c:pt idx="47">
                  <c:v>79938.75</c:v>
                </c:pt>
                <c:pt idx="48">
                  <c:v>79938.75</c:v>
                </c:pt>
                <c:pt idx="49">
                  <c:v>79938.75</c:v>
                </c:pt>
                <c:pt idx="50">
                  <c:v>79938.75</c:v>
                </c:pt>
                <c:pt idx="51">
                  <c:v>79938.75</c:v>
                </c:pt>
                <c:pt idx="52">
                  <c:v>79938.75</c:v>
                </c:pt>
                <c:pt idx="53">
                  <c:v>79938.75</c:v>
                </c:pt>
                <c:pt idx="54">
                  <c:v>79938.75</c:v>
                </c:pt>
                <c:pt idx="55">
                  <c:v>79938.75</c:v>
                </c:pt>
              </c:numCache>
            </c:numRef>
          </c:yVal>
          <c:smooth val="1"/>
        </c:ser>
        <c:ser>
          <c:idx val="1"/>
          <c:order val="1"/>
          <c:tx>
            <c:v>HL-6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Chart'!$AM$4:$AM$72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8755.555555555557</c:v>
                </c:pt>
                <c:pt idx="33">
                  <c:v>8755.555555555557</c:v>
                </c:pt>
                <c:pt idx="34">
                  <c:v>8755.555555555557</c:v>
                </c:pt>
                <c:pt idx="35">
                  <c:v>8755.555555555557</c:v>
                </c:pt>
                <c:pt idx="36">
                  <c:v>8755.555555555557</c:v>
                </c:pt>
                <c:pt idx="37">
                  <c:v>8755.555555555557</c:v>
                </c:pt>
                <c:pt idx="38">
                  <c:v>8755.555555555557</c:v>
                </c:pt>
                <c:pt idx="39">
                  <c:v>8755.555555555557</c:v>
                </c:pt>
                <c:pt idx="40">
                  <c:v>8755.555555555557</c:v>
                </c:pt>
                <c:pt idx="41">
                  <c:v>8755.555555555557</c:v>
                </c:pt>
                <c:pt idx="42">
                  <c:v>8755.555555555557</c:v>
                </c:pt>
                <c:pt idx="43">
                  <c:v>8755.555555555557</c:v>
                </c:pt>
                <c:pt idx="44">
                  <c:v>8755.555555555557</c:v>
                </c:pt>
                <c:pt idx="45">
                  <c:v>8755.555555555557</c:v>
                </c:pt>
                <c:pt idx="46">
                  <c:v>8755.555555555557</c:v>
                </c:pt>
                <c:pt idx="47">
                  <c:v>8755.555555555557</c:v>
                </c:pt>
                <c:pt idx="48">
                  <c:v>8755.555555555557</c:v>
                </c:pt>
                <c:pt idx="49">
                  <c:v>8755.555555555557</c:v>
                </c:pt>
                <c:pt idx="50">
                  <c:v>8755.555555555557</c:v>
                </c:pt>
                <c:pt idx="51">
                  <c:v>8755.555555555557</c:v>
                </c:pt>
                <c:pt idx="52">
                  <c:v>8755.555555555557</c:v>
                </c:pt>
                <c:pt idx="53">
                  <c:v>8755.555555555557</c:v>
                </c:pt>
                <c:pt idx="54">
                  <c:v>8755.555555555557</c:v>
                </c:pt>
                <c:pt idx="55">
                  <c:v>8755.555555555557</c:v>
                </c:pt>
              </c:numCache>
            </c:numRef>
          </c:yVal>
          <c:smooth val="1"/>
        </c:ser>
        <c:ser>
          <c:idx val="2"/>
          <c:order val="2"/>
          <c:tx>
            <c:v>HL-10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Chart'!$AO$4:$AO$72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3626.666666666667</c:v>
                </c:pt>
                <c:pt idx="16">
                  <c:v>21503.11111111111</c:v>
                </c:pt>
                <c:pt idx="17">
                  <c:v>21503.11111111111</c:v>
                </c:pt>
                <c:pt idx="18">
                  <c:v>21503.11111111111</c:v>
                </c:pt>
                <c:pt idx="19">
                  <c:v>21503.11111111111</c:v>
                </c:pt>
                <c:pt idx="20">
                  <c:v>21503.11111111111</c:v>
                </c:pt>
                <c:pt idx="21">
                  <c:v>21503.11111111111</c:v>
                </c:pt>
                <c:pt idx="22">
                  <c:v>21503.11111111111</c:v>
                </c:pt>
                <c:pt idx="23">
                  <c:v>21503.11111111111</c:v>
                </c:pt>
                <c:pt idx="24">
                  <c:v>21503.11111111111</c:v>
                </c:pt>
                <c:pt idx="25">
                  <c:v>21503.11111111111</c:v>
                </c:pt>
                <c:pt idx="26">
                  <c:v>21503.11111111111</c:v>
                </c:pt>
                <c:pt idx="27">
                  <c:v>21503.11111111111</c:v>
                </c:pt>
                <c:pt idx="28">
                  <c:v>21503.11111111111</c:v>
                </c:pt>
                <c:pt idx="29">
                  <c:v>21503.11111111111</c:v>
                </c:pt>
                <c:pt idx="30">
                  <c:v>31439.77777777778</c:v>
                </c:pt>
                <c:pt idx="31">
                  <c:v>31439.77777777778</c:v>
                </c:pt>
                <c:pt idx="32">
                  <c:v>43173.11111111112</c:v>
                </c:pt>
                <c:pt idx="33">
                  <c:v>43173.11111111112</c:v>
                </c:pt>
                <c:pt idx="34">
                  <c:v>43173.11111111112</c:v>
                </c:pt>
                <c:pt idx="35">
                  <c:v>43173.11111111112</c:v>
                </c:pt>
                <c:pt idx="36">
                  <c:v>43173.11111111112</c:v>
                </c:pt>
                <c:pt idx="37">
                  <c:v>46337.55555555555</c:v>
                </c:pt>
                <c:pt idx="38">
                  <c:v>46337.55555555555</c:v>
                </c:pt>
                <c:pt idx="39">
                  <c:v>46345.8888888889</c:v>
                </c:pt>
                <c:pt idx="40">
                  <c:v>46345.8888888889</c:v>
                </c:pt>
                <c:pt idx="41">
                  <c:v>46345.8888888889</c:v>
                </c:pt>
                <c:pt idx="42">
                  <c:v>46345.8888888889</c:v>
                </c:pt>
                <c:pt idx="43">
                  <c:v>46345.8888888889</c:v>
                </c:pt>
                <c:pt idx="44">
                  <c:v>47012.55555555555</c:v>
                </c:pt>
                <c:pt idx="45">
                  <c:v>47012.55555555555</c:v>
                </c:pt>
                <c:pt idx="46">
                  <c:v>47012.55555555555</c:v>
                </c:pt>
                <c:pt idx="47">
                  <c:v>47012.55555555555</c:v>
                </c:pt>
                <c:pt idx="48">
                  <c:v>47012.55555555555</c:v>
                </c:pt>
                <c:pt idx="49">
                  <c:v>47012.55555555555</c:v>
                </c:pt>
                <c:pt idx="50">
                  <c:v>47012.55555555555</c:v>
                </c:pt>
                <c:pt idx="51">
                  <c:v>47012.55555555555</c:v>
                </c:pt>
                <c:pt idx="52">
                  <c:v>47012.55555555555</c:v>
                </c:pt>
                <c:pt idx="53">
                  <c:v>47012.55555555555</c:v>
                </c:pt>
                <c:pt idx="54">
                  <c:v>47012.55555555555</c:v>
                </c:pt>
                <c:pt idx="55">
                  <c:v>47012.55555555555</c:v>
                </c:pt>
              </c:numCache>
            </c:numRef>
          </c:yVal>
          <c:smooth val="1"/>
        </c:ser>
        <c:ser>
          <c:idx val="3"/>
          <c:order val="3"/>
          <c:tx>
            <c:v>HL-10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Chart'!$AQ$4:$AQ$72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20586.66666666666</c:v>
                </c:pt>
                <c:pt idx="14">
                  <c:v>23218.66666666666</c:v>
                </c:pt>
                <c:pt idx="15">
                  <c:v>23498.66666666666</c:v>
                </c:pt>
                <c:pt idx="16">
                  <c:v>23498.66666666666</c:v>
                </c:pt>
                <c:pt idx="17">
                  <c:v>23498.66666666666</c:v>
                </c:pt>
                <c:pt idx="18">
                  <c:v>23498.66666666666</c:v>
                </c:pt>
                <c:pt idx="19">
                  <c:v>23498.66666666666</c:v>
                </c:pt>
                <c:pt idx="20">
                  <c:v>67178.66666666666</c:v>
                </c:pt>
                <c:pt idx="21">
                  <c:v>67178.66666666666</c:v>
                </c:pt>
                <c:pt idx="22">
                  <c:v>67178.66666666666</c:v>
                </c:pt>
                <c:pt idx="23">
                  <c:v>67178.66666666666</c:v>
                </c:pt>
                <c:pt idx="24">
                  <c:v>67178.66666666666</c:v>
                </c:pt>
                <c:pt idx="25">
                  <c:v>67178.66666666666</c:v>
                </c:pt>
                <c:pt idx="26">
                  <c:v>67178.66666666666</c:v>
                </c:pt>
                <c:pt idx="27">
                  <c:v>67178.66666666666</c:v>
                </c:pt>
                <c:pt idx="28">
                  <c:v>67178.66666666666</c:v>
                </c:pt>
                <c:pt idx="29">
                  <c:v>67178.66666666666</c:v>
                </c:pt>
                <c:pt idx="30">
                  <c:v>67178.66666666666</c:v>
                </c:pt>
                <c:pt idx="31">
                  <c:v>67178.66666666666</c:v>
                </c:pt>
                <c:pt idx="32">
                  <c:v>67178.66666666666</c:v>
                </c:pt>
                <c:pt idx="33">
                  <c:v>67178.66666666666</c:v>
                </c:pt>
                <c:pt idx="34">
                  <c:v>67178.66666666666</c:v>
                </c:pt>
                <c:pt idx="35">
                  <c:v>67178.66666666666</c:v>
                </c:pt>
                <c:pt idx="36">
                  <c:v>67178.66666666666</c:v>
                </c:pt>
                <c:pt idx="37">
                  <c:v>67178.66666666666</c:v>
                </c:pt>
                <c:pt idx="38">
                  <c:v>67178.66666666666</c:v>
                </c:pt>
                <c:pt idx="39">
                  <c:v>73945.33333333333</c:v>
                </c:pt>
                <c:pt idx="40">
                  <c:v>73945.33333333333</c:v>
                </c:pt>
                <c:pt idx="41">
                  <c:v>73945.33333333333</c:v>
                </c:pt>
                <c:pt idx="42">
                  <c:v>74101.77777777778</c:v>
                </c:pt>
                <c:pt idx="43">
                  <c:v>74101.77777777778</c:v>
                </c:pt>
                <c:pt idx="44">
                  <c:v>74101.77777777778</c:v>
                </c:pt>
                <c:pt idx="45">
                  <c:v>74101.77777777778</c:v>
                </c:pt>
                <c:pt idx="46">
                  <c:v>74101.77777777778</c:v>
                </c:pt>
                <c:pt idx="47">
                  <c:v>74101.77777777778</c:v>
                </c:pt>
                <c:pt idx="48">
                  <c:v>74101.77777777778</c:v>
                </c:pt>
                <c:pt idx="49">
                  <c:v>93781.77777777778</c:v>
                </c:pt>
                <c:pt idx="50">
                  <c:v>93781.77777777778</c:v>
                </c:pt>
                <c:pt idx="51">
                  <c:v>93946.77777777778</c:v>
                </c:pt>
                <c:pt idx="52">
                  <c:v>93946.77777777778</c:v>
                </c:pt>
                <c:pt idx="53">
                  <c:v>93946.77777777778</c:v>
                </c:pt>
                <c:pt idx="54">
                  <c:v>93946.77777777778</c:v>
                </c:pt>
                <c:pt idx="55">
                  <c:v>93946.77777777778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885576"/>
        <c:axId val="2141888792"/>
      </c:scatterChart>
      <c:valAx>
        <c:axId val="21418855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1888792"/>
        <c:crosses val="autoZero"/>
        <c:crossBetween val="midCat"/>
        <c:minorUnit val="1.0"/>
      </c:valAx>
      <c:valAx>
        <c:axId val="2141888792"/>
        <c:scaling>
          <c:orientation val="minMax"/>
          <c:min val="0.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1885576"/>
        <c:crosses val="autoZero"/>
        <c:crossBetween val="midCat"/>
      </c:valAx>
      <c:spPr>
        <a:ln w="12700" cmpd="sng"/>
      </c:spPr>
    </c:plotArea>
    <c:legend>
      <c:legendPos val="r"/>
      <c:layout>
        <c:manualLayout>
          <c:xMode val="edge"/>
          <c:yMode val="edge"/>
          <c:x val="0.131586238123743"/>
          <c:y val="0.327075297591969"/>
          <c:w val="0.110202529508373"/>
          <c:h val="0.304392283017246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span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US" sz="2400" b="1" i="0" baseline="0">
                <a:effectLst/>
              </a:rPr>
              <a:t>South Sound F2 Total Larvae Spawned, normalized</a:t>
            </a:r>
            <a:endParaRPr lang="en-US" sz="3600">
              <a:effectLst/>
            </a:endParaRPr>
          </a:p>
        </c:rich>
      </c:tx>
      <c:layout>
        <c:manualLayout>
          <c:xMode val="edge"/>
          <c:yMode val="edge"/>
          <c:x val="0.0951445871897591"/>
          <c:y val="0.0491266378583339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scatterChart>
        <c:scatterStyle val="smoothMarker"/>
        <c:varyColors val="0"/>
        <c:ser>
          <c:idx val="0"/>
          <c:order val="0"/>
          <c:tx>
            <c:v>K-6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Chart'!$AS$3:$AS$72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1109.90990990991</c:v>
                </c:pt>
                <c:pt idx="12">
                  <c:v>1126.126126126126</c:v>
                </c:pt>
                <c:pt idx="13">
                  <c:v>2305.705705705705</c:v>
                </c:pt>
                <c:pt idx="14">
                  <c:v>2741.801801801802</c:v>
                </c:pt>
                <c:pt idx="15">
                  <c:v>2741.801801801802</c:v>
                </c:pt>
                <c:pt idx="16">
                  <c:v>2780.24024024024</c:v>
                </c:pt>
                <c:pt idx="17">
                  <c:v>2780.24024024024</c:v>
                </c:pt>
                <c:pt idx="18">
                  <c:v>2780.24024024024</c:v>
                </c:pt>
                <c:pt idx="19">
                  <c:v>2780.24024024024</c:v>
                </c:pt>
                <c:pt idx="20">
                  <c:v>2780.24024024024</c:v>
                </c:pt>
                <c:pt idx="21">
                  <c:v>2780.24024024024</c:v>
                </c:pt>
                <c:pt idx="22">
                  <c:v>2780.24024024024</c:v>
                </c:pt>
                <c:pt idx="23">
                  <c:v>2780.24024024024</c:v>
                </c:pt>
                <c:pt idx="24">
                  <c:v>2780.24024024024</c:v>
                </c:pt>
                <c:pt idx="25">
                  <c:v>2780.24024024024</c:v>
                </c:pt>
                <c:pt idx="26">
                  <c:v>2780.24024024024</c:v>
                </c:pt>
                <c:pt idx="27">
                  <c:v>2780.24024024024</c:v>
                </c:pt>
                <c:pt idx="28">
                  <c:v>3227.087087087087</c:v>
                </c:pt>
                <c:pt idx="29">
                  <c:v>3308.768768768769</c:v>
                </c:pt>
                <c:pt idx="30">
                  <c:v>3308.768768768769</c:v>
                </c:pt>
                <c:pt idx="31">
                  <c:v>3333.993993993994</c:v>
                </c:pt>
                <c:pt idx="32">
                  <c:v>3333.993993993994</c:v>
                </c:pt>
                <c:pt idx="33">
                  <c:v>3333.993993993994</c:v>
                </c:pt>
                <c:pt idx="34">
                  <c:v>3333.993993993994</c:v>
                </c:pt>
                <c:pt idx="35">
                  <c:v>3333.993993993994</c:v>
                </c:pt>
                <c:pt idx="36">
                  <c:v>3333.993993993994</c:v>
                </c:pt>
                <c:pt idx="37">
                  <c:v>3333.993993993994</c:v>
                </c:pt>
                <c:pt idx="38">
                  <c:v>3333.993993993994</c:v>
                </c:pt>
                <c:pt idx="39">
                  <c:v>3333.993993993994</c:v>
                </c:pt>
                <c:pt idx="40">
                  <c:v>3333.993993993994</c:v>
                </c:pt>
                <c:pt idx="41">
                  <c:v>3333.993993993994</c:v>
                </c:pt>
                <c:pt idx="42">
                  <c:v>3333.993993993994</c:v>
                </c:pt>
                <c:pt idx="43">
                  <c:v>3333.993993993994</c:v>
                </c:pt>
                <c:pt idx="44">
                  <c:v>3333.993993993994</c:v>
                </c:pt>
                <c:pt idx="45">
                  <c:v>3333.993993993994</c:v>
                </c:pt>
              </c:numCache>
            </c:numRef>
          </c:yVal>
          <c:smooth val="1"/>
        </c:ser>
        <c:ser>
          <c:idx val="1"/>
          <c:order val="1"/>
          <c:tx>
            <c:v>K-6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Chart'!$AU$3:$AU$72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20.21452145214521</c:v>
                </c:pt>
                <c:pt idx="10">
                  <c:v>908.003300330033</c:v>
                </c:pt>
                <c:pt idx="11">
                  <c:v>908.003300330033</c:v>
                </c:pt>
                <c:pt idx="12">
                  <c:v>908.003300330033</c:v>
                </c:pt>
                <c:pt idx="13">
                  <c:v>908.003300330033</c:v>
                </c:pt>
                <c:pt idx="14">
                  <c:v>908.003300330033</c:v>
                </c:pt>
                <c:pt idx="15">
                  <c:v>908.003300330033</c:v>
                </c:pt>
                <c:pt idx="16">
                  <c:v>908.003300330033</c:v>
                </c:pt>
                <c:pt idx="17">
                  <c:v>908.003300330033</c:v>
                </c:pt>
                <c:pt idx="18">
                  <c:v>908.003300330033</c:v>
                </c:pt>
                <c:pt idx="19">
                  <c:v>908.003300330033</c:v>
                </c:pt>
                <c:pt idx="20">
                  <c:v>908.003300330033</c:v>
                </c:pt>
                <c:pt idx="21">
                  <c:v>908.003300330033</c:v>
                </c:pt>
                <c:pt idx="22">
                  <c:v>1895.462046204621</c:v>
                </c:pt>
                <c:pt idx="23">
                  <c:v>1895.462046204621</c:v>
                </c:pt>
                <c:pt idx="24">
                  <c:v>3210.709570957096</c:v>
                </c:pt>
                <c:pt idx="25">
                  <c:v>3210.709570957096</c:v>
                </c:pt>
                <c:pt idx="26">
                  <c:v>3210.709570957096</c:v>
                </c:pt>
                <c:pt idx="27">
                  <c:v>3210.709570957096</c:v>
                </c:pt>
                <c:pt idx="28">
                  <c:v>3210.709570957096</c:v>
                </c:pt>
                <c:pt idx="29">
                  <c:v>3210.709570957096</c:v>
                </c:pt>
                <c:pt idx="30">
                  <c:v>3210.709570957096</c:v>
                </c:pt>
                <c:pt idx="31">
                  <c:v>3924.10891089109</c:v>
                </c:pt>
                <c:pt idx="32">
                  <c:v>3924.10891089109</c:v>
                </c:pt>
                <c:pt idx="33">
                  <c:v>3965.693069306931</c:v>
                </c:pt>
                <c:pt idx="34">
                  <c:v>3965.693069306931</c:v>
                </c:pt>
                <c:pt idx="35">
                  <c:v>3965.693069306931</c:v>
                </c:pt>
                <c:pt idx="36">
                  <c:v>3965.693069306931</c:v>
                </c:pt>
                <c:pt idx="37">
                  <c:v>3965.693069306931</c:v>
                </c:pt>
                <c:pt idx="38">
                  <c:v>3965.693069306931</c:v>
                </c:pt>
                <c:pt idx="39">
                  <c:v>3965.693069306931</c:v>
                </c:pt>
                <c:pt idx="40">
                  <c:v>4472.128712871287</c:v>
                </c:pt>
                <c:pt idx="41">
                  <c:v>5122.293729372937</c:v>
                </c:pt>
                <c:pt idx="42">
                  <c:v>5122.293729372937</c:v>
                </c:pt>
                <c:pt idx="43">
                  <c:v>5124.207920792079</c:v>
                </c:pt>
                <c:pt idx="44">
                  <c:v>5124.207920792079</c:v>
                </c:pt>
                <c:pt idx="45">
                  <c:v>5124.207920792079</c:v>
                </c:pt>
              </c:numCache>
            </c:numRef>
          </c:yVal>
          <c:smooth val="1"/>
        </c:ser>
        <c:ser>
          <c:idx val="2"/>
          <c:order val="2"/>
          <c:tx>
            <c:v>K-10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Chart'!$AW$3:$AW$72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379.5918367346939</c:v>
                </c:pt>
                <c:pt idx="2">
                  <c:v>379.5918367346939</c:v>
                </c:pt>
                <c:pt idx="3">
                  <c:v>379.5918367346939</c:v>
                </c:pt>
                <c:pt idx="4">
                  <c:v>912.925170068027</c:v>
                </c:pt>
                <c:pt idx="5">
                  <c:v>912.925170068027</c:v>
                </c:pt>
                <c:pt idx="6">
                  <c:v>912.925170068027</c:v>
                </c:pt>
                <c:pt idx="7">
                  <c:v>912.925170068027</c:v>
                </c:pt>
                <c:pt idx="8">
                  <c:v>912.925170068027</c:v>
                </c:pt>
                <c:pt idx="9">
                  <c:v>912.925170068027</c:v>
                </c:pt>
                <c:pt idx="10">
                  <c:v>912.925170068027</c:v>
                </c:pt>
                <c:pt idx="11">
                  <c:v>912.925170068027</c:v>
                </c:pt>
                <c:pt idx="12">
                  <c:v>912.925170068027</c:v>
                </c:pt>
                <c:pt idx="13">
                  <c:v>3372.789115646258</c:v>
                </c:pt>
                <c:pt idx="14">
                  <c:v>4053.061224489796</c:v>
                </c:pt>
                <c:pt idx="15">
                  <c:v>4087.755102040816</c:v>
                </c:pt>
                <c:pt idx="16">
                  <c:v>4189.795918367346</c:v>
                </c:pt>
                <c:pt idx="17">
                  <c:v>4410.204081632653</c:v>
                </c:pt>
                <c:pt idx="18">
                  <c:v>4410.204081632653</c:v>
                </c:pt>
                <c:pt idx="19">
                  <c:v>4410.204081632653</c:v>
                </c:pt>
                <c:pt idx="20">
                  <c:v>4410.204081632653</c:v>
                </c:pt>
                <c:pt idx="21">
                  <c:v>4410.204081632653</c:v>
                </c:pt>
                <c:pt idx="22">
                  <c:v>4410.204081632653</c:v>
                </c:pt>
                <c:pt idx="23">
                  <c:v>4410.204081632653</c:v>
                </c:pt>
                <c:pt idx="24">
                  <c:v>4410.204081632653</c:v>
                </c:pt>
                <c:pt idx="25">
                  <c:v>6357.65306122449</c:v>
                </c:pt>
                <c:pt idx="26">
                  <c:v>6534.251700680272</c:v>
                </c:pt>
                <c:pt idx="27">
                  <c:v>6534.251700680272</c:v>
                </c:pt>
                <c:pt idx="28">
                  <c:v>6534.251700680272</c:v>
                </c:pt>
                <c:pt idx="29">
                  <c:v>6534.251700680272</c:v>
                </c:pt>
                <c:pt idx="30">
                  <c:v>6534.251700680272</c:v>
                </c:pt>
                <c:pt idx="31">
                  <c:v>6534.251700680272</c:v>
                </c:pt>
                <c:pt idx="32">
                  <c:v>6534.251700680272</c:v>
                </c:pt>
                <c:pt idx="33">
                  <c:v>6534.251700680272</c:v>
                </c:pt>
                <c:pt idx="34">
                  <c:v>6534.251700680272</c:v>
                </c:pt>
                <c:pt idx="35">
                  <c:v>6534.251700680272</c:v>
                </c:pt>
                <c:pt idx="36">
                  <c:v>6534.251700680272</c:v>
                </c:pt>
                <c:pt idx="37">
                  <c:v>6534.251700680272</c:v>
                </c:pt>
                <c:pt idx="38">
                  <c:v>6534.251700680272</c:v>
                </c:pt>
                <c:pt idx="39">
                  <c:v>6534.251700680272</c:v>
                </c:pt>
                <c:pt idx="40">
                  <c:v>6666.904761904761</c:v>
                </c:pt>
                <c:pt idx="41">
                  <c:v>6666.904761904761</c:v>
                </c:pt>
                <c:pt idx="42">
                  <c:v>6666.904761904761</c:v>
                </c:pt>
                <c:pt idx="43">
                  <c:v>6666.904761904761</c:v>
                </c:pt>
                <c:pt idx="44">
                  <c:v>6666.904761904761</c:v>
                </c:pt>
                <c:pt idx="45">
                  <c:v>6666.904761904761</c:v>
                </c:pt>
              </c:numCache>
            </c:numRef>
          </c:yVal>
          <c:smooth val="1"/>
        </c:ser>
        <c:ser>
          <c:idx val="3"/>
          <c:order val="3"/>
          <c:tx>
            <c:v>K-10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Chart'!$AY$3:$AY$72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451.4285714285714</c:v>
                </c:pt>
                <c:pt idx="2">
                  <c:v>451.4285714285714</c:v>
                </c:pt>
                <c:pt idx="3">
                  <c:v>451.4285714285714</c:v>
                </c:pt>
                <c:pt idx="4">
                  <c:v>1087.619047619048</c:v>
                </c:pt>
                <c:pt idx="5">
                  <c:v>1087.619047619048</c:v>
                </c:pt>
                <c:pt idx="6">
                  <c:v>1087.619047619048</c:v>
                </c:pt>
                <c:pt idx="7">
                  <c:v>1087.619047619048</c:v>
                </c:pt>
                <c:pt idx="8">
                  <c:v>1087.619047619048</c:v>
                </c:pt>
                <c:pt idx="9">
                  <c:v>1087.619047619048</c:v>
                </c:pt>
                <c:pt idx="10">
                  <c:v>2116.190476190476</c:v>
                </c:pt>
                <c:pt idx="11">
                  <c:v>2242.380952380952</c:v>
                </c:pt>
                <c:pt idx="12">
                  <c:v>2248.333333333333</c:v>
                </c:pt>
                <c:pt idx="13">
                  <c:v>2248.333333333333</c:v>
                </c:pt>
                <c:pt idx="14">
                  <c:v>2606.111111111111</c:v>
                </c:pt>
                <c:pt idx="15">
                  <c:v>2903.317460317461</c:v>
                </c:pt>
                <c:pt idx="16">
                  <c:v>2903.317460317461</c:v>
                </c:pt>
                <c:pt idx="17">
                  <c:v>2903.317460317461</c:v>
                </c:pt>
                <c:pt idx="18">
                  <c:v>2903.317460317461</c:v>
                </c:pt>
                <c:pt idx="19">
                  <c:v>2903.317460317461</c:v>
                </c:pt>
                <c:pt idx="20">
                  <c:v>2903.317460317461</c:v>
                </c:pt>
                <c:pt idx="21">
                  <c:v>2903.317460317461</c:v>
                </c:pt>
                <c:pt idx="22">
                  <c:v>3289.349206349207</c:v>
                </c:pt>
                <c:pt idx="23">
                  <c:v>3289.349206349207</c:v>
                </c:pt>
                <c:pt idx="24">
                  <c:v>3893.285714285714</c:v>
                </c:pt>
                <c:pt idx="25">
                  <c:v>3893.285714285714</c:v>
                </c:pt>
                <c:pt idx="26">
                  <c:v>3893.285714285714</c:v>
                </c:pt>
                <c:pt idx="27">
                  <c:v>3893.285714285714</c:v>
                </c:pt>
                <c:pt idx="28">
                  <c:v>3893.285714285714</c:v>
                </c:pt>
                <c:pt idx="29">
                  <c:v>4132.968253968254</c:v>
                </c:pt>
                <c:pt idx="30">
                  <c:v>4132.968253968254</c:v>
                </c:pt>
                <c:pt idx="31">
                  <c:v>4145.15873015873</c:v>
                </c:pt>
                <c:pt idx="32">
                  <c:v>4145.15873015873</c:v>
                </c:pt>
                <c:pt idx="33">
                  <c:v>4145.15873015873</c:v>
                </c:pt>
                <c:pt idx="34">
                  <c:v>4145.15873015873</c:v>
                </c:pt>
                <c:pt idx="35">
                  <c:v>4145.15873015873</c:v>
                </c:pt>
                <c:pt idx="36">
                  <c:v>4318.174603174603</c:v>
                </c:pt>
                <c:pt idx="37">
                  <c:v>4318.174603174603</c:v>
                </c:pt>
                <c:pt idx="38">
                  <c:v>4440.079365079366</c:v>
                </c:pt>
                <c:pt idx="39">
                  <c:v>4440.079365079366</c:v>
                </c:pt>
                <c:pt idx="40">
                  <c:v>4440.079365079366</c:v>
                </c:pt>
                <c:pt idx="41">
                  <c:v>4440.079365079366</c:v>
                </c:pt>
                <c:pt idx="42">
                  <c:v>4440.079365079366</c:v>
                </c:pt>
                <c:pt idx="43">
                  <c:v>4440.079365079366</c:v>
                </c:pt>
                <c:pt idx="44">
                  <c:v>4440.079365079366</c:v>
                </c:pt>
                <c:pt idx="45">
                  <c:v>4440.079365079366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238280"/>
        <c:axId val="2146241480"/>
      </c:scatterChart>
      <c:valAx>
        <c:axId val="21462382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241480"/>
        <c:crosses val="autoZero"/>
        <c:crossBetween val="midCat"/>
        <c:minorUnit val="1.0"/>
      </c:valAx>
      <c:valAx>
        <c:axId val="2146241480"/>
        <c:scaling>
          <c:orientation val="minMax"/>
          <c:min val="0.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6238280"/>
        <c:crosses val="autoZero"/>
        <c:crossBetween val="midCat"/>
      </c:valAx>
      <c:spPr>
        <a:ln w="12700" cmpd="sng"/>
      </c:spPr>
    </c:plotArea>
    <c:legend>
      <c:legendPos val="r"/>
      <c:layout>
        <c:manualLayout>
          <c:xMode val="edge"/>
          <c:yMode val="edge"/>
          <c:x val="0.109169084127642"/>
          <c:y val="0.249336760061423"/>
          <c:w val="0.097635262697426"/>
          <c:h val="0.318000144125134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span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US" sz="2400" b="1" i="0" baseline="0">
                <a:effectLst/>
              </a:rPr>
              <a:t>South Sound F1 Total Larvae Spawned, normalized</a:t>
            </a:r>
            <a:endParaRPr lang="en-US" sz="3600">
              <a:effectLst/>
            </a:endParaRPr>
          </a:p>
        </c:rich>
      </c:tx>
      <c:layout>
        <c:manualLayout>
          <c:xMode val="edge"/>
          <c:yMode val="edge"/>
          <c:x val="0.101967199275529"/>
          <c:y val="0.0985966162868635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scatterChart>
        <c:scatterStyle val="smoothMarker"/>
        <c:varyColors val="0"/>
        <c:ser>
          <c:idx val="0"/>
          <c:order val="0"/>
          <c:tx>
            <c:v>SN-6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Chart'!$BA$3:$BA$72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370.8333333333334</c:v>
                </c:pt>
                <c:pt idx="11">
                  <c:v>14754.16666666667</c:v>
                </c:pt>
                <c:pt idx="12">
                  <c:v>19004.16666666667</c:v>
                </c:pt>
                <c:pt idx="13">
                  <c:v>19035.41666666667</c:v>
                </c:pt>
                <c:pt idx="14">
                  <c:v>19035.41666666667</c:v>
                </c:pt>
                <c:pt idx="15">
                  <c:v>19035.41666666667</c:v>
                </c:pt>
                <c:pt idx="16">
                  <c:v>19035.41666666667</c:v>
                </c:pt>
                <c:pt idx="17">
                  <c:v>26712.29166666667</c:v>
                </c:pt>
                <c:pt idx="18">
                  <c:v>26712.29166666667</c:v>
                </c:pt>
                <c:pt idx="19">
                  <c:v>26959.16666666667</c:v>
                </c:pt>
                <c:pt idx="20">
                  <c:v>26959.16666666667</c:v>
                </c:pt>
                <c:pt idx="21">
                  <c:v>32092.5</c:v>
                </c:pt>
                <c:pt idx="22">
                  <c:v>32115.9375</c:v>
                </c:pt>
                <c:pt idx="23">
                  <c:v>32115.9375</c:v>
                </c:pt>
                <c:pt idx="24">
                  <c:v>32115.9375</c:v>
                </c:pt>
                <c:pt idx="25">
                  <c:v>32115.9375</c:v>
                </c:pt>
                <c:pt idx="26">
                  <c:v>32115.9375</c:v>
                </c:pt>
                <c:pt idx="27">
                  <c:v>32115.9375</c:v>
                </c:pt>
                <c:pt idx="28">
                  <c:v>32115.9375</c:v>
                </c:pt>
                <c:pt idx="29">
                  <c:v>32115.9375</c:v>
                </c:pt>
                <c:pt idx="30">
                  <c:v>32115.9375</c:v>
                </c:pt>
                <c:pt idx="31">
                  <c:v>32115.9375</c:v>
                </c:pt>
                <c:pt idx="32">
                  <c:v>32115.9375</c:v>
                </c:pt>
                <c:pt idx="33">
                  <c:v>32159.6875</c:v>
                </c:pt>
                <c:pt idx="34">
                  <c:v>32159.6875</c:v>
                </c:pt>
                <c:pt idx="35">
                  <c:v>57434.68750000001</c:v>
                </c:pt>
                <c:pt idx="36">
                  <c:v>61218.02083333334</c:v>
                </c:pt>
                <c:pt idx="37">
                  <c:v>61218.02083333334</c:v>
                </c:pt>
                <c:pt idx="38">
                  <c:v>66108.64583333334</c:v>
                </c:pt>
                <c:pt idx="39">
                  <c:v>66108.64583333334</c:v>
                </c:pt>
                <c:pt idx="40">
                  <c:v>66108.64583333334</c:v>
                </c:pt>
                <c:pt idx="41">
                  <c:v>66108.64583333334</c:v>
                </c:pt>
                <c:pt idx="42">
                  <c:v>66108.64583333334</c:v>
                </c:pt>
                <c:pt idx="43">
                  <c:v>66108.64583333334</c:v>
                </c:pt>
                <c:pt idx="44">
                  <c:v>66108.64583333334</c:v>
                </c:pt>
                <c:pt idx="45">
                  <c:v>66108.64583333334</c:v>
                </c:pt>
                <c:pt idx="46">
                  <c:v>66108.64583333334</c:v>
                </c:pt>
                <c:pt idx="47">
                  <c:v>66108.64583333334</c:v>
                </c:pt>
                <c:pt idx="48">
                  <c:v>66108.64583333334</c:v>
                </c:pt>
                <c:pt idx="49">
                  <c:v>66108.64583333334</c:v>
                </c:pt>
                <c:pt idx="50">
                  <c:v>66108.64583333334</c:v>
                </c:pt>
                <c:pt idx="51">
                  <c:v>66108.64583333334</c:v>
                </c:pt>
                <c:pt idx="52">
                  <c:v>66108.64583333334</c:v>
                </c:pt>
                <c:pt idx="53">
                  <c:v>66108.64583333334</c:v>
                </c:pt>
                <c:pt idx="54">
                  <c:v>66108.64583333334</c:v>
                </c:pt>
                <c:pt idx="55">
                  <c:v>66108.64583333334</c:v>
                </c:pt>
                <c:pt idx="56">
                  <c:v>66108.64583333334</c:v>
                </c:pt>
                <c:pt idx="57">
                  <c:v>66108.64583333334</c:v>
                </c:pt>
                <c:pt idx="58">
                  <c:v>66108.64583333334</c:v>
                </c:pt>
                <c:pt idx="59">
                  <c:v>66108.64583333334</c:v>
                </c:pt>
                <c:pt idx="60">
                  <c:v>66108.64583333334</c:v>
                </c:pt>
                <c:pt idx="61">
                  <c:v>66108.64583333334</c:v>
                </c:pt>
                <c:pt idx="62">
                  <c:v>66108.64583333334</c:v>
                </c:pt>
                <c:pt idx="63">
                  <c:v>66108.64583333334</c:v>
                </c:pt>
                <c:pt idx="64">
                  <c:v>66108.64583333334</c:v>
                </c:pt>
                <c:pt idx="65">
                  <c:v>66108.64583333334</c:v>
                </c:pt>
              </c:numCache>
            </c:numRef>
          </c:yVal>
          <c:smooth val="1"/>
        </c:ser>
        <c:ser>
          <c:idx val="1"/>
          <c:order val="1"/>
          <c:tx>
            <c:v>SN-6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Chart'!$BC$3:$BC$72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2302.222222222222</c:v>
                </c:pt>
                <c:pt idx="5">
                  <c:v>17685.55555555555</c:v>
                </c:pt>
                <c:pt idx="6">
                  <c:v>17685.55555555555</c:v>
                </c:pt>
                <c:pt idx="7">
                  <c:v>25000.55555555555</c:v>
                </c:pt>
                <c:pt idx="8">
                  <c:v>2512</c:v>
                </c:pt>
                <c:pt idx="9">
                  <c:v>2512</c:v>
                </c:pt>
                <c:pt idx="10">
                  <c:v>2512</c:v>
                </c:pt>
                <c:pt idx="11">
                  <c:v>25392.22222222221</c:v>
                </c:pt>
                <c:pt idx="12">
                  <c:v>26208.88888888888</c:v>
                </c:pt>
                <c:pt idx="13">
                  <c:v>33177.77777777777</c:v>
                </c:pt>
                <c:pt idx="14">
                  <c:v>33327.77777777777</c:v>
                </c:pt>
                <c:pt idx="15">
                  <c:v>33327.77777777777</c:v>
                </c:pt>
                <c:pt idx="16">
                  <c:v>33327.77777777777</c:v>
                </c:pt>
                <c:pt idx="17">
                  <c:v>33374.44444444444</c:v>
                </c:pt>
                <c:pt idx="18">
                  <c:v>33374.44444444444</c:v>
                </c:pt>
                <c:pt idx="19">
                  <c:v>33374.44444444444</c:v>
                </c:pt>
                <c:pt idx="20">
                  <c:v>33374.44444444444</c:v>
                </c:pt>
                <c:pt idx="21">
                  <c:v>33374.44444444444</c:v>
                </c:pt>
                <c:pt idx="22">
                  <c:v>33374.44444444444</c:v>
                </c:pt>
                <c:pt idx="23">
                  <c:v>33374.44444444444</c:v>
                </c:pt>
                <c:pt idx="24">
                  <c:v>38380.0</c:v>
                </c:pt>
                <c:pt idx="25">
                  <c:v>38380.0</c:v>
                </c:pt>
                <c:pt idx="26">
                  <c:v>54522.22222222223</c:v>
                </c:pt>
                <c:pt idx="27">
                  <c:v>54851.11111111112</c:v>
                </c:pt>
                <c:pt idx="28">
                  <c:v>54851.11111111112</c:v>
                </c:pt>
                <c:pt idx="29">
                  <c:v>54851.11111111112</c:v>
                </c:pt>
                <c:pt idx="30">
                  <c:v>54851.11111111112</c:v>
                </c:pt>
                <c:pt idx="31">
                  <c:v>54851.11111111112</c:v>
                </c:pt>
                <c:pt idx="32">
                  <c:v>54851.11111111112</c:v>
                </c:pt>
                <c:pt idx="33">
                  <c:v>54851.11111111112</c:v>
                </c:pt>
                <c:pt idx="34">
                  <c:v>54851.11111111112</c:v>
                </c:pt>
                <c:pt idx="35">
                  <c:v>54851.11111111112</c:v>
                </c:pt>
                <c:pt idx="36">
                  <c:v>62691.11111111112</c:v>
                </c:pt>
                <c:pt idx="37">
                  <c:v>62691.11111111112</c:v>
                </c:pt>
                <c:pt idx="38">
                  <c:v>66175.55555555556</c:v>
                </c:pt>
                <c:pt idx="39">
                  <c:v>66175.55555555556</c:v>
                </c:pt>
                <c:pt idx="40">
                  <c:v>72612.8888888889</c:v>
                </c:pt>
                <c:pt idx="41">
                  <c:v>72612.8888888889</c:v>
                </c:pt>
                <c:pt idx="42">
                  <c:v>72612.8888888889</c:v>
                </c:pt>
                <c:pt idx="43">
                  <c:v>72612.8888888889</c:v>
                </c:pt>
                <c:pt idx="44">
                  <c:v>72612.8888888889</c:v>
                </c:pt>
                <c:pt idx="45">
                  <c:v>72612.8888888889</c:v>
                </c:pt>
                <c:pt idx="46">
                  <c:v>72612.8888888889</c:v>
                </c:pt>
                <c:pt idx="47">
                  <c:v>72612.8888888889</c:v>
                </c:pt>
                <c:pt idx="48">
                  <c:v>72612.8888888889</c:v>
                </c:pt>
                <c:pt idx="49">
                  <c:v>72612.8888888889</c:v>
                </c:pt>
                <c:pt idx="50">
                  <c:v>72612.8888888889</c:v>
                </c:pt>
                <c:pt idx="51">
                  <c:v>72612.8888888889</c:v>
                </c:pt>
                <c:pt idx="52">
                  <c:v>72612.8888888889</c:v>
                </c:pt>
                <c:pt idx="53">
                  <c:v>72612.8888888889</c:v>
                </c:pt>
                <c:pt idx="54">
                  <c:v>72612.8888888889</c:v>
                </c:pt>
                <c:pt idx="55">
                  <c:v>72612.8888888889</c:v>
                </c:pt>
                <c:pt idx="56">
                  <c:v>72612.8888888889</c:v>
                </c:pt>
                <c:pt idx="57">
                  <c:v>72612.8888888889</c:v>
                </c:pt>
                <c:pt idx="58">
                  <c:v>72612.8888888889</c:v>
                </c:pt>
                <c:pt idx="59">
                  <c:v>72612.8888888889</c:v>
                </c:pt>
                <c:pt idx="60">
                  <c:v>72612.8888888889</c:v>
                </c:pt>
                <c:pt idx="61">
                  <c:v>72612.8888888889</c:v>
                </c:pt>
                <c:pt idx="62">
                  <c:v>72612.8888888889</c:v>
                </c:pt>
                <c:pt idx="63">
                  <c:v>72612.8888888889</c:v>
                </c:pt>
                <c:pt idx="64">
                  <c:v>72612.8888888889</c:v>
                </c:pt>
                <c:pt idx="65">
                  <c:v>72612.8888888889</c:v>
                </c:pt>
              </c:numCache>
            </c:numRef>
          </c:yVal>
          <c:smooth val="1"/>
        </c:ser>
        <c:ser>
          <c:idx val="2"/>
          <c:order val="2"/>
          <c:tx>
            <c:v>SN-10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Chart'!$BE$3:$BE$72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3769.23076923077</c:v>
                </c:pt>
                <c:pt idx="5">
                  <c:v>6740.384615384615</c:v>
                </c:pt>
                <c:pt idx="6">
                  <c:v>6740.384615384615</c:v>
                </c:pt>
                <c:pt idx="7">
                  <c:v>22399.35897435898</c:v>
                </c:pt>
                <c:pt idx="8">
                  <c:v>22837.82051282052</c:v>
                </c:pt>
                <c:pt idx="9">
                  <c:v>22837.82051282052</c:v>
                </c:pt>
                <c:pt idx="10">
                  <c:v>33645.51282051282</c:v>
                </c:pt>
                <c:pt idx="11">
                  <c:v>40271.15384615384</c:v>
                </c:pt>
                <c:pt idx="12">
                  <c:v>40271.15384615384</c:v>
                </c:pt>
                <c:pt idx="13">
                  <c:v>42871.15384615384</c:v>
                </c:pt>
                <c:pt idx="14">
                  <c:v>42871.15384615384</c:v>
                </c:pt>
                <c:pt idx="15">
                  <c:v>42871.15384615384</c:v>
                </c:pt>
                <c:pt idx="16">
                  <c:v>47322.4358974359</c:v>
                </c:pt>
                <c:pt idx="17">
                  <c:v>53351.28205128205</c:v>
                </c:pt>
                <c:pt idx="18">
                  <c:v>53351.28205128205</c:v>
                </c:pt>
                <c:pt idx="19">
                  <c:v>53524.35897435898</c:v>
                </c:pt>
                <c:pt idx="20">
                  <c:v>53524.35897435898</c:v>
                </c:pt>
                <c:pt idx="21">
                  <c:v>68062.82051282051</c:v>
                </c:pt>
                <c:pt idx="22">
                  <c:v>68062.82051282051</c:v>
                </c:pt>
                <c:pt idx="23">
                  <c:v>68062.82051282051</c:v>
                </c:pt>
                <c:pt idx="24">
                  <c:v>68062.82051282051</c:v>
                </c:pt>
                <c:pt idx="25">
                  <c:v>68062.82051282051</c:v>
                </c:pt>
                <c:pt idx="26">
                  <c:v>68062.82051282051</c:v>
                </c:pt>
                <c:pt idx="27">
                  <c:v>68062.82051282051</c:v>
                </c:pt>
                <c:pt idx="28">
                  <c:v>68062.82051282051</c:v>
                </c:pt>
                <c:pt idx="29">
                  <c:v>68062.82051282051</c:v>
                </c:pt>
                <c:pt idx="30">
                  <c:v>68062.82051282051</c:v>
                </c:pt>
                <c:pt idx="31">
                  <c:v>68062.82051282051</c:v>
                </c:pt>
                <c:pt idx="32">
                  <c:v>68062.82051282051</c:v>
                </c:pt>
                <c:pt idx="33">
                  <c:v>68062.82051282051</c:v>
                </c:pt>
                <c:pt idx="34">
                  <c:v>68062.82051282051</c:v>
                </c:pt>
                <c:pt idx="35">
                  <c:v>82577.1794871795</c:v>
                </c:pt>
                <c:pt idx="36">
                  <c:v>87500.25641025642</c:v>
                </c:pt>
                <c:pt idx="37">
                  <c:v>87500.25641025642</c:v>
                </c:pt>
                <c:pt idx="38">
                  <c:v>87572.05128205128</c:v>
                </c:pt>
                <c:pt idx="39">
                  <c:v>87572.05128205128</c:v>
                </c:pt>
                <c:pt idx="40">
                  <c:v>87572.05128205128</c:v>
                </c:pt>
                <c:pt idx="41">
                  <c:v>87572.05128205128</c:v>
                </c:pt>
                <c:pt idx="42">
                  <c:v>87572.05128205128</c:v>
                </c:pt>
                <c:pt idx="43">
                  <c:v>87605.3846153846</c:v>
                </c:pt>
                <c:pt idx="44">
                  <c:v>87605.3846153846</c:v>
                </c:pt>
                <c:pt idx="45">
                  <c:v>91277.17948717948</c:v>
                </c:pt>
                <c:pt idx="46">
                  <c:v>91277.17948717948</c:v>
                </c:pt>
                <c:pt idx="47">
                  <c:v>91277.17948717948</c:v>
                </c:pt>
                <c:pt idx="48">
                  <c:v>91277.17948717948</c:v>
                </c:pt>
                <c:pt idx="49">
                  <c:v>91277.17948717948</c:v>
                </c:pt>
                <c:pt idx="50">
                  <c:v>91277.17948717948</c:v>
                </c:pt>
                <c:pt idx="51">
                  <c:v>91277.17948717948</c:v>
                </c:pt>
                <c:pt idx="52">
                  <c:v>91277.17948717948</c:v>
                </c:pt>
                <c:pt idx="53">
                  <c:v>91277.17948717948</c:v>
                </c:pt>
                <c:pt idx="54">
                  <c:v>91277.17948717948</c:v>
                </c:pt>
                <c:pt idx="55">
                  <c:v>91277.17948717948</c:v>
                </c:pt>
                <c:pt idx="56">
                  <c:v>91277.17948717948</c:v>
                </c:pt>
                <c:pt idx="57">
                  <c:v>91277.17948717948</c:v>
                </c:pt>
                <c:pt idx="58">
                  <c:v>91277.17948717948</c:v>
                </c:pt>
                <c:pt idx="59">
                  <c:v>91277.17948717948</c:v>
                </c:pt>
                <c:pt idx="60">
                  <c:v>91277.17948717948</c:v>
                </c:pt>
                <c:pt idx="61">
                  <c:v>91277.17948717948</c:v>
                </c:pt>
                <c:pt idx="62">
                  <c:v>91277.17948717948</c:v>
                </c:pt>
                <c:pt idx="63">
                  <c:v>91277.17948717948</c:v>
                </c:pt>
                <c:pt idx="64">
                  <c:v>91277.17948717948</c:v>
                </c:pt>
                <c:pt idx="65">
                  <c:v>91277.17948717948</c:v>
                </c:pt>
              </c:numCache>
            </c:numRef>
          </c:yVal>
          <c:smooth val="1"/>
        </c:ser>
        <c:ser>
          <c:idx val="3"/>
          <c:order val="3"/>
          <c:tx>
            <c:v>SN-10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Chart'!$BG$4:$BG$72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2602.150537634408</c:v>
                </c:pt>
                <c:pt idx="4">
                  <c:v>20489.24731182796</c:v>
                </c:pt>
                <c:pt idx="5">
                  <c:v>20489.24731182796</c:v>
                </c:pt>
                <c:pt idx="6">
                  <c:v>22502.15053763441</c:v>
                </c:pt>
                <c:pt idx="7">
                  <c:v>22695.69892473118</c:v>
                </c:pt>
                <c:pt idx="8">
                  <c:v>29198.9247311828</c:v>
                </c:pt>
                <c:pt idx="9">
                  <c:v>39466.45161290323</c:v>
                </c:pt>
                <c:pt idx="10">
                  <c:v>60180.43010752689</c:v>
                </c:pt>
                <c:pt idx="11">
                  <c:v>60290.10752688172</c:v>
                </c:pt>
                <c:pt idx="12">
                  <c:v>61524.51612903226</c:v>
                </c:pt>
                <c:pt idx="13">
                  <c:v>61524.51612903226</c:v>
                </c:pt>
                <c:pt idx="14">
                  <c:v>61524.51612903226</c:v>
                </c:pt>
                <c:pt idx="15">
                  <c:v>61524.51612903226</c:v>
                </c:pt>
                <c:pt idx="16">
                  <c:v>61524.51612903226</c:v>
                </c:pt>
                <c:pt idx="17">
                  <c:v>61524.51612903226</c:v>
                </c:pt>
                <c:pt idx="18">
                  <c:v>61524.51612903226</c:v>
                </c:pt>
                <c:pt idx="19">
                  <c:v>61524.51612903226</c:v>
                </c:pt>
                <c:pt idx="20">
                  <c:v>61524.51612903226</c:v>
                </c:pt>
                <c:pt idx="21">
                  <c:v>74647.09677419355</c:v>
                </c:pt>
                <c:pt idx="22">
                  <c:v>74647.09677419355</c:v>
                </c:pt>
                <c:pt idx="23">
                  <c:v>90907.74193548389</c:v>
                </c:pt>
                <c:pt idx="24">
                  <c:v>96780.32258064516</c:v>
                </c:pt>
                <c:pt idx="25">
                  <c:v>96780.32258064516</c:v>
                </c:pt>
                <c:pt idx="26">
                  <c:v>96983.54838709677</c:v>
                </c:pt>
                <c:pt idx="27">
                  <c:v>96983.54838709677</c:v>
                </c:pt>
                <c:pt idx="28">
                  <c:v>96983.54838709677</c:v>
                </c:pt>
                <c:pt idx="29">
                  <c:v>96983.54838709677</c:v>
                </c:pt>
                <c:pt idx="30">
                  <c:v>96983.54838709677</c:v>
                </c:pt>
                <c:pt idx="31">
                  <c:v>96983.54838709677</c:v>
                </c:pt>
                <c:pt idx="32">
                  <c:v>96983.54838709677</c:v>
                </c:pt>
                <c:pt idx="33">
                  <c:v>96983.54838709677</c:v>
                </c:pt>
                <c:pt idx="34">
                  <c:v>99185.16129032258</c:v>
                </c:pt>
                <c:pt idx="35">
                  <c:v>101696.9892473118</c:v>
                </c:pt>
                <c:pt idx="36">
                  <c:v>101696.9892473118</c:v>
                </c:pt>
                <c:pt idx="37">
                  <c:v>101734.623655914</c:v>
                </c:pt>
                <c:pt idx="38">
                  <c:v>101734.623655914</c:v>
                </c:pt>
                <c:pt idx="39">
                  <c:v>101734.623655914</c:v>
                </c:pt>
                <c:pt idx="40">
                  <c:v>101734.623655914</c:v>
                </c:pt>
                <c:pt idx="41">
                  <c:v>101734.623655914</c:v>
                </c:pt>
                <c:pt idx="42">
                  <c:v>101734.623655914</c:v>
                </c:pt>
                <c:pt idx="43">
                  <c:v>101734.623655914</c:v>
                </c:pt>
                <c:pt idx="44">
                  <c:v>101734.623655914</c:v>
                </c:pt>
                <c:pt idx="45">
                  <c:v>101734.623655914</c:v>
                </c:pt>
                <c:pt idx="46">
                  <c:v>101734.623655914</c:v>
                </c:pt>
                <c:pt idx="47">
                  <c:v>101734.623655914</c:v>
                </c:pt>
                <c:pt idx="48">
                  <c:v>101734.623655914</c:v>
                </c:pt>
                <c:pt idx="49">
                  <c:v>101734.623655914</c:v>
                </c:pt>
                <c:pt idx="50">
                  <c:v>101734.623655914</c:v>
                </c:pt>
                <c:pt idx="51">
                  <c:v>101734.623655914</c:v>
                </c:pt>
                <c:pt idx="52">
                  <c:v>101734.623655914</c:v>
                </c:pt>
                <c:pt idx="53">
                  <c:v>101734.623655914</c:v>
                </c:pt>
                <c:pt idx="54">
                  <c:v>101734.623655914</c:v>
                </c:pt>
                <c:pt idx="55">
                  <c:v>101748.064516129</c:v>
                </c:pt>
                <c:pt idx="56">
                  <c:v>110350.2150537634</c:v>
                </c:pt>
                <c:pt idx="57">
                  <c:v>110350.2150537634</c:v>
                </c:pt>
                <c:pt idx="58">
                  <c:v>110350.2150537634</c:v>
                </c:pt>
                <c:pt idx="59">
                  <c:v>110350.2150537634</c:v>
                </c:pt>
                <c:pt idx="60">
                  <c:v>110356.6666666666</c:v>
                </c:pt>
                <c:pt idx="61">
                  <c:v>110356.6666666666</c:v>
                </c:pt>
                <c:pt idx="62">
                  <c:v>110356.6666666666</c:v>
                </c:pt>
                <c:pt idx="63">
                  <c:v>110356.6666666666</c:v>
                </c:pt>
                <c:pt idx="64">
                  <c:v>110356.6666666666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287368"/>
        <c:axId val="2146290584"/>
      </c:scatterChart>
      <c:valAx>
        <c:axId val="21462873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290584"/>
        <c:crosses val="autoZero"/>
        <c:crossBetween val="midCat"/>
        <c:minorUnit val="1.0"/>
      </c:valAx>
      <c:valAx>
        <c:axId val="2146290584"/>
        <c:scaling>
          <c:orientation val="minMax"/>
          <c:min val="0.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6287368"/>
        <c:crosses val="autoZero"/>
        <c:crossBetween val="midCat"/>
      </c:valAx>
      <c:spPr>
        <a:ln w="12700" cmpd="sng"/>
      </c:spPr>
    </c:plotArea>
    <c:legend>
      <c:legendPos val="r"/>
      <c:layout>
        <c:manualLayout>
          <c:xMode val="edge"/>
          <c:yMode val="edge"/>
          <c:x val="0.109169084127642"/>
          <c:y val="0.249336760061423"/>
          <c:w val="0.123847753679913"/>
          <c:h val="0.297325143241741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span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US" sz="2400" b="1" i="0" baseline="0">
                <a:effectLst/>
              </a:rPr>
              <a:t>North Puget Sound Total Larvae Spawned</a:t>
            </a:r>
            <a:endParaRPr lang="en-US" sz="3600">
              <a:effectLst/>
            </a:endParaRPr>
          </a:p>
        </c:rich>
      </c:tx>
      <c:layout>
        <c:manualLayout>
          <c:xMode val="edge"/>
          <c:yMode val="edge"/>
          <c:x val="0.118536400055256"/>
          <c:y val="0.0985966162868635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723452258441206"/>
          <c:y val="0.100628769438226"/>
          <c:w val="0.904005813794544"/>
          <c:h val="0.831874835116291"/>
        </c:manualLayout>
      </c:layout>
      <c:scatterChart>
        <c:scatterStyle val="smoothMarker"/>
        <c:varyColors val="0"/>
        <c:ser>
          <c:idx val="0"/>
          <c:order val="0"/>
          <c:tx>
            <c:v>NF-6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Chart'!$BI$3:$BI$72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12825.0</c:v>
                </c:pt>
                <c:pt idx="16">
                  <c:v>20758.33333333333</c:v>
                </c:pt>
                <c:pt idx="17">
                  <c:v>21092.36111111111</c:v>
                </c:pt>
                <c:pt idx="18">
                  <c:v>21092.36111111111</c:v>
                </c:pt>
                <c:pt idx="19">
                  <c:v>21092.36111111111</c:v>
                </c:pt>
                <c:pt idx="20">
                  <c:v>21092.36111111111</c:v>
                </c:pt>
                <c:pt idx="21">
                  <c:v>21092.36111111111</c:v>
                </c:pt>
                <c:pt idx="22">
                  <c:v>21092.36111111111</c:v>
                </c:pt>
                <c:pt idx="23">
                  <c:v>21092.36111111111</c:v>
                </c:pt>
                <c:pt idx="24">
                  <c:v>21092.36111111111</c:v>
                </c:pt>
                <c:pt idx="25">
                  <c:v>21092.36111111111</c:v>
                </c:pt>
                <c:pt idx="26">
                  <c:v>28167.36111111111</c:v>
                </c:pt>
                <c:pt idx="27">
                  <c:v>30192.84722222222</c:v>
                </c:pt>
                <c:pt idx="28">
                  <c:v>30192.84722222222</c:v>
                </c:pt>
                <c:pt idx="29">
                  <c:v>30192.84722222222</c:v>
                </c:pt>
                <c:pt idx="30">
                  <c:v>30192.84722222222</c:v>
                </c:pt>
                <c:pt idx="31">
                  <c:v>40481.73611111111</c:v>
                </c:pt>
                <c:pt idx="32">
                  <c:v>40481.73611111111</c:v>
                </c:pt>
                <c:pt idx="33">
                  <c:v>40873.40277777777</c:v>
                </c:pt>
                <c:pt idx="34">
                  <c:v>40873.40277777777</c:v>
                </c:pt>
                <c:pt idx="35">
                  <c:v>40873.40277777777</c:v>
                </c:pt>
                <c:pt idx="36">
                  <c:v>40873.40277777777</c:v>
                </c:pt>
                <c:pt idx="37">
                  <c:v>40873.40277777777</c:v>
                </c:pt>
                <c:pt idx="38">
                  <c:v>40873.40277777777</c:v>
                </c:pt>
                <c:pt idx="39">
                  <c:v>40873.40277777777</c:v>
                </c:pt>
                <c:pt idx="40">
                  <c:v>46790.06944444445</c:v>
                </c:pt>
                <c:pt idx="41">
                  <c:v>46790.06944444445</c:v>
                </c:pt>
                <c:pt idx="42">
                  <c:v>46790.06944444445</c:v>
                </c:pt>
                <c:pt idx="43">
                  <c:v>46827.10648148149</c:v>
                </c:pt>
                <c:pt idx="44">
                  <c:v>46827.10648148149</c:v>
                </c:pt>
                <c:pt idx="45">
                  <c:v>46827.10648148149</c:v>
                </c:pt>
                <c:pt idx="46">
                  <c:v>46827.10648148149</c:v>
                </c:pt>
                <c:pt idx="47">
                  <c:v>46827.10648148149</c:v>
                </c:pt>
                <c:pt idx="48">
                  <c:v>46827.10648148149</c:v>
                </c:pt>
                <c:pt idx="49">
                  <c:v>46827.10648148149</c:v>
                </c:pt>
                <c:pt idx="50">
                  <c:v>46827.10648148149</c:v>
                </c:pt>
                <c:pt idx="51">
                  <c:v>46827.10648148149</c:v>
                </c:pt>
                <c:pt idx="52">
                  <c:v>46827.10648148149</c:v>
                </c:pt>
                <c:pt idx="53">
                  <c:v>46827.10648148149</c:v>
                </c:pt>
                <c:pt idx="54">
                  <c:v>46827.10648148149</c:v>
                </c:pt>
                <c:pt idx="55">
                  <c:v>46827.10648148149</c:v>
                </c:pt>
                <c:pt idx="56">
                  <c:v>46827.10648148149</c:v>
                </c:pt>
                <c:pt idx="57">
                  <c:v>46827.10648148149</c:v>
                </c:pt>
                <c:pt idx="58">
                  <c:v>46827.10648148149</c:v>
                </c:pt>
                <c:pt idx="59">
                  <c:v>46827.10648148149</c:v>
                </c:pt>
                <c:pt idx="60">
                  <c:v>46827.10648148149</c:v>
                </c:pt>
                <c:pt idx="61">
                  <c:v>59449.32870370371</c:v>
                </c:pt>
                <c:pt idx="62">
                  <c:v>59449.32870370371</c:v>
                </c:pt>
                <c:pt idx="63">
                  <c:v>59449.32870370371</c:v>
                </c:pt>
                <c:pt idx="64">
                  <c:v>59449.32870370371</c:v>
                </c:pt>
                <c:pt idx="65">
                  <c:v>59449.32870370371</c:v>
                </c:pt>
              </c:numCache>
            </c:numRef>
          </c:yVal>
          <c:smooth val="1"/>
        </c:ser>
        <c:ser>
          <c:idx val="1"/>
          <c:order val="1"/>
          <c:tx>
            <c:v>NF-6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Chart'!$BK$3:$BK$72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13.46153846153846</c:v>
                </c:pt>
                <c:pt idx="10">
                  <c:v>13.46153846153846</c:v>
                </c:pt>
                <c:pt idx="11">
                  <c:v>13.46153846153846</c:v>
                </c:pt>
                <c:pt idx="12">
                  <c:v>31.41025641025641</c:v>
                </c:pt>
                <c:pt idx="13">
                  <c:v>31.41025641025641</c:v>
                </c:pt>
                <c:pt idx="14">
                  <c:v>31.41025641025641</c:v>
                </c:pt>
                <c:pt idx="15">
                  <c:v>446.7948717948718</c:v>
                </c:pt>
                <c:pt idx="16">
                  <c:v>5823.717948717948</c:v>
                </c:pt>
                <c:pt idx="17">
                  <c:v>6232.371794871795</c:v>
                </c:pt>
                <c:pt idx="18">
                  <c:v>6232.371794871795</c:v>
                </c:pt>
                <c:pt idx="19">
                  <c:v>10628.52564102564</c:v>
                </c:pt>
                <c:pt idx="20">
                  <c:v>10628.52564102564</c:v>
                </c:pt>
                <c:pt idx="21">
                  <c:v>10679.80769230769</c:v>
                </c:pt>
                <c:pt idx="22">
                  <c:v>10679.80769230769</c:v>
                </c:pt>
                <c:pt idx="23">
                  <c:v>10679.80769230769</c:v>
                </c:pt>
                <c:pt idx="24">
                  <c:v>10679.80769230769</c:v>
                </c:pt>
                <c:pt idx="25">
                  <c:v>10679.80769230769</c:v>
                </c:pt>
                <c:pt idx="26">
                  <c:v>10679.80769230769</c:v>
                </c:pt>
                <c:pt idx="27">
                  <c:v>10679.80769230769</c:v>
                </c:pt>
                <c:pt idx="28">
                  <c:v>10679.80769230769</c:v>
                </c:pt>
                <c:pt idx="29">
                  <c:v>10679.80769230769</c:v>
                </c:pt>
                <c:pt idx="30">
                  <c:v>10679.80769230769</c:v>
                </c:pt>
                <c:pt idx="31">
                  <c:v>10679.80769230769</c:v>
                </c:pt>
                <c:pt idx="32">
                  <c:v>10679.80769230769</c:v>
                </c:pt>
                <c:pt idx="33">
                  <c:v>10679.80769230769</c:v>
                </c:pt>
                <c:pt idx="34">
                  <c:v>10679.80769230769</c:v>
                </c:pt>
                <c:pt idx="35">
                  <c:v>10679.80769230769</c:v>
                </c:pt>
                <c:pt idx="36">
                  <c:v>10679.80769230769</c:v>
                </c:pt>
                <c:pt idx="37">
                  <c:v>10679.80769230769</c:v>
                </c:pt>
                <c:pt idx="38">
                  <c:v>10679.80769230769</c:v>
                </c:pt>
                <c:pt idx="39">
                  <c:v>10679.80769230769</c:v>
                </c:pt>
                <c:pt idx="40">
                  <c:v>10679.80769230769</c:v>
                </c:pt>
                <c:pt idx="41">
                  <c:v>10679.80769230769</c:v>
                </c:pt>
                <c:pt idx="42">
                  <c:v>10679.80769230769</c:v>
                </c:pt>
                <c:pt idx="43">
                  <c:v>10681.08974358974</c:v>
                </c:pt>
                <c:pt idx="44">
                  <c:v>10681.08974358974</c:v>
                </c:pt>
                <c:pt idx="45">
                  <c:v>10681.08974358974</c:v>
                </c:pt>
                <c:pt idx="46">
                  <c:v>10681.08974358974</c:v>
                </c:pt>
                <c:pt idx="47">
                  <c:v>10681.08974358974</c:v>
                </c:pt>
                <c:pt idx="48">
                  <c:v>10681.08974358974</c:v>
                </c:pt>
                <c:pt idx="49">
                  <c:v>10681.08974358974</c:v>
                </c:pt>
                <c:pt idx="50">
                  <c:v>10681.08974358974</c:v>
                </c:pt>
                <c:pt idx="51">
                  <c:v>10681.08974358974</c:v>
                </c:pt>
                <c:pt idx="52">
                  <c:v>10681.08974358974</c:v>
                </c:pt>
                <c:pt idx="53">
                  <c:v>10681.08974358974</c:v>
                </c:pt>
                <c:pt idx="54">
                  <c:v>10681.08974358974</c:v>
                </c:pt>
                <c:pt idx="55">
                  <c:v>10681.08974358974</c:v>
                </c:pt>
                <c:pt idx="56">
                  <c:v>10681.08974358974</c:v>
                </c:pt>
                <c:pt idx="57">
                  <c:v>10681.08974358974</c:v>
                </c:pt>
                <c:pt idx="58">
                  <c:v>10681.08974358974</c:v>
                </c:pt>
                <c:pt idx="59">
                  <c:v>10681.08974358974</c:v>
                </c:pt>
                <c:pt idx="60">
                  <c:v>10681.08974358974</c:v>
                </c:pt>
                <c:pt idx="61">
                  <c:v>10681.08974358974</c:v>
                </c:pt>
                <c:pt idx="62">
                  <c:v>10681.08974358974</c:v>
                </c:pt>
                <c:pt idx="63">
                  <c:v>10681.08974358974</c:v>
                </c:pt>
                <c:pt idx="64">
                  <c:v>10681.08974358974</c:v>
                </c:pt>
                <c:pt idx="65">
                  <c:v>10681.08974358974</c:v>
                </c:pt>
              </c:numCache>
            </c:numRef>
          </c:yVal>
          <c:smooth val="1"/>
        </c:ser>
        <c:ser>
          <c:idx val="2"/>
          <c:order val="2"/>
          <c:tx>
            <c:v>NF-10 Low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Chart'!$BM$3:$BM$72</c:f>
              <c:numCache>
                <c:formatCode>_(* #,##0_);_(* \(#,##0\);_(* "-"??_);_(@_)</c:formatCode>
                <c:ptCount val="7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4514.285714285715</c:v>
                </c:pt>
                <c:pt idx="12">
                  <c:v>4535.119047619047</c:v>
                </c:pt>
                <c:pt idx="13">
                  <c:v>4616.071428571428</c:v>
                </c:pt>
                <c:pt idx="14">
                  <c:v>11263.69047619048</c:v>
                </c:pt>
                <c:pt idx="15">
                  <c:v>11263.69047619048</c:v>
                </c:pt>
                <c:pt idx="16">
                  <c:v>11263.69047619048</c:v>
                </c:pt>
                <c:pt idx="17">
                  <c:v>11440.77380952381</c:v>
                </c:pt>
                <c:pt idx="18">
                  <c:v>11440.77380952381</c:v>
                </c:pt>
                <c:pt idx="19">
                  <c:v>11440.77380952381</c:v>
                </c:pt>
                <c:pt idx="20">
                  <c:v>11440.77380952381</c:v>
                </c:pt>
                <c:pt idx="21">
                  <c:v>11440.77380952381</c:v>
                </c:pt>
                <c:pt idx="22">
                  <c:v>11493.15476190476</c:v>
                </c:pt>
                <c:pt idx="23">
                  <c:v>11493.15476190476</c:v>
                </c:pt>
                <c:pt idx="24">
                  <c:v>14159.82142857143</c:v>
                </c:pt>
                <c:pt idx="25">
                  <c:v>14202.67857142857</c:v>
                </c:pt>
                <c:pt idx="26">
                  <c:v>14202.67857142857</c:v>
                </c:pt>
                <c:pt idx="27">
                  <c:v>14202.67857142857</c:v>
                </c:pt>
                <c:pt idx="28">
                  <c:v>14202.67857142857</c:v>
                </c:pt>
                <c:pt idx="29">
                  <c:v>14202.67857142857</c:v>
                </c:pt>
                <c:pt idx="30">
                  <c:v>14202.67857142857</c:v>
                </c:pt>
                <c:pt idx="31">
                  <c:v>14202.67857142857</c:v>
                </c:pt>
                <c:pt idx="32">
                  <c:v>14202.67857142857</c:v>
                </c:pt>
                <c:pt idx="33">
                  <c:v>14202.67857142857</c:v>
                </c:pt>
                <c:pt idx="34">
                  <c:v>14202.67857142857</c:v>
                </c:pt>
                <c:pt idx="35">
                  <c:v>14202.67857142857</c:v>
                </c:pt>
                <c:pt idx="36">
                  <c:v>14202.67857142857</c:v>
                </c:pt>
                <c:pt idx="37">
                  <c:v>14202.67857142857</c:v>
                </c:pt>
                <c:pt idx="38">
                  <c:v>14202.67857142857</c:v>
                </c:pt>
                <c:pt idx="39">
                  <c:v>14202.67857142857</c:v>
                </c:pt>
                <c:pt idx="40">
                  <c:v>14202.67857142857</c:v>
                </c:pt>
                <c:pt idx="41">
                  <c:v>14202.67857142857</c:v>
                </c:pt>
                <c:pt idx="42">
                  <c:v>14202.67857142857</c:v>
                </c:pt>
                <c:pt idx="43">
                  <c:v>14202.67857142857</c:v>
                </c:pt>
                <c:pt idx="44">
                  <c:v>14202.67857142857</c:v>
                </c:pt>
                <c:pt idx="45">
                  <c:v>14202.67857142857</c:v>
                </c:pt>
                <c:pt idx="46">
                  <c:v>14202.67857142857</c:v>
                </c:pt>
                <c:pt idx="47">
                  <c:v>14202.67857142857</c:v>
                </c:pt>
                <c:pt idx="48">
                  <c:v>14202.67857142857</c:v>
                </c:pt>
                <c:pt idx="49">
                  <c:v>14202.67857142857</c:v>
                </c:pt>
                <c:pt idx="50">
                  <c:v>14202.67857142857</c:v>
                </c:pt>
                <c:pt idx="51">
                  <c:v>14202.67857142857</c:v>
                </c:pt>
                <c:pt idx="52">
                  <c:v>14202.67857142857</c:v>
                </c:pt>
                <c:pt idx="53">
                  <c:v>14202.67857142857</c:v>
                </c:pt>
                <c:pt idx="54">
                  <c:v>15701.19047619048</c:v>
                </c:pt>
                <c:pt idx="55">
                  <c:v>15701.19047619048</c:v>
                </c:pt>
                <c:pt idx="56">
                  <c:v>15701.19047619048</c:v>
                </c:pt>
                <c:pt idx="57">
                  <c:v>15701.19047619048</c:v>
                </c:pt>
                <c:pt idx="58">
                  <c:v>15701.19047619048</c:v>
                </c:pt>
                <c:pt idx="59">
                  <c:v>15701.19047619048</c:v>
                </c:pt>
                <c:pt idx="60">
                  <c:v>15701.19047619048</c:v>
                </c:pt>
                <c:pt idx="61">
                  <c:v>15708.63095238095</c:v>
                </c:pt>
                <c:pt idx="62">
                  <c:v>15708.63095238095</c:v>
                </c:pt>
                <c:pt idx="63">
                  <c:v>15708.63095238095</c:v>
                </c:pt>
                <c:pt idx="64">
                  <c:v>15708.63095238095</c:v>
                </c:pt>
                <c:pt idx="65">
                  <c:v>15708.63095238095</c:v>
                </c:pt>
              </c:numCache>
            </c:numRef>
          </c:yVal>
          <c:smooth val="1"/>
        </c:ser>
        <c:ser>
          <c:idx val="3"/>
          <c:order val="3"/>
          <c:tx>
            <c:v>NF-10 Ambient</c:v>
          </c:tx>
          <c:marker>
            <c:symbol val="none"/>
          </c:marker>
          <c:xVal>
            <c:numRef>
              <c:f>'Date Chart'!$A$3:$A$72</c:f>
              <c:numCache>
                <c:formatCode>m/d/yy</c:formatCode>
                <c:ptCount val="70"/>
                <c:pt idx="0">
                  <c:v>42865.0</c:v>
                </c:pt>
                <c:pt idx="1">
                  <c:v>42866.0</c:v>
                </c:pt>
                <c:pt idx="2">
                  <c:v>42867.0</c:v>
                </c:pt>
                <c:pt idx="3">
                  <c:v>42868.0</c:v>
                </c:pt>
                <c:pt idx="4">
                  <c:v>42869.0</c:v>
                </c:pt>
                <c:pt idx="5">
                  <c:v>42870.0</c:v>
                </c:pt>
                <c:pt idx="6">
                  <c:v>42871.0</c:v>
                </c:pt>
                <c:pt idx="7">
                  <c:v>42872.0</c:v>
                </c:pt>
                <c:pt idx="8">
                  <c:v>42873.0</c:v>
                </c:pt>
                <c:pt idx="9">
                  <c:v>42874.0</c:v>
                </c:pt>
                <c:pt idx="10">
                  <c:v>42875.0</c:v>
                </c:pt>
                <c:pt idx="11">
                  <c:v>42876.0</c:v>
                </c:pt>
                <c:pt idx="12">
                  <c:v>42877.0</c:v>
                </c:pt>
                <c:pt idx="13">
                  <c:v>42878.0</c:v>
                </c:pt>
                <c:pt idx="14">
                  <c:v>42879.0</c:v>
                </c:pt>
                <c:pt idx="15">
                  <c:v>42880.0</c:v>
                </c:pt>
                <c:pt idx="16">
                  <c:v>42881.0</c:v>
                </c:pt>
                <c:pt idx="17">
                  <c:v>42882.0</c:v>
                </c:pt>
                <c:pt idx="18">
                  <c:v>42883.0</c:v>
                </c:pt>
                <c:pt idx="19">
                  <c:v>42884.0</c:v>
                </c:pt>
                <c:pt idx="20">
                  <c:v>42885.0</c:v>
                </c:pt>
                <c:pt idx="21">
                  <c:v>42886.0</c:v>
                </c:pt>
                <c:pt idx="22">
                  <c:v>42887.0</c:v>
                </c:pt>
                <c:pt idx="23">
                  <c:v>42888.0</c:v>
                </c:pt>
                <c:pt idx="24">
                  <c:v>42889.0</c:v>
                </c:pt>
                <c:pt idx="25">
                  <c:v>42890.0</c:v>
                </c:pt>
                <c:pt idx="26">
                  <c:v>42891.0</c:v>
                </c:pt>
                <c:pt idx="27">
                  <c:v>42892.0</c:v>
                </c:pt>
                <c:pt idx="28">
                  <c:v>42893.0</c:v>
                </c:pt>
                <c:pt idx="29">
                  <c:v>42894.0</c:v>
                </c:pt>
                <c:pt idx="30">
                  <c:v>42895.0</c:v>
                </c:pt>
                <c:pt idx="31">
                  <c:v>42896.0</c:v>
                </c:pt>
                <c:pt idx="32">
                  <c:v>42897.0</c:v>
                </c:pt>
                <c:pt idx="33">
                  <c:v>42898.0</c:v>
                </c:pt>
                <c:pt idx="34">
                  <c:v>42899.0</c:v>
                </c:pt>
                <c:pt idx="35">
                  <c:v>42900.0</c:v>
                </c:pt>
                <c:pt idx="36">
                  <c:v>42901.0</c:v>
                </c:pt>
                <c:pt idx="37">
                  <c:v>42902.0</c:v>
                </c:pt>
                <c:pt idx="38">
                  <c:v>42903.0</c:v>
                </c:pt>
                <c:pt idx="39">
                  <c:v>42904.0</c:v>
                </c:pt>
                <c:pt idx="40">
                  <c:v>42905.0</c:v>
                </c:pt>
                <c:pt idx="41">
                  <c:v>42906.0</c:v>
                </c:pt>
                <c:pt idx="42">
                  <c:v>42907.0</c:v>
                </c:pt>
                <c:pt idx="43">
                  <c:v>42908.0</c:v>
                </c:pt>
                <c:pt idx="44">
                  <c:v>42909.0</c:v>
                </c:pt>
                <c:pt idx="45">
                  <c:v>42910.0</c:v>
                </c:pt>
                <c:pt idx="46">
                  <c:v>42911.0</c:v>
                </c:pt>
                <c:pt idx="47">
                  <c:v>42912.0</c:v>
                </c:pt>
                <c:pt idx="48">
                  <c:v>42913.0</c:v>
                </c:pt>
                <c:pt idx="49">
                  <c:v>42914.0</c:v>
                </c:pt>
                <c:pt idx="50">
                  <c:v>42915.0</c:v>
                </c:pt>
                <c:pt idx="51">
                  <c:v>42916.0</c:v>
                </c:pt>
                <c:pt idx="52">
                  <c:v>42917.0</c:v>
                </c:pt>
                <c:pt idx="53">
                  <c:v>42918.0</c:v>
                </c:pt>
                <c:pt idx="54">
                  <c:v>42919.0</c:v>
                </c:pt>
                <c:pt idx="55">
                  <c:v>42920.0</c:v>
                </c:pt>
                <c:pt idx="56">
                  <c:v>42921.0</c:v>
                </c:pt>
                <c:pt idx="57">
                  <c:v>42922.0</c:v>
                </c:pt>
                <c:pt idx="58">
                  <c:v>42923.0</c:v>
                </c:pt>
                <c:pt idx="59">
                  <c:v>42924.0</c:v>
                </c:pt>
                <c:pt idx="60">
                  <c:v>42925.0</c:v>
                </c:pt>
                <c:pt idx="61">
                  <c:v>42926.0</c:v>
                </c:pt>
                <c:pt idx="62">
                  <c:v>42927.0</c:v>
                </c:pt>
                <c:pt idx="63">
                  <c:v>42928.0</c:v>
                </c:pt>
              </c:numCache>
            </c:numRef>
          </c:xVal>
          <c:yVal>
            <c:numRef>
              <c:f>'Date Chart'!$BO$4:$BO$72</c:f>
              <c:numCache>
                <c:formatCode>_(* #,##0_);_(* \(#,##0\);_(* "-"??_);_(@_)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9098.765432098765</c:v>
                </c:pt>
                <c:pt idx="7">
                  <c:v>9135.8024691358</c:v>
                </c:pt>
                <c:pt idx="8">
                  <c:v>9135.8024691358</c:v>
                </c:pt>
                <c:pt idx="9">
                  <c:v>9135.8024691358</c:v>
                </c:pt>
                <c:pt idx="10">
                  <c:v>9135.8024691358</c:v>
                </c:pt>
                <c:pt idx="11">
                  <c:v>9135.8024691358</c:v>
                </c:pt>
                <c:pt idx="12">
                  <c:v>9135.8024691358</c:v>
                </c:pt>
                <c:pt idx="13">
                  <c:v>9135.8024691358</c:v>
                </c:pt>
                <c:pt idx="14">
                  <c:v>18320.98765432099</c:v>
                </c:pt>
                <c:pt idx="15">
                  <c:v>18320.98765432099</c:v>
                </c:pt>
                <c:pt idx="16">
                  <c:v>18503.08641975308</c:v>
                </c:pt>
                <c:pt idx="17">
                  <c:v>18503.08641975308</c:v>
                </c:pt>
                <c:pt idx="18">
                  <c:v>18503.08641975308</c:v>
                </c:pt>
                <c:pt idx="19">
                  <c:v>18503.08641975308</c:v>
                </c:pt>
                <c:pt idx="20">
                  <c:v>18503.08641975308</c:v>
                </c:pt>
                <c:pt idx="21">
                  <c:v>18503.08641975308</c:v>
                </c:pt>
                <c:pt idx="22">
                  <c:v>18503.08641975308</c:v>
                </c:pt>
                <c:pt idx="23">
                  <c:v>26446.79012345679</c:v>
                </c:pt>
                <c:pt idx="24">
                  <c:v>26555.43209876543</c:v>
                </c:pt>
                <c:pt idx="25">
                  <c:v>26555.43209876543</c:v>
                </c:pt>
                <c:pt idx="26">
                  <c:v>26555.43209876543</c:v>
                </c:pt>
                <c:pt idx="27">
                  <c:v>34871.48148148147</c:v>
                </c:pt>
                <c:pt idx="28">
                  <c:v>34871.48148148147</c:v>
                </c:pt>
                <c:pt idx="29">
                  <c:v>34871.48148148147</c:v>
                </c:pt>
                <c:pt idx="30">
                  <c:v>34871.48148148147</c:v>
                </c:pt>
                <c:pt idx="31">
                  <c:v>34871.48148148147</c:v>
                </c:pt>
                <c:pt idx="32">
                  <c:v>34871.48148148147</c:v>
                </c:pt>
                <c:pt idx="33">
                  <c:v>34871.48148148147</c:v>
                </c:pt>
                <c:pt idx="34">
                  <c:v>39157.9012345679</c:v>
                </c:pt>
                <c:pt idx="35">
                  <c:v>41310.98765432098</c:v>
                </c:pt>
                <c:pt idx="36">
                  <c:v>41310.98765432098</c:v>
                </c:pt>
                <c:pt idx="37">
                  <c:v>41335.67901234567</c:v>
                </c:pt>
                <c:pt idx="38">
                  <c:v>41335.67901234567</c:v>
                </c:pt>
                <c:pt idx="39">
                  <c:v>41335.67901234567</c:v>
                </c:pt>
                <c:pt idx="40">
                  <c:v>41335.67901234567</c:v>
                </c:pt>
                <c:pt idx="41">
                  <c:v>41335.67901234567</c:v>
                </c:pt>
                <c:pt idx="42">
                  <c:v>41335.67901234567</c:v>
                </c:pt>
                <c:pt idx="43">
                  <c:v>41335.67901234567</c:v>
                </c:pt>
                <c:pt idx="44">
                  <c:v>41335.67901234567</c:v>
                </c:pt>
                <c:pt idx="45">
                  <c:v>41335.67901234567</c:v>
                </c:pt>
                <c:pt idx="46">
                  <c:v>41335.67901234567</c:v>
                </c:pt>
                <c:pt idx="47">
                  <c:v>41335.67901234567</c:v>
                </c:pt>
                <c:pt idx="48">
                  <c:v>41335.67901234567</c:v>
                </c:pt>
                <c:pt idx="49">
                  <c:v>41335.67901234567</c:v>
                </c:pt>
                <c:pt idx="50">
                  <c:v>41335.67901234567</c:v>
                </c:pt>
                <c:pt idx="51">
                  <c:v>41335.67901234567</c:v>
                </c:pt>
                <c:pt idx="52">
                  <c:v>41335.67901234567</c:v>
                </c:pt>
                <c:pt idx="53">
                  <c:v>41335.67901234567</c:v>
                </c:pt>
                <c:pt idx="54">
                  <c:v>41335.67901234567</c:v>
                </c:pt>
                <c:pt idx="55">
                  <c:v>41335.67901234567</c:v>
                </c:pt>
                <c:pt idx="56">
                  <c:v>41335.67901234567</c:v>
                </c:pt>
                <c:pt idx="57">
                  <c:v>41335.67901234567</c:v>
                </c:pt>
                <c:pt idx="58">
                  <c:v>41335.67901234567</c:v>
                </c:pt>
                <c:pt idx="59">
                  <c:v>41335.67901234567</c:v>
                </c:pt>
                <c:pt idx="60">
                  <c:v>41335.67901234567</c:v>
                </c:pt>
                <c:pt idx="61">
                  <c:v>41335.67901234567</c:v>
                </c:pt>
                <c:pt idx="62">
                  <c:v>41335.67901234567</c:v>
                </c:pt>
                <c:pt idx="63">
                  <c:v>41335.67901234567</c:v>
                </c:pt>
                <c:pt idx="64">
                  <c:v>41335.67901234567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330040"/>
        <c:axId val="2146333256"/>
      </c:scatterChart>
      <c:valAx>
        <c:axId val="2146330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333256"/>
        <c:crosses val="autoZero"/>
        <c:crossBetween val="midCat"/>
        <c:minorUnit val="1.0"/>
      </c:valAx>
      <c:valAx>
        <c:axId val="2146333256"/>
        <c:scaling>
          <c:orientation val="minMax"/>
          <c:min val="0.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46330040"/>
        <c:crosses val="autoZero"/>
        <c:crossBetween val="midCat"/>
      </c:valAx>
      <c:spPr>
        <a:ln w="12700" cmpd="sng"/>
      </c:spPr>
    </c:plotArea>
    <c:legend>
      <c:legendPos val="r"/>
      <c:layout>
        <c:manualLayout>
          <c:xMode val="edge"/>
          <c:yMode val="edge"/>
          <c:x val="0.144256803425888"/>
          <c:y val="0.298806738489953"/>
          <c:w val="0.132619683504474"/>
          <c:h val="0.329127272231511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span"/>
    <c:showDLblsOverMax val="0"/>
  </c:chart>
  <c:spPr>
    <a:ln w="19050" cmpd="sng"/>
  </c:sp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 i="1" cap="small"/>
              <a:t>Ostrea</a:t>
            </a:r>
            <a:r>
              <a:rPr lang="en-US" sz="2400" i="1" cap="small" baseline="0"/>
              <a:t> lurida </a:t>
            </a:r>
            <a:r>
              <a:rPr lang="en-US" sz="2400" cap="small" baseline="0"/>
              <a:t>survival rate, </a:t>
            </a:r>
          </a:p>
          <a:p>
            <a:pPr>
              <a:defRPr/>
            </a:pPr>
            <a:r>
              <a:rPr lang="en-US" sz="2400" cap="small" baseline="0"/>
              <a:t># larvae stocked -&gt; juvenile</a:t>
            </a:r>
            <a:endParaRPr lang="en-US" sz="2400" cap="small"/>
          </a:p>
        </c:rich>
      </c:tx>
      <c:layout>
        <c:manualLayout>
          <c:xMode val="edge"/>
          <c:yMode val="edge"/>
          <c:x val="0.286619941402673"/>
          <c:y val="0.0725663624433309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0538091008972716"/>
          <c:y val="0.0359848484848485"/>
          <c:w val="0.931074620032961"/>
          <c:h val="0.89328292770221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3"/>
            <c:invertIfNegative val="0"/>
            <c:bubble3D val="0"/>
            <c:spPr>
              <a:solidFill>
                <a:srgbClr val="4BACC6"/>
              </a:solidFill>
            </c:spPr>
          </c:dPt>
          <c:dPt>
            <c:idx val="4"/>
            <c:invertIfNegative val="0"/>
            <c:bubble3D val="0"/>
            <c:spPr>
              <a:solidFill>
                <a:srgbClr val="F79646"/>
              </a:solidFill>
            </c:spPr>
          </c:dPt>
          <c:dPt>
            <c:idx val="5"/>
            <c:invertIfNegative val="0"/>
            <c:bubble3D val="0"/>
            <c:spPr>
              <a:solidFill>
                <a:srgbClr val="C0504D"/>
              </a:solidFill>
            </c:spPr>
          </c:dPt>
          <c:dPt>
            <c:idx val="6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7"/>
            <c:invertIfNegative val="0"/>
            <c:bubble3D val="0"/>
            <c:spPr>
              <a:solidFill>
                <a:srgbClr val="4BACC6"/>
              </a:solidFill>
            </c:spPr>
          </c:dPt>
          <c:dPt>
            <c:idx val="8"/>
            <c:invertIfNegative val="0"/>
            <c:bubble3D val="0"/>
            <c:spPr>
              <a:solidFill>
                <a:srgbClr val="F79646"/>
              </a:solidFill>
            </c:spPr>
          </c:dPt>
          <c:dPt>
            <c:idx val="9"/>
            <c:invertIfNegative val="0"/>
            <c:bubble3D val="0"/>
            <c:spPr>
              <a:solidFill>
                <a:srgbClr val="C0504D"/>
              </a:solidFill>
            </c:spPr>
          </c:dPt>
          <c:dPt>
            <c:idx val="10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11"/>
            <c:invertIfNegative val="0"/>
            <c:bubble3D val="0"/>
            <c:spPr>
              <a:solidFill>
                <a:srgbClr val="4BACC6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7964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C0504D"/>
              </a:solidFill>
            </c:spPr>
          </c:dPt>
          <c:dPt>
            <c:idx val="14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15"/>
            <c:invertIfNegative val="0"/>
            <c:bubble3D val="0"/>
            <c:spPr>
              <a:solidFill>
                <a:schemeClr val="accent5"/>
              </a:solidFill>
            </c:spPr>
          </c:dPt>
          <c:dLbls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14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Larvae to Date'!$J$2:$J$17</c:f>
              <c:strCache>
                <c:ptCount val="16"/>
                <c:pt idx="0">
                  <c:v>NF-10 Ambient</c:v>
                </c:pt>
                <c:pt idx="1">
                  <c:v>NF-10 Low</c:v>
                </c:pt>
                <c:pt idx="2">
                  <c:v>NF-6 Ambient</c:v>
                </c:pt>
                <c:pt idx="3">
                  <c:v>NF-6 Low</c:v>
                </c:pt>
                <c:pt idx="4">
                  <c:v>SN-10 Ambient</c:v>
                </c:pt>
                <c:pt idx="5">
                  <c:v>SN-10 Low</c:v>
                </c:pt>
                <c:pt idx="6">
                  <c:v>SN-6 Ambient</c:v>
                </c:pt>
                <c:pt idx="7">
                  <c:v>SN-6 Low</c:v>
                </c:pt>
                <c:pt idx="8">
                  <c:v>HL-10 Ambient</c:v>
                </c:pt>
                <c:pt idx="9">
                  <c:v>HL-10 Low</c:v>
                </c:pt>
                <c:pt idx="10">
                  <c:v>HL-6 Ambient</c:v>
                </c:pt>
                <c:pt idx="11">
                  <c:v>HL-6 Low</c:v>
                </c:pt>
                <c:pt idx="12">
                  <c:v>K-10 Ambient</c:v>
                </c:pt>
                <c:pt idx="13">
                  <c:v>K-10 Low</c:v>
                </c:pt>
                <c:pt idx="14">
                  <c:v>K-6 Ambient</c:v>
                </c:pt>
                <c:pt idx="15">
                  <c:v>K-6 Low</c:v>
                </c:pt>
              </c:strCache>
            </c:strRef>
          </c:cat>
          <c:val>
            <c:numRef>
              <c:f>'Total Larvae to Date'!$X$2:$X$17</c:f>
              <c:numCache>
                <c:formatCode>0.000%</c:formatCode>
                <c:ptCount val="16"/>
                <c:pt idx="0">
                  <c:v>0.00240833334345408</c:v>
                </c:pt>
                <c:pt idx="1">
                  <c:v>0.000365090403337969</c:v>
                </c:pt>
                <c:pt idx="2">
                  <c:v>0.0115110110301134</c:v>
                </c:pt>
                <c:pt idx="3">
                  <c:v>0.00185147311815021</c:v>
                </c:pt>
                <c:pt idx="4">
                  <c:v>7.61739367583915E-5</c:v>
                </c:pt>
                <c:pt idx="5">
                  <c:v>5.41352685689342E-5</c:v>
                </c:pt>
                <c:pt idx="6">
                  <c:v>0.000294091877978829</c:v>
                </c:pt>
                <c:pt idx="7">
                  <c:v>0.000409082537087242</c:v>
                </c:pt>
                <c:pt idx="8">
                  <c:v>0.00501353535145595</c:v>
                </c:pt>
                <c:pt idx="9">
                  <c:v>0.00394247912952194</c:v>
                </c:pt>
                <c:pt idx="10">
                  <c:v>0.013509487298039</c:v>
                </c:pt>
                <c:pt idx="11">
                  <c:v>0.00437397378250654</c:v>
                </c:pt>
                <c:pt idx="12">
                  <c:v>0.00082369310276287</c:v>
                </c:pt>
                <c:pt idx="13">
                  <c:v>0.000550823224874334</c:v>
                </c:pt>
                <c:pt idx="14">
                  <c:v>0.00111652290489379</c:v>
                </c:pt>
                <c:pt idx="15">
                  <c:v>0.00198258375431207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198408"/>
        <c:axId val="2144201288"/>
      </c:barChart>
      <c:catAx>
        <c:axId val="2144198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201288"/>
        <c:crosses val="autoZero"/>
        <c:auto val="1"/>
        <c:lblAlgn val="ctr"/>
        <c:lblOffset val="100"/>
        <c:noMultiLvlLbl val="0"/>
      </c:catAx>
      <c:valAx>
        <c:axId val="2144201288"/>
        <c:scaling>
          <c:orientation val="minMax"/>
          <c:max val="0.014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144198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8.xml"/><Relationship Id="rId12" Type="http://schemas.openxmlformats.org/officeDocument/2006/relationships/chart" Target="../charts/chart19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9" Type="http://schemas.openxmlformats.org/officeDocument/2006/relationships/chart" Target="../charts/chart16.xml"/><Relationship Id="rId10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647700</xdr:colOff>
      <xdr:row>4</xdr:row>
      <xdr:rowOff>12700</xdr:rowOff>
    </xdr:from>
    <xdr:to>
      <xdr:col>58</xdr:col>
      <xdr:colOff>349250</xdr:colOff>
      <xdr:row>23</xdr:row>
      <xdr:rowOff>50800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787400</xdr:colOff>
      <xdr:row>4</xdr:row>
      <xdr:rowOff>38100</xdr:rowOff>
    </xdr:from>
    <xdr:to>
      <xdr:col>50</xdr:col>
      <xdr:colOff>488950</xdr:colOff>
      <xdr:row>23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58</xdr:col>
      <xdr:colOff>558800</xdr:colOff>
      <xdr:row>4</xdr:row>
      <xdr:rowOff>0</xdr:rowOff>
    </xdr:from>
    <xdr:to>
      <xdr:col>66</xdr:col>
      <xdr:colOff>260350</xdr:colOff>
      <xdr:row>23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76200</xdr:colOff>
      <xdr:row>4</xdr:row>
      <xdr:rowOff>76200</xdr:rowOff>
    </xdr:from>
    <xdr:to>
      <xdr:col>42</xdr:col>
      <xdr:colOff>603250</xdr:colOff>
      <xdr:row>24</xdr:row>
      <xdr:rowOff>12700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0</xdr:colOff>
      <xdr:row>4</xdr:row>
      <xdr:rowOff>0</xdr:rowOff>
    </xdr:from>
    <xdr:to>
      <xdr:col>74</xdr:col>
      <xdr:colOff>527050</xdr:colOff>
      <xdr:row>23</xdr:row>
      <xdr:rowOff>127000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666751</xdr:colOff>
      <xdr:row>1</xdr:row>
      <xdr:rowOff>545042</xdr:rowOff>
    </xdr:from>
    <xdr:to>
      <xdr:col>84</xdr:col>
      <xdr:colOff>730250</xdr:colOff>
      <xdr:row>22</xdr:row>
      <xdr:rowOff>63500</xdr:rowOff>
    </xdr:to>
    <xdr:grpSp>
      <xdr:nvGrpSpPr>
        <xdr:cNvPr id="10" name="Group 9"/>
        <xdr:cNvGrpSpPr/>
      </xdr:nvGrpSpPr>
      <xdr:grpSpPr>
        <a:xfrm>
          <a:off x="66325751" y="799042"/>
          <a:ext cx="13271499" cy="4979458"/>
          <a:chOff x="27163339" y="440267"/>
          <a:chExt cx="13336961" cy="3692339"/>
        </a:xfrm>
      </xdr:grpSpPr>
      <xdr:graphicFrame macro="">
        <xdr:nvGraphicFramePr>
          <xdr:cNvPr id="2" name="Chart 1"/>
          <xdr:cNvGraphicFramePr/>
        </xdr:nvGraphicFramePr>
        <xdr:xfrm>
          <a:off x="27163339" y="440267"/>
          <a:ext cx="13336961" cy="36923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TextBox 4"/>
          <xdr:cNvSpPr txBox="1"/>
        </xdr:nvSpPr>
        <xdr:spPr>
          <a:xfrm>
            <a:off x="37134153" y="1127546"/>
            <a:ext cx="2030142" cy="1622375"/>
          </a:xfrm>
          <a:prstGeom prst="rect">
            <a:avLst/>
          </a:prstGeom>
          <a:solidFill>
            <a:srgbClr val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accent3"/>
                </a:solidFill>
              </a:rPr>
              <a:t>SOUTH</a:t>
            </a:r>
            <a:r>
              <a:rPr lang="en-US" sz="1400" b="1" baseline="0">
                <a:solidFill>
                  <a:schemeClr val="accent3"/>
                </a:solidFill>
              </a:rPr>
              <a:t> SOUND F1 (SN)</a:t>
            </a:r>
          </a:p>
          <a:p>
            <a:pPr algn="ctr"/>
            <a:endParaRPr lang="en-US" sz="1400" b="1" baseline="0"/>
          </a:p>
          <a:p>
            <a:pPr algn="ctr"/>
            <a:r>
              <a:rPr lang="en-US" sz="1400" b="1" baseline="0">
                <a:solidFill>
                  <a:schemeClr val="accent2"/>
                </a:solidFill>
              </a:rPr>
              <a:t>NORTH SOUND F1 (NF)</a:t>
            </a:r>
          </a:p>
          <a:p>
            <a:pPr algn="ctr"/>
            <a:endParaRPr lang="en-US" sz="1400" b="1" baseline="0"/>
          </a:p>
          <a:p>
            <a:pPr algn="ctr"/>
            <a:r>
              <a:rPr lang="en-US" sz="1400" b="1" baseline="0">
                <a:solidFill>
                  <a:schemeClr val="accent6"/>
                </a:solidFill>
              </a:rPr>
              <a:t>HOOD CANAL F1 (HL)</a:t>
            </a:r>
          </a:p>
          <a:p>
            <a:pPr algn="ctr"/>
            <a:endParaRPr lang="en-US" sz="1400" b="1" baseline="0"/>
          </a:p>
          <a:p>
            <a:pPr algn="ctr"/>
            <a:r>
              <a:rPr lang="en-US" sz="1400" b="1" baseline="0">
                <a:solidFill>
                  <a:schemeClr val="accent5"/>
                </a:solidFill>
              </a:rPr>
              <a:t>SOUTH SOUND F2 (K) </a:t>
            </a:r>
            <a:endParaRPr lang="en-US" sz="1400" b="1">
              <a:solidFill>
                <a:schemeClr val="accent5"/>
              </a:solidFill>
            </a:endParaRPr>
          </a:p>
        </xdr:txBody>
      </xdr:sp>
      <xdr:cxnSp macro="">
        <xdr:nvCxnSpPr>
          <xdr:cNvPr id="7" name="Straight Connector 6"/>
          <xdr:cNvCxnSpPr/>
        </xdr:nvCxnSpPr>
        <xdr:spPr>
          <a:xfrm flipH="1" flipV="1">
            <a:off x="29842192" y="1693488"/>
            <a:ext cx="10196" cy="1973045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Box 8"/>
          <xdr:cNvSpPr txBox="1"/>
        </xdr:nvSpPr>
        <xdr:spPr>
          <a:xfrm>
            <a:off x="28359836" y="874293"/>
            <a:ext cx="2488715" cy="32204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0000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1"/>
              <a:t>STARTED</a:t>
            </a:r>
            <a:r>
              <a:rPr lang="en-US" sz="1200" b="1" baseline="0"/>
              <a:t> REARING LARVAE @ 5/19</a:t>
            </a:r>
            <a:endParaRPr lang="en-US" sz="1200" b="1"/>
          </a:p>
        </xdr:txBody>
      </xdr:sp>
    </xdr:grpSp>
    <xdr:clientData/>
  </xdr:twoCellAnchor>
  <xdr:twoCellAnchor>
    <xdr:from>
      <xdr:col>69</xdr:col>
      <xdr:colOff>53480</xdr:colOff>
      <xdr:row>25</xdr:row>
      <xdr:rowOff>111126</xdr:rowOff>
    </xdr:from>
    <xdr:to>
      <xdr:col>85</xdr:col>
      <xdr:colOff>333374</xdr:colOff>
      <xdr:row>43</xdr:row>
      <xdr:rowOff>47625</xdr:rowOff>
    </xdr:to>
    <xdr:grpSp>
      <xdr:nvGrpSpPr>
        <xdr:cNvPr id="11" name="Group 10"/>
        <xdr:cNvGrpSpPr/>
      </xdr:nvGrpSpPr>
      <xdr:grpSpPr>
        <a:xfrm>
          <a:off x="66537980" y="6492876"/>
          <a:ext cx="13487894" cy="3936999"/>
          <a:chOff x="27319681" y="440268"/>
          <a:chExt cx="13180619" cy="2608619"/>
        </a:xfrm>
      </xdr:grpSpPr>
      <xdr:graphicFrame macro="">
        <xdr:nvGraphicFramePr>
          <xdr:cNvPr id="12" name="Chart 11"/>
          <xdr:cNvGraphicFramePr/>
        </xdr:nvGraphicFramePr>
        <xdr:xfrm>
          <a:off x="27319681" y="440268"/>
          <a:ext cx="13180619" cy="260861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3" name="TextBox 12"/>
          <xdr:cNvSpPr txBox="1"/>
        </xdr:nvSpPr>
        <xdr:spPr>
          <a:xfrm>
            <a:off x="37434074" y="914400"/>
            <a:ext cx="2342326" cy="1327055"/>
          </a:xfrm>
          <a:prstGeom prst="rect">
            <a:avLst/>
          </a:prstGeom>
          <a:solidFill>
            <a:srgbClr val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rgbClr val="4BACC6"/>
                </a:solidFill>
              </a:rPr>
              <a:t>6°C Ambient pH</a:t>
            </a:r>
          </a:p>
          <a:p>
            <a:pPr algn="ctr"/>
            <a:endParaRPr lang="en-US" sz="1400" b="1">
              <a:solidFill>
                <a:schemeClr val="accent3"/>
              </a:solidFill>
            </a:endParaRPr>
          </a:p>
          <a:p>
            <a:pPr algn="ctr"/>
            <a:r>
              <a:rPr lang="en-US" sz="1400" b="1">
                <a:solidFill>
                  <a:schemeClr val="accent6"/>
                </a:solidFill>
              </a:rPr>
              <a:t>6°C Low pH</a:t>
            </a:r>
          </a:p>
          <a:p>
            <a:pPr algn="ctr"/>
            <a:endParaRPr lang="en-US" sz="1400" b="1">
              <a:solidFill>
                <a:schemeClr val="accent3"/>
              </a:solidFill>
            </a:endParaRPr>
          </a:p>
          <a:p>
            <a:pPr algn="ctr"/>
            <a:r>
              <a:rPr lang="en-US" sz="1400" b="1">
                <a:solidFill>
                  <a:schemeClr val="accent3"/>
                </a:solidFill>
              </a:rPr>
              <a:t>10°C Ambient pH</a:t>
            </a:r>
          </a:p>
          <a:p>
            <a:pPr algn="ctr"/>
            <a:endParaRPr lang="en-US" sz="1400" b="1" baseline="0"/>
          </a:p>
          <a:p>
            <a:pPr algn="ctr"/>
            <a:r>
              <a:rPr lang="en-US" sz="1400" b="1" baseline="0">
                <a:solidFill>
                  <a:schemeClr val="accent2"/>
                </a:solidFill>
              </a:rPr>
              <a:t>10°C Low pH</a:t>
            </a:r>
          </a:p>
          <a:p>
            <a:pPr algn="ctr"/>
            <a:endParaRPr lang="en-US" sz="1400" b="1" baseline="0"/>
          </a:p>
          <a:p>
            <a:pPr algn="ctr"/>
            <a:endParaRPr lang="en-US" sz="1400" b="1" baseline="0"/>
          </a:p>
        </xdr:txBody>
      </xdr:sp>
      <xdr:cxnSp macro="">
        <xdr:nvCxnSpPr>
          <xdr:cNvPr id="14" name="Straight Connector 13"/>
          <xdr:cNvCxnSpPr/>
        </xdr:nvCxnSpPr>
        <xdr:spPr>
          <a:xfrm flipH="1" flipV="1">
            <a:off x="29792372" y="774465"/>
            <a:ext cx="8222" cy="1591212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TextBox 14"/>
          <xdr:cNvSpPr txBox="1"/>
        </xdr:nvSpPr>
        <xdr:spPr>
          <a:xfrm>
            <a:off x="28896320" y="1202086"/>
            <a:ext cx="3027056" cy="197957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0000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/>
              <a:t>STARTED</a:t>
            </a:r>
            <a:r>
              <a:rPr lang="en-US" sz="1400" b="1" baseline="0"/>
              <a:t> REARING LARVAE @ 5/19</a:t>
            </a:r>
            <a:endParaRPr lang="en-US" sz="14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4</xdr:row>
      <xdr:rowOff>0</xdr:rowOff>
    </xdr:from>
    <xdr:to>
      <xdr:col>16</xdr:col>
      <xdr:colOff>762001</xdr:colOff>
      <xdr:row>22</xdr:row>
      <xdr:rowOff>165099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63500</xdr:colOff>
      <xdr:row>47</xdr:row>
      <xdr:rowOff>88901</xdr:rowOff>
    </xdr:from>
    <xdr:to>
      <xdr:col>16</xdr:col>
      <xdr:colOff>190499</xdr:colOff>
      <xdr:row>69</xdr:row>
      <xdr:rowOff>127000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</xdr:colOff>
      <xdr:row>91</xdr:row>
      <xdr:rowOff>12700</xdr:rowOff>
    </xdr:from>
    <xdr:to>
      <xdr:col>16</xdr:col>
      <xdr:colOff>584200</xdr:colOff>
      <xdr:row>111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133</xdr:row>
      <xdr:rowOff>165100</xdr:rowOff>
    </xdr:from>
    <xdr:to>
      <xdr:col>16</xdr:col>
      <xdr:colOff>330200</xdr:colOff>
      <xdr:row>154</xdr:row>
      <xdr:rowOff>12700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16</xdr:col>
      <xdr:colOff>647700</xdr:colOff>
      <xdr:row>43</xdr:row>
      <xdr:rowOff>165099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16</xdr:col>
      <xdr:colOff>647700</xdr:colOff>
      <xdr:row>89</xdr:row>
      <xdr:rowOff>165099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112</xdr:row>
      <xdr:rowOff>0</xdr:rowOff>
    </xdr:from>
    <xdr:to>
      <xdr:col>16</xdr:col>
      <xdr:colOff>647700</xdr:colOff>
      <xdr:row>130</xdr:row>
      <xdr:rowOff>165099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156</xdr:row>
      <xdr:rowOff>0</xdr:rowOff>
    </xdr:from>
    <xdr:to>
      <xdr:col>16</xdr:col>
      <xdr:colOff>647700</xdr:colOff>
      <xdr:row>174</xdr:row>
      <xdr:rowOff>165099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25</xdr:row>
      <xdr:rowOff>0</xdr:rowOff>
    </xdr:from>
    <xdr:to>
      <xdr:col>33</xdr:col>
      <xdr:colOff>647700</xdr:colOff>
      <xdr:row>43</xdr:row>
      <xdr:rowOff>165099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70</xdr:row>
      <xdr:rowOff>0</xdr:rowOff>
    </xdr:from>
    <xdr:to>
      <xdr:col>33</xdr:col>
      <xdr:colOff>647700</xdr:colOff>
      <xdr:row>88</xdr:row>
      <xdr:rowOff>165099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0</xdr:colOff>
      <xdr:row>111</xdr:row>
      <xdr:rowOff>0</xdr:rowOff>
    </xdr:from>
    <xdr:to>
      <xdr:col>33</xdr:col>
      <xdr:colOff>647700</xdr:colOff>
      <xdr:row>129</xdr:row>
      <xdr:rowOff>165099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0</xdr:colOff>
      <xdr:row>155</xdr:row>
      <xdr:rowOff>0</xdr:rowOff>
    </xdr:from>
    <xdr:to>
      <xdr:col>33</xdr:col>
      <xdr:colOff>647700</xdr:colOff>
      <xdr:row>173</xdr:row>
      <xdr:rowOff>165099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76200</xdr:rowOff>
    </xdr:from>
    <xdr:to>
      <xdr:col>15</xdr:col>
      <xdr:colOff>533400</xdr:colOff>
      <xdr:row>36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02"/>
  <sheetViews>
    <sheetView showRuler="0" workbookViewId="0">
      <pane ySplit="2080" topLeftCell="A38" activePane="bottomLeft"/>
      <selection activeCell="J152" sqref="J152"/>
      <selection pane="bottomLeft" activeCell="J152" sqref="J152"/>
    </sheetView>
  </sheetViews>
  <sheetFormatPr baseColWidth="10" defaultRowHeight="15" x14ac:dyDescent="0"/>
  <cols>
    <col min="1" max="1" width="12.1640625" style="37" customWidth="1"/>
    <col min="2" max="2" width="16.33203125" style="12" customWidth="1"/>
    <col min="3" max="3" width="9.1640625" style="12" customWidth="1"/>
    <col min="4" max="4" width="9.83203125" style="40" hidden="1" customWidth="1"/>
    <col min="5" max="5" width="10.83203125" style="12" hidden="1" customWidth="1"/>
    <col min="6" max="6" width="10.5" style="12" hidden="1" customWidth="1"/>
    <col min="7" max="8" width="10.33203125" style="12" hidden="1" customWidth="1"/>
    <col min="9" max="9" width="10.6640625" style="13" hidden="1" customWidth="1"/>
    <col min="10" max="10" width="12.5" style="13" hidden="1" customWidth="1"/>
    <col min="11" max="11" width="10.1640625" style="12" hidden="1" customWidth="1"/>
    <col min="12" max="13" width="10.5" style="144" hidden="1" customWidth="1"/>
    <col min="14" max="14" width="13.5" style="12" hidden="1" customWidth="1"/>
    <col min="15" max="15" width="13.5" style="13" hidden="1" customWidth="1"/>
    <col min="16" max="16" width="12.1640625" style="12" customWidth="1"/>
    <col min="17" max="17" width="12.1640625" style="13" customWidth="1"/>
    <col min="18" max="18" width="12.5" style="12" customWidth="1"/>
    <col min="19" max="19" width="9.83203125" style="12" bestFit="1" customWidth="1"/>
    <col min="20" max="20" width="69.83203125" style="14" customWidth="1"/>
    <col min="21" max="16384" width="10.83203125" style="12"/>
  </cols>
  <sheetData>
    <row r="1" spans="1:20" s="2" customFormat="1" ht="91" customHeight="1">
      <c r="A1" s="35" t="s">
        <v>0</v>
      </c>
      <c r="B1" s="2" t="s">
        <v>1</v>
      </c>
      <c r="C1" s="2" t="s">
        <v>2</v>
      </c>
      <c r="D1" s="3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142" t="s">
        <v>11</v>
      </c>
      <c r="M1" s="142" t="s">
        <v>12</v>
      </c>
      <c r="N1" s="2" t="s">
        <v>13</v>
      </c>
      <c r="O1" s="3" t="s">
        <v>14</v>
      </c>
      <c r="P1" s="2" t="s">
        <v>15</v>
      </c>
      <c r="Q1" s="3" t="s">
        <v>67</v>
      </c>
      <c r="R1" s="2" t="s">
        <v>52</v>
      </c>
      <c r="S1" s="2" t="s">
        <v>16</v>
      </c>
      <c r="T1" s="270"/>
    </row>
    <row r="2" spans="1:20" s="5" customFormat="1">
      <c r="A2" s="36">
        <v>42866</v>
      </c>
      <c r="B2" s="5" t="s">
        <v>17</v>
      </c>
      <c r="D2" s="39">
        <v>0.5</v>
      </c>
      <c r="E2" s="5">
        <v>300</v>
      </c>
      <c r="F2" s="42">
        <v>80</v>
      </c>
      <c r="G2" s="5">
        <v>77</v>
      </c>
      <c r="H2" s="5">
        <v>80</v>
      </c>
      <c r="I2" s="8">
        <f t="shared" ref="I2:I33" si="0">AVERAGE(F2:H2)/D2</f>
        <v>158</v>
      </c>
      <c r="J2" s="8">
        <f t="shared" ref="J2:J65" si="1">I2*E2</f>
        <v>47400</v>
      </c>
      <c r="K2" s="6" t="s">
        <v>18</v>
      </c>
      <c r="L2" s="143" t="s">
        <v>18</v>
      </c>
      <c r="M2" s="143"/>
      <c r="N2" s="6" t="s">
        <v>18</v>
      </c>
      <c r="O2" s="6" t="s">
        <v>18</v>
      </c>
      <c r="P2" s="6" t="s">
        <v>18</v>
      </c>
      <c r="Q2" s="8"/>
      <c r="R2" s="6"/>
      <c r="T2" s="7" t="s">
        <v>19</v>
      </c>
    </row>
    <row r="3" spans="1:20" s="5" customFormat="1">
      <c r="A3" s="36">
        <v>42866</v>
      </c>
      <c r="B3" s="5" t="s">
        <v>20</v>
      </c>
      <c r="D3" s="39">
        <v>0.5</v>
      </c>
      <c r="E3" s="5">
        <v>300</v>
      </c>
      <c r="F3" s="42">
        <v>52</v>
      </c>
      <c r="G3" s="5">
        <v>57</v>
      </c>
      <c r="H3" s="5">
        <v>77</v>
      </c>
      <c r="I3" s="8">
        <f t="shared" si="0"/>
        <v>124</v>
      </c>
      <c r="J3" s="8">
        <f t="shared" si="1"/>
        <v>37200</v>
      </c>
      <c r="K3" s="6" t="s">
        <v>18</v>
      </c>
      <c r="L3" s="143" t="s">
        <v>18</v>
      </c>
      <c r="M3" s="143"/>
      <c r="N3" s="6" t="s">
        <v>18</v>
      </c>
      <c r="O3" s="6" t="s">
        <v>18</v>
      </c>
      <c r="P3" s="6" t="s">
        <v>18</v>
      </c>
      <c r="Q3" s="8"/>
      <c r="R3" s="6"/>
      <c r="T3" s="7" t="s">
        <v>19</v>
      </c>
    </row>
    <row r="4" spans="1:20" s="5" customFormat="1">
      <c r="A4" s="36">
        <v>42868</v>
      </c>
      <c r="B4" s="5" t="s">
        <v>21</v>
      </c>
      <c r="D4" s="39">
        <v>1</v>
      </c>
      <c r="E4" s="5">
        <v>50</v>
      </c>
      <c r="F4" s="5">
        <v>78</v>
      </c>
      <c r="G4" s="5">
        <v>65</v>
      </c>
      <c r="H4" s="5">
        <v>66</v>
      </c>
      <c r="I4" s="8">
        <f t="shared" si="0"/>
        <v>69.666666666666671</v>
      </c>
      <c r="J4" s="8">
        <f t="shared" si="1"/>
        <v>3483.3333333333335</v>
      </c>
      <c r="K4" s="6" t="s">
        <v>18</v>
      </c>
      <c r="L4" s="143" t="s">
        <v>18</v>
      </c>
      <c r="M4" s="143"/>
      <c r="N4" s="6" t="s">
        <v>18</v>
      </c>
      <c r="O4" s="6" t="s">
        <v>18</v>
      </c>
      <c r="P4" s="6" t="s">
        <v>18</v>
      </c>
      <c r="Q4" s="8"/>
      <c r="R4" s="6"/>
      <c r="T4" s="7" t="s">
        <v>22</v>
      </c>
    </row>
    <row r="5" spans="1:20" s="5" customFormat="1">
      <c r="A5" s="36">
        <v>42869</v>
      </c>
      <c r="B5" s="5" t="s">
        <v>21</v>
      </c>
      <c r="D5" s="39">
        <v>0.75</v>
      </c>
      <c r="E5" s="5">
        <v>50</v>
      </c>
      <c r="F5" s="5">
        <v>45</v>
      </c>
      <c r="G5" s="5">
        <v>59</v>
      </c>
      <c r="H5" s="5">
        <v>69</v>
      </c>
      <c r="I5" s="8">
        <f t="shared" si="0"/>
        <v>76.888888888888886</v>
      </c>
      <c r="J5" s="8">
        <f t="shared" si="1"/>
        <v>3844.4444444444443</v>
      </c>
      <c r="K5" s="6" t="s">
        <v>18</v>
      </c>
      <c r="L5" s="143" t="s">
        <v>18</v>
      </c>
      <c r="M5" s="143"/>
      <c r="N5" s="6" t="s">
        <v>18</v>
      </c>
      <c r="O5" s="6" t="s">
        <v>18</v>
      </c>
      <c r="P5" s="6" t="s">
        <v>18</v>
      </c>
      <c r="Q5" s="8"/>
      <c r="R5" s="6"/>
      <c r="T5" s="7"/>
    </row>
    <row r="6" spans="1:20" s="5" customFormat="1" ht="20">
      <c r="A6" s="36">
        <v>42869</v>
      </c>
      <c r="B6" s="5" t="s">
        <v>17</v>
      </c>
      <c r="D6" s="39">
        <v>0.5</v>
      </c>
      <c r="E6" s="5">
        <v>300</v>
      </c>
      <c r="F6" s="5">
        <v>115</v>
      </c>
      <c r="G6" s="5">
        <v>112</v>
      </c>
      <c r="H6" s="5">
        <v>107</v>
      </c>
      <c r="I6" s="8">
        <f t="shared" si="0"/>
        <v>222.66666666666666</v>
      </c>
      <c r="J6" s="8">
        <f t="shared" si="1"/>
        <v>66800</v>
      </c>
      <c r="K6" s="6" t="s">
        <v>18</v>
      </c>
      <c r="L6" s="143" t="s">
        <v>18</v>
      </c>
      <c r="M6" s="143"/>
      <c r="N6" s="6" t="s">
        <v>18</v>
      </c>
      <c r="O6" s="6" t="s">
        <v>18</v>
      </c>
      <c r="P6" s="6" t="s">
        <v>18</v>
      </c>
      <c r="Q6" s="8"/>
      <c r="R6" s="6"/>
      <c r="S6" s="9"/>
      <c r="T6" s="7"/>
    </row>
    <row r="7" spans="1:20" s="5" customFormat="1">
      <c r="A7" s="36">
        <v>42869</v>
      </c>
      <c r="B7" s="5" t="s">
        <v>20</v>
      </c>
      <c r="D7" s="39">
        <v>0.75</v>
      </c>
      <c r="E7" s="5">
        <v>300</v>
      </c>
      <c r="F7" s="5">
        <v>127</v>
      </c>
      <c r="G7" s="5">
        <v>139</v>
      </c>
      <c r="H7" s="5">
        <v>126</v>
      </c>
      <c r="I7" s="8">
        <f t="shared" si="0"/>
        <v>174.2222222222222</v>
      </c>
      <c r="J7" s="8">
        <f t="shared" si="1"/>
        <v>52266.666666666657</v>
      </c>
      <c r="K7" s="6" t="s">
        <v>18</v>
      </c>
      <c r="L7" s="143" t="s">
        <v>18</v>
      </c>
      <c r="M7" s="143"/>
      <c r="N7" s="6" t="s">
        <v>18</v>
      </c>
      <c r="O7" s="6" t="s">
        <v>18</v>
      </c>
      <c r="P7" s="6" t="s">
        <v>18</v>
      </c>
      <c r="Q7" s="8"/>
      <c r="R7" s="6"/>
      <c r="S7" s="10"/>
      <c r="T7" s="7"/>
    </row>
    <row r="8" spans="1:20" s="5" customFormat="1">
      <c r="A8" s="36">
        <v>42869</v>
      </c>
      <c r="B8" s="5" t="s">
        <v>23</v>
      </c>
      <c r="D8" s="39">
        <v>0.75</v>
      </c>
      <c r="E8" s="5">
        <v>300</v>
      </c>
      <c r="F8" s="5">
        <v>185</v>
      </c>
      <c r="G8" s="5">
        <v>223</v>
      </c>
      <c r="H8" s="5">
        <v>197</v>
      </c>
      <c r="I8" s="8">
        <f t="shared" si="0"/>
        <v>268.88888888888886</v>
      </c>
      <c r="J8" s="8">
        <f t="shared" si="1"/>
        <v>80666.666666666657</v>
      </c>
      <c r="K8" s="6" t="s">
        <v>18</v>
      </c>
      <c r="L8" s="143" t="s">
        <v>18</v>
      </c>
      <c r="M8" s="143"/>
      <c r="N8" s="6" t="s">
        <v>18</v>
      </c>
      <c r="O8" s="6" t="s">
        <v>18</v>
      </c>
      <c r="P8" s="6" t="s">
        <v>18</v>
      </c>
      <c r="Q8" s="8"/>
      <c r="R8" s="6"/>
      <c r="S8" s="10"/>
      <c r="T8" s="7"/>
    </row>
    <row r="9" spans="1:20" s="5" customFormat="1">
      <c r="A9" s="36">
        <v>42869</v>
      </c>
      <c r="B9" s="5" t="s">
        <v>24</v>
      </c>
      <c r="D9" s="39">
        <v>0.75</v>
      </c>
      <c r="E9" s="5">
        <v>300</v>
      </c>
      <c r="F9" s="5">
        <v>234</v>
      </c>
      <c r="G9" s="5">
        <v>277</v>
      </c>
      <c r="H9" s="5">
        <v>224</v>
      </c>
      <c r="I9" s="8">
        <f t="shared" si="0"/>
        <v>326.66666666666669</v>
      </c>
      <c r="J9" s="8">
        <f t="shared" si="1"/>
        <v>98000</v>
      </c>
      <c r="K9" s="6" t="s">
        <v>18</v>
      </c>
      <c r="L9" s="143" t="s">
        <v>18</v>
      </c>
      <c r="M9" s="143"/>
      <c r="N9" s="6" t="s">
        <v>18</v>
      </c>
      <c r="O9" s="6" t="s">
        <v>18</v>
      </c>
      <c r="P9" s="6" t="s">
        <v>18</v>
      </c>
      <c r="Q9" s="8"/>
      <c r="R9" s="6"/>
      <c r="S9" s="10"/>
      <c r="T9" s="7"/>
    </row>
    <row r="10" spans="1:20" s="5" customFormat="1">
      <c r="A10" s="36">
        <v>42869</v>
      </c>
      <c r="B10" s="5" t="s">
        <v>25</v>
      </c>
      <c r="D10" s="39">
        <v>0.75</v>
      </c>
      <c r="E10" s="5">
        <v>300</v>
      </c>
      <c r="F10" s="5">
        <v>173</v>
      </c>
      <c r="G10" s="5">
        <v>175</v>
      </c>
      <c r="H10" s="5">
        <v>170</v>
      </c>
      <c r="I10" s="8">
        <f t="shared" si="0"/>
        <v>230.2222222222222</v>
      </c>
      <c r="J10" s="8">
        <f t="shared" si="1"/>
        <v>69066.666666666657</v>
      </c>
      <c r="K10" s="6" t="s">
        <v>18</v>
      </c>
      <c r="L10" s="143" t="s">
        <v>18</v>
      </c>
      <c r="M10" s="143"/>
      <c r="N10" s="6" t="s">
        <v>18</v>
      </c>
      <c r="O10" s="6" t="s">
        <v>18</v>
      </c>
      <c r="P10" s="6" t="s">
        <v>18</v>
      </c>
      <c r="Q10" s="8"/>
      <c r="R10" s="6"/>
      <c r="S10" s="10"/>
      <c r="T10" s="7" t="s">
        <v>26</v>
      </c>
    </row>
    <row r="11" spans="1:20" s="5" customFormat="1">
      <c r="A11" s="36">
        <v>42870</v>
      </c>
      <c r="B11" s="5" t="s">
        <v>27</v>
      </c>
      <c r="D11" s="39">
        <v>0.2</v>
      </c>
      <c r="E11" s="5">
        <v>300</v>
      </c>
      <c r="F11" s="5">
        <v>375</v>
      </c>
      <c r="G11" s="5">
        <v>370</v>
      </c>
      <c r="H11" s="5">
        <v>364</v>
      </c>
      <c r="I11" s="8">
        <f t="shared" si="0"/>
        <v>1848.3333333333333</v>
      </c>
      <c r="J11" s="8">
        <f t="shared" si="1"/>
        <v>554500</v>
      </c>
      <c r="K11" s="6" t="s">
        <v>18</v>
      </c>
      <c r="L11" s="143" t="s">
        <v>18</v>
      </c>
      <c r="M11" s="143"/>
      <c r="N11" s="6" t="s">
        <v>18</v>
      </c>
      <c r="O11" s="6" t="s">
        <v>18</v>
      </c>
      <c r="P11" s="6" t="s">
        <v>18</v>
      </c>
      <c r="Q11" s="8"/>
      <c r="R11" s="6"/>
      <c r="S11" s="10"/>
      <c r="T11" s="7" t="s">
        <v>28</v>
      </c>
    </row>
    <row r="12" spans="1:20" s="5" customFormat="1">
      <c r="A12" s="36">
        <v>42870</v>
      </c>
      <c r="B12" s="5" t="s">
        <v>24</v>
      </c>
      <c r="D12" s="39">
        <v>0.2</v>
      </c>
      <c r="E12" s="5">
        <v>150</v>
      </c>
      <c r="F12" s="5">
        <v>110</v>
      </c>
      <c r="G12" s="5">
        <v>76</v>
      </c>
      <c r="H12" s="5">
        <v>123</v>
      </c>
      <c r="I12" s="8">
        <f t="shared" si="0"/>
        <v>515</v>
      </c>
      <c r="J12" s="8">
        <f t="shared" si="1"/>
        <v>77250</v>
      </c>
      <c r="K12" s="6" t="s">
        <v>18</v>
      </c>
      <c r="L12" s="143" t="s">
        <v>18</v>
      </c>
      <c r="M12" s="143"/>
      <c r="N12" s="6" t="s">
        <v>18</v>
      </c>
      <c r="O12" s="6" t="s">
        <v>18</v>
      </c>
      <c r="P12" s="6" t="s">
        <v>18</v>
      </c>
      <c r="Q12" s="8"/>
      <c r="R12" s="6"/>
      <c r="S12" s="10"/>
      <c r="T12" s="7" t="s">
        <v>29</v>
      </c>
    </row>
    <row r="13" spans="1:20" s="5" customFormat="1">
      <c r="A13" s="36">
        <v>42870</v>
      </c>
      <c r="B13" s="5" t="s">
        <v>25</v>
      </c>
      <c r="D13" s="39">
        <v>0.2</v>
      </c>
      <c r="E13" s="5">
        <v>300</v>
      </c>
      <c r="F13" s="5">
        <v>307</v>
      </c>
      <c r="G13" s="5">
        <v>286</v>
      </c>
      <c r="H13" s="5">
        <v>330</v>
      </c>
      <c r="I13" s="8">
        <f t="shared" si="0"/>
        <v>1538.3333333333333</v>
      </c>
      <c r="J13" s="8">
        <f t="shared" si="1"/>
        <v>461500</v>
      </c>
      <c r="K13" s="6" t="s">
        <v>18</v>
      </c>
      <c r="L13" s="143" t="s">
        <v>18</v>
      </c>
      <c r="M13" s="143"/>
      <c r="N13" s="6" t="s">
        <v>18</v>
      </c>
      <c r="O13" s="6" t="s">
        <v>18</v>
      </c>
      <c r="P13" s="6" t="s">
        <v>18</v>
      </c>
      <c r="Q13" s="8"/>
      <c r="R13" s="6"/>
      <c r="S13" s="10"/>
      <c r="T13" s="7" t="s">
        <v>28</v>
      </c>
    </row>
    <row r="14" spans="1:20" s="5" customFormat="1">
      <c r="A14" s="36">
        <v>42872</v>
      </c>
      <c r="B14" s="5" t="s">
        <v>21</v>
      </c>
      <c r="C14" s="5">
        <v>2</v>
      </c>
      <c r="D14" s="39">
        <v>0.5</v>
      </c>
      <c r="E14" s="5">
        <v>500</v>
      </c>
      <c r="F14" s="5">
        <v>147</v>
      </c>
      <c r="G14" s="5">
        <v>126</v>
      </c>
      <c r="H14" s="5">
        <v>155</v>
      </c>
      <c r="I14" s="8">
        <f t="shared" si="0"/>
        <v>285.33333333333331</v>
      </c>
      <c r="J14" s="8">
        <f t="shared" si="1"/>
        <v>142666.66666666666</v>
      </c>
      <c r="K14" s="6" t="s">
        <v>18</v>
      </c>
      <c r="L14" s="143" t="s">
        <v>18</v>
      </c>
      <c r="M14" s="143"/>
      <c r="N14" s="6" t="s">
        <v>18</v>
      </c>
      <c r="O14" s="6" t="s">
        <v>18</v>
      </c>
      <c r="P14" s="6" t="s">
        <v>18</v>
      </c>
      <c r="Q14" s="8"/>
      <c r="R14" s="6"/>
      <c r="S14" s="10"/>
      <c r="T14" s="7"/>
    </row>
    <row r="15" spans="1:20" s="5" customFormat="1">
      <c r="A15" s="36">
        <v>42872</v>
      </c>
      <c r="B15" s="5" t="s">
        <v>30</v>
      </c>
      <c r="C15" s="5">
        <v>2</v>
      </c>
      <c r="D15" s="39">
        <v>1</v>
      </c>
      <c r="E15" s="5">
        <v>250</v>
      </c>
      <c r="F15" s="5">
        <v>80</v>
      </c>
      <c r="G15" s="5">
        <v>61</v>
      </c>
      <c r="H15" s="5">
        <v>81</v>
      </c>
      <c r="I15" s="8">
        <f t="shared" si="0"/>
        <v>74</v>
      </c>
      <c r="J15" s="8">
        <f t="shared" si="1"/>
        <v>18500</v>
      </c>
      <c r="K15" s="6" t="s">
        <v>18</v>
      </c>
      <c r="L15" s="143" t="s">
        <v>18</v>
      </c>
      <c r="M15" s="143"/>
      <c r="N15" s="6" t="s">
        <v>18</v>
      </c>
      <c r="O15" s="6" t="s">
        <v>18</v>
      </c>
      <c r="P15" s="6" t="s">
        <v>18</v>
      </c>
      <c r="Q15" s="8"/>
      <c r="R15" s="6"/>
      <c r="S15" s="10"/>
      <c r="T15" s="7"/>
    </row>
    <row r="16" spans="1:20" s="5" customFormat="1">
      <c r="A16" s="36">
        <v>42872</v>
      </c>
      <c r="B16" s="5" t="s">
        <v>31</v>
      </c>
      <c r="C16" s="5">
        <v>1</v>
      </c>
      <c r="D16" s="39">
        <v>0.5</v>
      </c>
      <c r="E16" s="5">
        <v>500</v>
      </c>
      <c r="F16" s="5">
        <v>242</v>
      </c>
      <c r="G16" s="5">
        <v>210</v>
      </c>
      <c r="H16" s="5">
        <v>285</v>
      </c>
      <c r="I16" s="8">
        <f t="shared" si="0"/>
        <v>491.33333333333331</v>
      </c>
      <c r="J16" s="8">
        <f t="shared" si="1"/>
        <v>245666.66666666666</v>
      </c>
      <c r="K16" s="6" t="s">
        <v>18</v>
      </c>
      <c r="L16" s="143" t="s">
        <v>18</v>
      </c>
      <c r="M16" s="143"/>
      <c r="N16" s="6" t="s">
        <v>18</v>
      </c>
      <c r="O16" s="6" t="s">
        <v>18</v>
      </c>
      <c r="P16" s="6" t="s">
        <v>18</v>
      </c>
      <c r="Q16" s="8"/>
      <c r="R16" s="6"/>
      <c r="S16" s="10"/>
      <c r="T16" s="7" t="s">
        <v>32</v>
      </c>
    </row>
    <row r="17" spans="1:20" s="5" customFormat="1">
      <c r="A17" s="36">
        <v>42872</v>
      </c>
      <c r="B17" s="5" t="s">
        <v>27</v>
      </c>
      <c r="C17" s="5">
        <v>1</v>
      </c>
      <c r="D17" s="39">
        <v>0.5</v>
      </c>
      <c r="E17" s="5">
        <v>500</v>
      </c>
      <c r="F17" s="5">
        <v>54</v>
      </c>
      <c r="G17" s="5">
        <v>55</v>
      </c>
      <c r="H17" s="5">
        <v>50</v>
      </c>
      <c r="I17" s="8">
        <f t="shared" si="0"/>
        <v>106</v>
      </c>
      <c r="J17" s="8">
        <f t="shared" si="1"/>
        <v>53000</v>
      </c>
      <c r="K17" s="6" t="s">
        <v>18</v>
      </c>
      <c r="L17" s="143" t="s">
        <v>18</v>
      </c>
      <c r="M17" s="143"/>
      <c r="N17" s="6" t="s">
        <v>18</v>
      </c>
      <c r="O17" s="6" t="s">
        <v>18</v>
      </c>
      <c r="P17" s="6" t="s">
        <v>18</v>
      </c>
      <c r="Q17" s="8"/>
      <c r="R17" s="6"/>
      <c r="S17" s="10"/>
      <c r="T17" s="7" t="s">
        <v>33</v>
      </c>
    </row>
    <row r="18" spans="1:20" s="5" customFormat="1">
      <c r="A18" s="36">
        <v>42872</v>
      </c>
      <c r="B18" s="5" t="s">
        <v>23</v>
      </c>
      <c r="C18" s="5">
        <v>1</v>
      </c>
      <c r="D18" s="39">
        <v>0.5</v>
      </c>
      <c r="E18" s="5">
        <v>150</v>
      </c>
      <c r="F18" s="5">
        <v>33</v>
      </c>
      <c r="G18" s="5">
        <v>32</v>
      </c>
      <c r="H18" s="5">
        <v>29</v>
      </c>
      <c r="I18" s="8">
        <f t="shared" si="0"/>
        <v>62.666666666666664</v>
      </c>
      <c r="J18" s="8">
        <f t="shared" si="1"/>
        <v>9400</v>
      </c>
      <c r="K18" s="6" t="s">
        <v>18</v>
      </c>
      <c r="L18" s="143" t="s">
        <v>18</v>
      </c>
      <c r="M18" s="143"/>
      <c r="N18" s="6" t="s">
        <v>18</v>
      </c>
      <c r="O18" s="6" t="s">
        <v>18</v>
      </c>
      <c r="P18" s="6" t="s">
        <v>18</v>
      </c>
      <c r="Q18" s="8"/>
      <c r="R18" s="6"/>
      <c r="S18" s="10"/>
      <c r="T18" s="7"/>
    </row>
    <row r="19" spans="1:20" s="5" customFormat="1">
      <c r="A19" s="36">
        <v>42872</v>
      </c>
      <c r="B19" s="5" t="s">
        <v>24</v>
      </c>
      <c r="C19" s="5">
        <v>2</v>
      </c>
      <c r="D19" s="39">
        <v>1</v>
      </c>
      <c r="E19" s="5">
        <v>250</v>
      </c>
      <c r="F19" s="5">
        <v>4</v>
      </c>
      <c r="G19" s="5">
        <v>12</v>
      </c>
      <c r="H19" s="5">
        <v>16</v>
      </c>
      <c r="I19" s="8">
        <f t="shared" si="0"/>
        <v>10.666666666666666</v>
      </c>
      <c r="J19" s="8">
        <f t="shared" si="1"/>
        <v>2666.6666666666665</v>
      </c>
      <c r="K19" s="6" t="s">
        <v>18</v>
      </c>
      <c r="L19" s="143" t="s">
        <v>18</v>
      </c>
      <c r="M19" s="143"/>
      <c r="N19" s="6" t="s">
        <v>18</v>
      </c>
      <c r="O19" s="6" t="s">
        <v>18</v>
      </c>
      <c r="P19" s="6" t="s">
        <v>18</v>
      </c>
      <c r="Q19" s="8"/>
      <c r="R19" s="6"/>
      <c r="S19" s="10"/>
      <c r="T19" s="7"/>
    </row>
    <row r="20" spans="1:20" s="5" customFormat="1">
      <c r="A20" s="36">
        <v>42872</v>
      </c>
      <c r="B20" s="5" t="s">
        <v>34</v>
      </c>
      <c r="C20" s="5">
        <v>1</v>
      </c>
      <c r="D20" s="39">
        <v>0.5</v>
      </c>
      <c r="E20" s="5">
        <v>500</v>
      </c>
      <c r="F20" s="5">
        <v>371</v>
      </c>
      <c r="G20" s="5">
        <v>366</v>
      </c>
      <c r="H20" s="5">
        <v>400</v>
      </c>
      <c r="I20" s="8">
        <f t="shared" si="0"/>
        <v>758</v>
      </c>
      <c r="J20" s="8">
        <f t="shared" si="1"/>
        <v>379000</v>
      </c>
      <c r="K20" s="6" t="s">
        <v>18</v>
      </c>
      <c r="L20" s="143" t="s">
        <v>18</v>
      </c>
      <c r="M20" s="143"/>
      <c r="N20" s="6" t="s">
        <v>18</v>
      </c>
      <c r="O20" s="6" t="s">
        <v>18</v>
      </c>
      <c r="P20" s="6" t="s">
        <v>18</v>
      </c>
      <c r="Q20" s="8"/>
      <c r="R20" s="6"/>
      <c r="S20" s="10"/>
      <c r="T20" s="7"/>
    </row>
    <row r="21" spans="1:20" s="5" customFormat="1">
      <c r="A21" s="36">
        <v>42872</v>
      </c>
      <c r="B21" s="5" t="s">
        <v>34</v>
      </c>
      <c r="C21" s="5">
        <v>1</v>
      </c>
      <c r="D21" s="39">
        <v>0.5</v>
      </c>
      <c r="E21" s="5">
        <v>200</v>
      </c>
      <c r="F21" s="5">
        <v>31</v>
      </c>
      <c r="G21" s="5">
        <v>40</v>
      </c>
      <c r="H21" s="5">
        <v>40</v>
      </c>
      <c r="I21" s="8">
        <f t="shared" si="0"/>
        <v>74</v>
      </c>
      <c r="J21" s="8">
        <f t="shared" si="1"/>
        <v>14800</v>
      </c>
      <c r="K21" s="6" t="s">
        <v>18</v>
      </c>
      <c r="L21" s="143" t="s">
        <v>18</v>
      </c>
      <c r="M21" s="143"/>
      <c r="N21" s="6" t="s">
        <v>18</v>
      </c>
      <c r="O21" s="6" t="s">
        <v>18</v>
      </c>
      <c r="P21" s="6" t="s">
        <v>18</v>
      </c>
      <c r="Q21" s="8"/>
      <c r="R21" s="6"/>
      <c r="S21" s="10"/>
      <c r="T21" s="7" t="s">
        <v>35</v>
      </c>
    </row>
    <row r="22" spans="1:20" s="5" customFormat="1">
      <c r="A22" s="36">
        <v>42872</v>
      </c>
      <c r="B22" s="5" t="s">
        <v>34</v>
      </c>
      <c r="C22" s="5">
        <v>1</v>
      </c>
      <c r="D22" s="39">
        <v>0.5</v>
      </c>
      <c r="E22" s="5">
        <v>200</v>
      </c>
      <c r="F22" s="5">
        <v>31</v>
      </c>
      <c r="G22" s="5">
        <v>26</v>
      </c>
      <c r="H22" s="5">
        <v>23</v>
      </c>
      <c r="I22" s="8">
        <f t="shared" si="0"/>
        <v>53.333333333333336</v>
      </c>
      <c r="J22" s="8">
        <f t="shared" si="1"/>
        <v>10666.666666666668</v>
      </c>
      <c r="K22" s="6" t="s">
        <v>18</v>
      </c>
      <c r="L22" s="143" t="s">
        <v>18</v>
      </c>
      <c r="M22" s="143"/>
      <c r="N22" s="6" t="s">
        <v>18</v>
      </c>
      <c r="O22" s="6" t="s">
        <v>18</v>
      </c>
      <c r="P22" s="6" t="s">
        <v>18</v>
      </c>
      <c r="Q22" s="8"/>
      <c r="R22" s="6"/>
      <c r="S22" s="10"/>
      <c r="T22" s="7" t="s">
        <v>35</v>
      </c>
    </row>
    <row r="23" spans="1:20" s="5" customFormat="1">
      <c r="A23" s="36">
        <v>42872</v>
      </c>
      <c r="B23" s="5" t="s">
        <v>25</v>
      </c>
      <c r="C23" s="5">
        <v>2</v>
      </c>
      <c r="D23" s="39">
        <v>1</v>
      </c>
      <c r="E23" s="5">
        <v>250</v>
      </c>
      <c r="F23" s="5">
        <v>3</v>
      </c>
      <c r="G23" s="5">
        <v>7</v>
      </c>
      <c r="H23" s="5">
        <v>7</v>
      </c>
      <c r="I23" s="8">
        <f t="shared" si="0"/>
        <v>5.666666666666667</v>
      </c>
      <c r="J23" s="8">
        <f t="shared" si="1"/>
        <v>1416.6666666666667</v>
      </c>
      <c r="K23" s="6" t="s">
        <v>18</v>
      </c>
      <c r="L23" s="143" t="s">
        <v>18</v>
      </c>
      <c r="M23" s="143"/>
      <c r="N23" s="6" t="s">
        <v>18</v>
      </c>
      <c r="O23" s="6" t="s">
        <v>18</v>
      </c>
      <c r="P23" s="6" t="s">
        <v>18</v>
      </c>
      <c r="Q23" s="8"/>
      <c r="R23" s="6"/>
      <c r="S23" s="10"/>
      <c r="T23" s="7"/>
    </row>
    <row r="24" spans="1:20" s="5" customFormat="1">
      <c r="A24" s="36">
        <v>42872</v>
      </c>
      <c r="B24" s="5" t="s">
        <v>36</v>
      </c>
      <c r="C24" s="5">
        <v>2</v>
      </c>
      <c r="D24" s="39">
        <v>0.5</v>
      </c>
      <c r="E24" s="5">
        <v>800</v>
      </c>
      <c r="F24" s="5">
        <v>136</v>
      </c>
      <c r="G24" s="5">
        <v>131</v>
      </c>
      <c r="H24" s="5">
        <v>134</v>
      </c>
      <c r="I24" s="8">
        <f t="shared" si="0"/>
        <v>267.33333333333331</v>
      </c>
      <c r="J24" s="8">
        <f t="shared" si="1"/>
        <v>213866.66666666666</v>
      </c>
      <c r="K24" s="6" t="s">
        <v>18</v>
      </c>
      <c r="L24" s="143" t="s">
        <v>18</v>
      </c>
      <c r="M24" s="143"/>
      <c r="N24" s="6" t="s">
        <v>18</v>
      </c>
      <c r="O24" s="6" t="s">
        <v>18</v>
      </c>
      <c r="P24" s="6" t="s">
        <v>18</v>
      </c>
      <c r="Q24" s="8"/>
      <c r="R24" s="6"/>
      <c r="S24" s="10"/>
      <c r="T24" s="7"/>
    </row>
    <row r="25" spans="1:20" s="5" customFormat="1">
      <c r="A25" s="36">
        <v>42872</v>
      </c>
      <c r="B25" s="5" t="s">
        <v>36</v>
      </c>
      <c r="C25" s="5">
        <v>2</v>
      </c>
      <c r="D25" s="39">
        <v>0.5</v>
      </c>
      <c r="E25" s="5">
        <v>250</v>
      </c>
      <c r="F25" s="5">
        <v>5</v>
      </c>
      <c r="G25" s="5">
        <v>8</v>
      </c>
      <c r="H25" s="5">
        <v>12</v>
      </c>
      <c r="I25" s="8">
        <f t="shared" si="0"/>
        <v>16.666666666666668</v>
      </c>
      <c r="J25" s="8">
        <f t="shared" si="1"/>
        <v>4166.666666666667</v>
      </c>
      <c r="K25" s="6" t="s">
        <v>18</v>
      </c>
      <c r="L25" s="143" t="s">
        <v>18</v>
      </c>
      <c r="M25" s="143"/>
      <c r="N25" s="6" t="s">
        <v>18</v>
      </c>
      <c r="O25" s="6" t="s">
        <v>18</v>
      </c>
      <c r="P25" s="6" t="s">
        <v>18</v>
      </c>
      <c r="Q25" s="8"/>
      <c r="R25" s="6"/>
      <c r="S25" s="10"/>
      <c r="T25" s="7"/>
    </row>
    <row r="26" spans="1:20" s="5" customFormat="1">
      <c r="A26" s="36">
        <v>42873</v>
      </c>
      <c r="B26" s="5" t="s">
        <v>37</v>
      </c>
      <c r="D26" s="39">
        <v>0.5</v>
      </c>
      <c r="E26" s="5">
        <v>350</v>
      </c>
      <c r="F26" s="5">
        <v>33</v>
      </c>
      <c r="G26" s="5">
        <v>32</v>
      </c>
      <c r="H26" s="5">
        <v>38</v>
      </c>
      <c r="I26" s="8">
        <f t="shared" si="0"/>
        <v>68.666666666666671</v>
      </c>
      <c r="J26" s="8">
        <f t="shared" si="1"/>
        <v>24033.333333333336</v>
      </c>
      <c r="K26" s="6" t="s">
        <v>18</v>
      </c>
      <c r="L26" s="143" t="s">
        <v>18</v>
      </c>
      <c r="M26" s="143"/>
      <c r="N26" s="6" t="s">
        <v>18</v>
      </c>
      <c r="O26" s="6" t="s">
        <v>18</v>
      </c>
      <c r="P26" s="6" t="s">
        <v>18</v>
      </c>
      <c r="Q26" s="8"/>
      <c r="R26" s="6"/>
      <c r="S26" s="10"/>
      <c r="T26" s="7"/>
    </row>
    <row r="27" spans="1:20" s="5" customFormat="1">
      <c r="A27" s="36">
        <v>42873</v>
      </c>
      <c r="B27" s="5" t="s">
        <v>31</v>
      </c>
      <c r="D27" s="39">
        <v>1</v>
      </c>
      <c r="E27" s="5">
        <v>250</v>
      </c>
      <c r="F27" s="5">
        <v>2</v>
      </c>
      <c r="G27" s="5">
        <v>4</v>
      </c>
      <c r="H27" s="5">
        <v>6</v>
      </c>
      <c r="I27" s="8">
        <f t="shared" si="0"/>
        <v>4</v>
      </c>
      <c r="J27" s="8">
        <f t="shared" si="1"/>
        <v>1000</v>
      </c>
      <c r="K27" s="6" t="s">
        <v>18</v>
      </c>
      <c r="L27" s="143" t="s">
        <v>18</v>
      </c>
      <c r="M27" s="143"/>
      <c r="N27" s="6" t="s">
        <v>18</v>
      </c>
      <c r="O27" s="6" t="s">
        <v>18</v>
      </c>
      <c r="P27" s="6" t="s">
        <v>18</v>
      </c>
      <c r="Q27" s="8"/>
      <c r="R27" s="6"/>
      <c r="S27" s="10"/>
      <c r="T27" s="7"/>
    </row>
    <row r="28" spans="1:20" s="5" customFormat="1">
      <c r="A28" s="36">
        <v>42873</v>
      </c>
      <c r="B28" s="5" t="s">
        <v>27</v>
      </c>
      <c r="D28" s="39">
        <v>1</v>
      </c>
      <c r="E28" s="5">
        <v>250</v>
      </c>
      <c r="F28" s="5">
        <v>0</v>
      </c>
      <c r="G28" s="5">
        <v>1</v>
      </c>
      <c r="H28" s="5">
        <v>2</v>
      </c>
      <c r="I28" s="8">
        <f t="shared" si="0"/>
        <v>1</v>
      </c>
      <c r="J28" s="8">
        <f t="shared" si="1"/>
        <v>250</v>
      </c>
      <c r="K28" s="6" t="s">
        <v>18</v>
      </c>
      <c r="L28" s="143" t="s">
        <v>18</v>
      </c>
      <c r="M28" s="143"/>
      <c r="N28" s="6" t="s">
        <v>18</v>
      </c>
      <c r="O28" s="6" t="s">
        <v>18</v>
      </c>
      <c r="P28" s="6" t="s">
        <v>18</v>
      </c>
      <c r="Q28" s="8"/>
      <c r="R28" s="6"/>
      <c r="S28" s="10"/>
      <c r="T28" s="7"/>
    </row>
    <row r="29" spans="1:20" s="5" customFormat="1">
      <c r="A29" s="36">
        <v>42873</v>
      </c>
      <c r="B29" s="5" t="s">
        <v>23</v>
      </c>
      <c r="D29" s="39">
        <v>1</v>
      </c>
      <c r="E29" s="5">
        <v>250</v>
      </c>
      <c r="F29" s="5">
        <v>23</v>
      </c>
      <c r="G29" s="5">
        <v>26</v>
      </c>
      <c r="H29" s="5">
        <v>20</v>
      </c>
      <c r="I29" s="8">
        <f t="shared" si="0"/>
        <v>23</v>
      </c>
      <c r="J29" s="8">
        <f t="shared" si="1"/>
        <v>5750</v>
      </c>
      <c r="K29" s="6" t="s">
        <v>18</v>
      </c>
      <c r="L29" s="143" t="s">
        <v>18</v>
      </c>
      <c r="M29" s="143"/>
      <c r="N29" s="6" t="s">
        <v>18</v>
      </c>
      <c r="O29" s="6" t="s">
        <v>18</v>
      </c>
      <c r="P29" s="6" t="s">
        <v>18</v>
      </c>
      <c r="Q29" s="8"/>
      <c r="R29" s="6"/>
      <c r="S29" s="10"/>
      <c r="T29" s="7"/>
    </row>
    <row r="30" spans="1:20" s="5" customFormat="1">
      <c r="A30" s="36">
        <v>42873</v>
      </c>
      <c r="B30" s="5" t="s">
        <v>24</v>
      </c>
      <c r="D30" s="39">
        <v>1</v>
      </c>
      <c r="E30" s="5">
        <v>200</v>
      </c>
      <c r="F30" s="5">
        <v>1</v>
      </c>
      <c r="G30" s="5">
        <v>1</v>
      </c>
      <c r="H30" s="5">
        <v>1</v>
      </c>
      <c r="I30" s="8">
        <f t="shared" si="0"/>
        <v>1</v>
      </c>
      <c r="J30" s="8">
        <f t="shared" si="1"/>
        <v>200</v>
      </c>
      <c r="K30" s="6" t="s">
        <v>18</v>
      </c>
      <c r="L30" s="143" t="s">
        <v>18</v>
      </c>
      <c r="M30" s="143"/>
      <c r="N30" s="6" t="s">
        <v>18</v>
      </c>
      <c r="O30" s="6" t="s">
        <v>18</v>
      </c>
      <c r="P30" s="6" t="s">
        <v>18</v>
      </c>
      <c r="Q30" s="8"/>
      <c r="R30" s="6"/>
      <c r="S30" s="10"/>
      <c r="T30" s="7"/>
    </row>
    <row r="31" spans="1:20" s="5" customFormat="1">
      <c r="A31" s="36">
        <v>42873</v>
      </c>
      <c r="B31" s="5" t="s">
        <v>34</v>
      </c>
      <c r="D31" s="39">
        <v>1</v>
      </c>
      <c r="E31" s="5">
        <v>300</v>
      </c>
      <c r="F31" s="5">
        <v>27</v>
      </c>
      <c r="G31" s="5">
        <v>43</v>
      </c>
      <c r="H31" s="5">
        <v>42</v>
      </c>
      <c r="I31" s="8">
        <f t="shared" si="0"/>
        <v>37.333333333333336</v>
      </c>
      <c r="J31" s="8">
        <f t="shared" si="1"/>
        <v>11200</v>
      </c>
      <c r="K31" s="6" t="s">
        <v>18</v>
      </c>
      <c r="L31" s="143" t="s">
        <v>18</v>
      </c>
      <c r="M31" s="143"/>
      <c r="N31" s="6" t="s">
        <v>18</v>
      </c>
      <c r="O31" s="6" t="s">
        <v>18</v>
      </c>
      <c r="P31" s="6" t="s">
        <v>18</v>
      </c>
      <c r="Q31" s="8"/>
      <c r="R31" s="6"/>
      <c r="S31" s="10"/>
      <c r="T31" s="7"/>
    </row>
    <row r="32" spans="1:20" s="5" customFormat="1">
      <c r="A32" s="36">
        <v>42873</v>
      </c>
      <c r="B32" s="5" t="s">
        <v>36</v>
      </c>
      <c r="D32" s="39">
        <v>1</v>
      </c>
      <c r="E32" s="5">
        <v>250</v>
      </c>
      <c r="F32" s="5">
        <v>16</v>
      </c>
      <c r="G32" s="5">
        <v>11</v>
      </c>
      <c r="H32" s="5">
        <v>16</v>
      </c>
      <c r="I32" s="8">
        <f t="shared" si="0"/>
        <v>14.333333333333334</v>
      </c>
      <c r="J32" s="8">
        <f t="shared" si="1"/>
        <v>3583.3333333333335</v>
      </c>
      <c r="K32" s="6" t="s">
        <v>18</v>
      </c>
      <c r="L32" s="143" t="s">
        <v>18</v>
      </c>
      <c r="M32" s="143"/>
      <c r="N32" s="6" t="s">
        <v>18</v>
      </c>
      <c r="O32" s="6" t="s">
        <v>18</v>
      </c>
      <c r="P32" s="6" t="s">
        <v>18</v>
      </c>
      <c r="Q32" s="8"/>
      <c r="R32" s="6"/>
      <c r="S32" s="10"/>
      <c r="T32" s="7"/>
    </row>
    <row r="33" spans="1:20" s="5" customFormat="1">
      <c r="A33" s="36">
        <v>42874</v>
      </c>
      <c r="B33" s="5" t="s">
        <v>37</v>
      </c>
      <c r="D33" s="39">
        <v>2</v>
      </c>
      <c r="E33" s="5">
        <v>500</v>
      </c>
      <c r="F33" s="5">
        <v>49</v>
      </c>
      <c r="G33" s="5">
        <v>44</v>
      </c>
      <c r="H33" s="5">
        <v>50</v>
      </c>
      <c r="I33" s="8">
        <f t="shared" si="0"/>
        <v>23.833333333333332</v>
      </c>
      <c r="J33" s="8">
        <f t="shared" si="1"/>
        <v>11916.666666666666</v>
      </c>
      <c r="K33" s="43">
        <v>17</v>
      </c>
      <c r="L33" s="143"/>
      <c r="M33" s="143"/>
      <c r="N33" s="5">
        <v>500</v>
      </c>
      <c r="O33" s="8">
        <f t="shared" ref="O33:O96" si="2">N33*I33</f>
        <v>11916.666666666666</v>
      </c>
      <c r="P33" s="5" t="s">
        <v>18</v>
      </c>
      <c r="Q33" s="8"/>
      <c r="S33" s="10"/>
      <c r="T33" s="7"/>
    </row>
    <row r="34" spans="1:20" s="5" customFormat="1">
      <c r="A34" s="36">
        <v>42874</v>
      </c>
      <c r="B34" s="5" t="s">
        <v>38</v>
      </c>
      <c r="D34" s="39">
        <v>2</v>
      </c>
      <c r="E34" s="5">
        <v>175</v>
      </c>
      <c r="F34" s="5">
        <v>27</v>
      </c>
      <c r="G34" s="5">
        <v>23</v>
      </c>
      <c r="H34" s="5">
        <v>20</v>
      </c>
      <c r="I34" s="8">
        <f t="shared" ref="I34:I65" si="3">AVERAGE(F34:H34)/D34</f>
        <v>11.666666666666666</v>
      </c>
      <c r="J34" s="8">
        <f t="shared" si="1"/>
        <v>2041.6666666666665</v>
      </c>
      <c r="K34" s="43">
        <v>19</v>
      </c>
      <c r="L34" s="143"/>
      <c r="M34" s="143"/>
      <c r="N34" s="5">
        <v>175</v>
      </c>
      <c r="O34" s="8">
        <f t="shared" si="2"/>
        <v>2041.6666666666665</v>
      </c>
      <c r="P34" s="5" t="s">
        <v>18</v>
      </c>
      <c r="Q34" s="8"/>
      <c r="S34" s="10"/>
      <c r="T34" s="7"/>
    </row>
    <row r="35" spans="1:20" s="5" customFormat="1">
      <c r="A35" s="36">
        <v>42874</v>
      </c>
      <c r="B35" s="5" t="s">
        <v>39</v>
      </c>
      <c r="D35" s="39">
        <v>1</v>
      </c>
      <c r="E35" s="5">
        <v>150</v>
      </c>
      <c r="F35" s="5">
        <v>2</v>
      </c>
      <c r="G35" s="5">
        <v>1</v>
      </c>
      <c r="H35" s="5">
        <v>4</v>
      </c>
      <c r="I35" s="8">
        <f t="shared" si="3"/>
        <v>2.3333333333333335</v>
      </c>
      <c r="J35" s="8">
        <f t="shared" si="1"/>
        <v>350</v>
      </c>
      <c r="K35" s="43">
        <v>8</v>
      </c>
      <c r="L35" s="143"/>
      <c r="M35" s="143"/>
      <c r="N35" s="5">
        <v>150</v>
      </c>
      <c r="O35" s="8">
        <f t="shared" si="2"/>
        <v>350</v>
      </c>
      <c r="P35" s="5" t="s">
        <v>18</v>
      </c>
      <c r="Q35" s="8"/>
      <c r="S35" s="10"/>
      <c r="T35" s="7"/>
    </row>
    <row r="36" spans="1:20" s="5" customFormat="1">
      <c r="A36" s="36">
        <v>42874</v>
      </c>
      <c r="B36" s="5" t="s">
        <v>23</v>
      </c>
      <c r="D36" s="39">
        <v>0.5</v>
      </c>
      <c r="E36" s="5">
        <v>800</v>
      </c>
      <c r="F36" s="5">
        <v>133</v>
      </c>
      <c r="G36" s="5">
        <v>139</v>
      </c>
      <c r="H36" s="5">
        <v>106</v>
      </c>
      <c r="I36" s="8">
        <f t="shared" si="3"/>
        <v>252</v>
      </c>
      <c r="J36" s="8">
        <f t="shared" si="1"/>
        <v>201600</v>
      </c>
      <c r="K36" s="43">
        <v>5</v>
      </c>
      <c r="L36" s="143">
        <v>80640</v>
      </c>
      <c r="M36" s="143">
        <f>L36/I36</f>
        <v>320</v>
      </c>
      <c r="N36" s="5">
        <v>320</v>
      </c>
      <c r="O36" s="8">
        <f t="shared" si="2"/>
        <v>80640</v>
      </c>
      <c r="P36" s="5" t="s">
        <v>18</v>
      </c>
      <c r="Q36" s="8"/>
      <c r="S36" s="10"/>
      <c r="T36" s="7" t="s">
        <v>40</v>
      </c>
    </row>
    <row r="37" spans="1:20" s="5" customFormat="1">
      <c r="A37" s="36">
        <v>42875</v>
      </c>
      <c r="B37" s="5" t="s">
        <v>17</v>
      </c>
      <c r="D37" s="39">
        <v>0.5</v>
      </c>
      <c r="E37" s="5">
        <v>500</v>
      </c>
      <c r="F37" s="5">
        <v>95</v>
      </c>
      <c r="G37" s="5">
        <v>103</v>
      </c>
      <c r="H37" s="5">
        <v>126</v>
      </c>
      <c r="I37" s="8">
        <f t="shared" si="3"/>
        <v>216</v>
      </c>
      <c r="J37" s="8">
        <f t="shared" si="1"/>
        <v>108000</v>
      </c>
      <c r="K37" s="44">
        <v>22</v>
      </c>
      <c r="L37" s="143"/>
      <c r="M37" s="143"/>
      <c r="N37" s="5">
        <v>500</v>
      </c>
      <c r="O37" s="8">
        <f t="shared" si="2"/>
        <v>108000</v>
      </c>
      <c r="P37" s="5" t="s">
        <v>18</v>
      </c>
      <c r="Q37" s="8">
        <f t="shared" ref="Q37:Q68" si="4">J37-O37</f>
        <v>0</v>
      </c>
      <c r="R37" s="4"/>
      <c r="S37" s="10"/>
      <c r="T37" s="7" t="s">
        <v>41</v>
      </c>
    </row>
    <row r="38" spans="1:20" s="5" customFormat="1">
      <c r="A38" s="36">
        <v>42875</v>
      </c>
      <c r="B38" s="5" t="s">
        <v>38</v>
      </c>
      <c r="D38" s="39">
        <v>0.5</v>
      </c>
      <c r="E38" s="5">
        <v>500</v>
      </c>
      <c r="F38" s="5">
        <v>89</v>
      </c>
      <c r="G38" s="5">
        <v>94</v>
      </c>
      <c r="H38" s="5">
        <v>86</v>
      </c>
      <c r="I38" s="8">
        <f t="shared" si="3"/>
        <v>179.33333333333334</v>
      </c>
      <c r="J38" s="8">
        <f t="shared" si="1"/>
        <v>89666.666666666672</v>
      </c>
      <c r="K38" s="44">
        <v>19</v>
      </c>
      <c r="L38" s="143"/>
      <c r="M38" s="143"/>
      <c r="N38" s="5">
        <v>500</v>
      </c>
      <c r="O38" s="8">
        <f t="shared" si="2"/>
        <v>89666.666666666672</v>
      </c>
      <c r="P38" s="5" t="s">
        <v>18</v>
      </c>
      <c r="Q38" s="8">
        <f t="shared" si="4"/>
        <v>0</v>
      </c>
      <c r="R38" s="4"/>
      <c r="S38" s="10"/>
      <c r="T38" s="7" t="s">
        <v>41</v>
      </c>
    </row>
    <row r="39" spans="1:20" s="5" customFormat="1">
      <c r="A39" s="36">
        <v>42875</v>
      </c>
      <c r="B39" s="5" t="s">
        <v>24</v>
      </c>
      <c r="D39" s="39">
        <v>0.5</v>
      </c>
      <c r="E39" s="5">
        <v>750</v>
      </c>
      <c r="F39" s="5">
        <v>192</v>
      </c>
      <c r="G39" s="5">
        <v>180</v>
      </c>
      <c r="H39" s="5">
        <v>190</v>
      </c>
      <c r="I39" s="8">
        <f t="shared" si="3"/>
        <v>374.66666666666669</v>
      </c>
      <c r="J39" s="8">
        <f t="shared" si="1"/>
        <v>281000</v>
      </c>
      <c r="K39" s="44">
        <v>7</v>
      </c>
      <c r="L39" s="143"/>
      <c r="M39" s="143"/>
      <c r="N39" s="5">
        <v>500</v>
      </c>
      <c r="O39" s="8">
        <f t="shared" si="2"/>
        <v>187333.33333333334</v>
      </c>
      <c r="P39" s="5" t="s">
        <v>18</v>
      </c>
      <c r="Q39" s="8">
        <f t="shared" si="4"/>
        <v>93666.666666666657</v>
      </c>
      <c r="R39" s="4"/>
      <c r="S39" s="10"/>
      <c r="T39" s="7" t="s">
        <v>43</v>
      </c>
    </row>
    <row r="40" spans="1:20" s="5" customFormat="1">
      <c r="A40" s="36">
        <v>42875</v>
      </c>
      <c r="B40" s="5" t="s">
        <v>44</v>
      </c>
      <c r="D40" s="39">
        <v>1</v>
      </c>
      <c r="E40" s="5">
        <v>200</v>
      </c>
      <c r="F40" s="5">
        <v>56</v>
      </c>
      <c r="G40" s="5">
        <v>54</v>
      </c>
      <c r="H40" s="5">
        <v>68</v>
      </c>
      <c r="I40" s="8">
        <f t="shared" si="3"/>
        <v>59.333333333333336</v>
      </c>
      <c r="J40" s="8">
        <f t="shared" si="1"/>
        <v>11866.666666666668</v>
      </c>
      <c r="K40" s="44">
        <v>3</v>
      </c>
      <c r="L40" s="143"/>
      <c r="M40" s="143"/>
      <c r="N40" s="5">
        <v>200</v>
      </c>
      <c r="O40" s="8">
        <f t="shared" si="2"/>
        <v>11866.666666666668</v>
      </c>
      <c r="P40" s="5" t="s">
        <v>18</v>
      </c>
      <c r="Q40" s="8">
        <f t="shared" si="4"/>
        <v>0</v>
      </c>
      <c r="R40" s="4"/>
      <c r="S40" s="10"/>
      <c r="T40" s="7" t="s">
        <v>45</v>
      </c>
    </row>
    <row r="41" spans="1:20" s="5" customFormat="1">
      <c r="A41" s="36">
        <v>42875</v>
      </c>
      <c r="B41" s="5" t="s">
        <v>27</v>
      </c>
      <c r="D41" s="39">
        <v>0.5</v>
      </c>
      <c r="E41" s="5">
        <v>800</v>
      </c>
      <c r="F41" s="5">
        <v>201</v>
      </c>
      <c r="G41" s="5">
        <v>194</v>
      </c>
      <c r="H41" s="5">
        <v>185</v>
      </c>
      <c r="I41" s="8">
        <f t="shared" si="3"/>
        <v>386.66666666666669</v>
      </c>
      <c r="J41" s="8">
        <f t="shared" si="1"/>
        <v>309333.33333333337</v>
      </c>
      <c r="K41" s="44">
        <v>5</v>
      </c>
      <c r="L41" s="143"/>
      <c r="M41" s="143"/>
      <c r="N41" s="5">
        <v>300</v>
      </c>
      <c r="O41" s="8">
        <f t="shared" si="2"/>
        <v>116000</v>
      </c>
      <c r="P41" s="5" t="s">
        <v>53</v>
      </c>
      <c r="Q41" s="8">
        <f t="shared" si="4"/>
        <v>193333.33333333337</v>
      </c>
      <c r="R41" s="4">
        <v>42877</v>
      </c>
      <c r="S41" s="10"/>
      <c r="T41" s="7" t="s">
        <v>42</v>
      </c>
    </row>
    <row r="42" spans="1:20" s="5" customFormat="1">
      <c r="A42" s="36">
        <v>42875</v>
      </c>
      <c r="B42" s="5" t="s">
        <v>23</v>
      </c>
      <c r="D42" s="39">
        <v>0.5</v>
      </c>
      <c r="E42" s="5">
        <v>280</v>
      </c>
      <c r="F42" s="5">
        <v>16</v>
      </c>
      <c r="G42" s="5">
        <v>17</v>
      </c>
      <c r="H42" s="5">
        <v>15</v>
      </c>
      <c r="I42" s="8">
        <f t="shared" si="3"/>
        <v>32</v>
      </c>
      <c r="J42" s="8">
        <f t="shared" si="1"/>
        <v>8960</v>
      </c>
      <c r="K42" s="44">
        <v>5</v>
      </c>
      <c r="L42" s="143"/>
      <c r="M42" s="143"/>
      <c r="N42" s="5">
        <v>280</v>
      </c>
      <c r="O42" s="8">
        <f t="shared" si="2"/>
        <v>8960</v>
      </c>
      <c r="P42" s="5" t="s">
        <v>54</v>
      </c>
      <c r="Q42" s="8">
        <f t="shared" si="4"/>
        <v>0</v>
      </c>
      <c r="R42" s="4">
        <v>42877</v>
      </c>
      <c r="S42" s="10"/>
      <c r="T42" s="7" t="s">
        <v>41</v>
      </c>
    </row>
    <row r="43" spans="1:20" s="5" customFormat="1">
      <c r="A43" s="36">
        <v>42876</v>
      </c>
      <c r="B43" s="5" t="s">
        <v>17</v>
      </c>
      <c r="D43" s="39">
        <v>1</v>
      </c>
      <c r="E43" s="5">
        <v>250</v>
      </c>
      <c r="F43" s="5">
        <v>53</v>
      </c>
      <c r="G43" s="5">
        <v>61</v>
      </c>
      <c r="H43" s="5">
        <v>45</v>
      </c>
      <c r="I43" s="8">
        <f t="shared" si="3"/>
        <v>53</v>
      </c>
      <c r="J43" s="8">
        <f t="shared" si="1"/>
        <v>13250</v>
      </c>
      <c r="K43" s="44">
        <v>22</v>
      </c>
      <c r="L43" s="143"/>
      <c r="M43" s="143"/>
      <c r="N43" s="45">
        <v>250</v>
      </c>
      <c r="O43" s="41">
        <f t="shared" si="2"/>
        <v>13250</v>
      </c>
      <c r="P43" s="5" t="s">
        <v>18</v>
      </c>
      <c r="Q43" s="8">
        <f t="shared" si="4"/>
        <v>0</v>
      </c>
      <c r="R43" s="4"/>
      <c r="S43" s="11"/>
      <c r="T43" s="7"/>
    </row>
    <row r="44" spans="1:20" s="5" customFormat="1">
      <c r="A44" s="36">
        <v>42876</v>
      </c>
      <c r="B44" s="5" t="s">
        <v>47</v>
      </c>
      <c r="D44" s="39">
        <v>0.5</v>
      </c>
      <c r="E44" s="5">
        <v>800</v>
      </c>
      <c r="F44" s="5">
        <v>81</v>
      </c>
      <c r="G44" s="5">
        <v>80</v>
      </c>
      <c r="H44" s="5">
        <v>76</v>
      </c>
      <c r="I44" s="8">
        <f t="shared" si="3"/>
        <v>158</v>
      </c>
      <c r="J44" s="8">
        <f t="shared" si="1"/>
        <v>126400</v>
      </c>
      <c r="K44" s="44">
        <v>12</v>
      </c>
      <c r="L44" s="143"/>
      <c r="M44" s="143"/>
      <c r="N44" s="45">
        <v>350</v>
      </c>
      <c r="O44" s="41">
        <f t="shared" si="2"/>
        <v>55300</v>
      </c>
      <c r="P44" s="5" t="s">
        <v>18</v>
      </c>
      <c r="Q44" s="8">
        <f t="shared" si="4"/>
        <v>71100</v>
      </c>
      <c r="R44" s="4"/>
      <c r="S44" s="10"/>
      <c r="T44" s="7"/>
    </row>
    <row r="45" spans="1:20" s="5" customFormat="1">
      <c r="A45" s="36">
        <v>42876</v>
      </c>
      <c r="B45" s="5" t="s">
        <v>36</v>
      </c>
      <c r="D45" s="39">
        <v>1</v>
      </c>
      <c r="E45" s="5">
        <v>250</v>
      </c>
      <c r="F45" s="5">
        <v>33</v>
      </c>
      <c r="G45" s="5">
        <v>38</v>
      </c>
      <c r="H45" s="5">
        <v>27</v>
      </c>
      <c r="I45" s="8">
        <f t="shared" si="3"/>
        <v>32.666666666666664</v>
      </c>
      <c r="J45" s="8">
        <f t="shared" si="1"/>
        <v>8166.6666666666661</v>
      </c>
      <c r="K45" s="44">
        <v>16</v>
      </c>
      <c r="L45" s="143"/>
      <c r="M45" s="143"/>
      <c r="N45" s="45">
        <v>250</v>
      </c>
      <c r="O45" s="41">
        <f t="shared" si="2"/>
        <v>8166.6666666666661</v>
      </c>
      <c r="P45" s="5" t="s">
        <v>18</v>
      </c>
      <c r="Q45" s="8">
        <f t="shared" si="4"/>
        <v>0</v>
      </c>
      <c r="R45" s="4"/>
      <c r="S45" s="10"/>
      <c r="T45" s="7"/>
    </row>
    <row r="46" spans="1:20" s="5" customFormat="1">
      <c r="A46" s="36">
        <v>42876</v>
      </c>
      <c r="B46" s="5" t="s">
        <v>46</v>
      </c>
      <c r="D46" s="39">
        <v>0.5</v>
      </c>
      <c r="E46" s="5">
        <v>800</v>
      </c>
      <c r="F46" s="5">
        <v>72</v>
      </c>
      <c r="G46" s="5">
        <v>71</v>
      </c>
      <c r="H46" s="5">
        <v>88</v>
      </c>
      <c r="I46" s="8">
        <f t="shared" si="3"/>
        <v>154</v>
      </c>
      <c r="J46" s="8">
        <f t="shared" si="1"/>
        <v>123200</v>
      </c>
      <c r="K46" s="44">
        <v>23</v>
      </c>
      <c r="L46" s="143"/>
      <c r="M46" s="143"/>
      <c r="N46" s="45">
        <v>350</v>
      </c>
      <c r="O46" s="41">
        <f t="shared" si="2"/>
        <v>53900</v>
      </c>
      <c r="P46" s="5" t="s">
        <v>59</v>
      </c>
      <c r="Q46" s="8">
        <f t="shared" si="4"/>
        <v>69300</v>
      </c>
      <c r="R46" s="4">
        <v>42877</v>
      </c>
      <c r="S46" s="10"/>
      <c r="T46" s="7"/>
    </row>
    <row r="47" spans="1:20" s="5" customFormat="1">
      <c r="A47" s="36">
        <v>42876</v>
      </c>
      <c r="B47" s="5" t="s">
        <v>27</v>
      </c>
      <c r="D47" s="39">
        <v>0.5</v>
      </c>
      <c r="E47" s="5">
        <v>800</v>
      </c>
      <c r="F47" s="5">
        <v>278</v>
      </c>
      <c r="G47" s="5">
        <v>294</v>
      </c>
      <c r="H47" s="5">
        <v>267</v>
      </c>
      <c r="I47" s="8">
        <f t="shared" si="3"/>
        <v>559.33333333333337</v>
      </c>
      <c r="J47" s="8">
        <f t="shared" si="1"/>
        <v>447466.66666666669</v>
      </c>
      <c r="K47" s="44">
        <v>11</v>
      </c>
      <c r="L47" s="143"/>
      <c r="M47" s="143"/>
      <c r="N47" s="45">
        <v>150</v>
      </c>
      <c r="O47" s="41">
        <f t="shared" si="2"/>
        <v>83900</v>
      </c>
      <c r="P47" s="5" t="s">
        <v>57</v>
      </c>
      <c r="Q47" s="8">
        <f t="shared" si="4"/>
        <v>363566.66666666669</v>
      </c>
      <c r="R47" s="4">
        <v>42877</v>
      </c>
      <c r="S47" s="10"/>
      <c r="T47" s="7" t="s">
        <v>58</v>
      </c>
    </row>
    <row r="48" spans="1:20" s="5" customFormat="1">
      <c r="A48" s="36">
        <v>42876</v>
      </c>
      <c r="B48" s="5" t="s">
        <v>23</v>
      </c>
      <c r="D48" s="39">
        <v>0.5</v>
      </c>
      <c r="E48" s="5">
        <v>800</v>
      </c>
      <c r="F48" s="5">
        <v>118</v>
      </c>
      <c r="G48" s="5">
        <v>125</v>
      </c>
      <c r="H48" s="5">
        <v>122</v>
      </c>
      <c r="I48" s="8">
        <f t="shared" si="3"/>
        <v>243.33333333333334</v>
      </c>
      <c r="J48" s="8">
        <f t="shared" si="1"/>
        <v>194666.66666666669</v>
      </c>
      <c r="K48" s="44">
        <v>11</v>
      </c>
      <c r="L48" s="143"/>
      <c r="M48" s="143"/>
      <c r="N48" s="45">
        <v>250</v>
      </c>
      <c r="O48" s="41">
        <f t="shared" si="2"/>
        <v>60833.333333333336</v>
      </c>
      <c r="P48" s="5" t="s">
        <v>57</v>
      </c>
      <c r="Q48" s="8">
        <f t="shared" si="4"/>
        <v>133833.33333333334</v>
      </c>
      <c r="R48" s="4">
        <v>42877</v>
      </c>
      <c r="S48" s="10"/>
      <c r="T48" s="7" t="s">
        <v>58</v>
      </c>
    </row>
    <row r="49" spans="1:20" s="5" customFormat="1">
      <c r="A49" s="36">
        <v>42876</v>
      </c>
      <c r="B49" s="5" t="s">
        <v>34</v>
      </c>
      <c r="D49" s="39">
        <v>0.5</v>
      </c>
      <c r="E49" s="5">
        <v>800</v>
      </c>
      <c r="F49" s="5">
        <v>116</v>
      </c>
      <c r="G49" s="5">
        <v>102</v>
      </c>
      <c r="H49" s="5">
        <v>105</v>
      </c>
      <c r="I49" s="8">
        <f t="shared" si="3"/>
        <v>215.33333333333334</v>
      </c>
      <c r="J49" s="8">
        <f t="shared" si="1"/>
        <v>172266.66666666669</v>
      </c>
      <c r="K49" s="44">
        <v>7</v>
      </c>
      <c r="L49" s="143"/>
      <c r="M49" s="143"/>
      <c r="N49" s="45">
        <v>250</v>
      </c>
      <c r="O49" s="41">
        <f t="shared" si="2"/>
        <v>53833.333333333336</v>
      </c>
      <c r="P49" s="5" t="s">
        <v>60</v>
      </c>
      <c r="Q49" s="8">
        <f t="shared" si="4"/>
        <v>118433.33333333334</v>
      </c>
      <c r="R49" s="4">
        <v>42877</v>
      </c>
      <c r="S49" s="10"/>
      <c r="T49" s="7"/>
    </row>
    <row r="50" spans="1:20" s="5" customFormat="1">
      <c r="A50" s="36">
        <v>42876</v>
      </c>
      <c r="B50" s="5" t="s">
        <v>44</v>
      </c>
      <c r="D50" s="39">
        <v>0.5</v>
      </c>
      <c r="E50" s="5">
        <v>800</v>
      </c>
      <c r="F50" s="5">
        <v>177</v>
      </c>
      <c r="G50" s="5">
        <v>158</v>
      </c>
      <c r="H50" s="5">
        <v>134</v>
      </c>
      <c r="I50" s="8">
        <f t="shared" si="3"/>
        <v>312.66666666666669</v>
      </c>
      <c r="J50" s="8">
        <f t="shared" si="1"/>
        <v>250133.33333333334</v>
      </c>
      <c r="K50" s="44">
        <v>13</v>
      </c>
      <c r="L50" s="143"/>
      <c r="M50" s="143"/>
      <c r="N50" s="45">
        <v>150</v>
      </c>
      <c r="O50" s="41">
        <f t="shared" si="2"/>
        <v>46900</v>
      </c>
      <c r="P50" s="5" t="s">
        <v>55</v>
      </c>
      <c r="Q50" s="8">
        <f t="shared" si="4"/>
        <v>203233.33333333334</v>
      </c>
      <c r="R50" s="4">
        <v>42877</v>
      </c>
      <c r="S50" s="10"/>
      <c r="T50" s="7" t="s">
        <v>56</v>
      </c>
    </row>
    <row r="51" spans="1:20" s="5" customFormat="1">
      <c r="A51" s="36">
        <v>42876</v>
      </c>
      <c r="B51" s="5" t="s">
        <v>48</v>
      </c>
      <c r="D51" s="39">
        <v>0.5</v>
      </c>
      <c r="E51" s="5">
        <v>800</v>
      </c>
      <c r="F51" s="5">
        <v>145</v>
      </c>
      <c r="G51" s="5">
        <v>104</v>
      </c>
      <c r="H51" s="5">
        <v>145</v>
      </c>
      <c r="I51" s="8">
        <f t="shared" si="3"/>
        <v>262.66666666666669</v>
      </c>
      <c r="J51" s="8">
        <f t="shared" si="1"/>
        <v>210133.33333333334</v>
      </c>
      <c r="K51" s="44">
        <v>13</v>
      </c>
      <c r="L51" s="143"/>
      <c r="M51" s="143"/>
      <c r="N51" s="45">
        <v>200</v>
      </c>
      <c r="O51" s="41">
        <f t="shared" si="2"/>
        <v>52533.333333333336</v>
      </c>
      <c r="P51" s="5" t="s">
        <v>55</v>
      </c>
      <c r="Q51" s="8">
        <f t="shared" si="4"/>
        <v>157600</v>
      </c>
      <c r="R51" s="4">
        <v>42877</v>
      </c>
      <c r="S51" s="10"/>
      <c r="T51" s="7" t="s">
        <v>56</v>
      </c>
    </row>
    <row r="52" spans="1:20" s="5" customFormat="1">
      <c r="A52" s="36">
        <v>42877</v>
      </c>
      <c r="B52" s="5" t="s">
        <v>17</v>
      </c>
      <c r="D52" s="39">
        <v>1</v>
      </c>
      <c r="E52" s="5">
        <v>125</v>
      </c>
      <c r="F52" s="5">
        <v>5</v>
      </c>
      <c r="G52" s="5">
        <v>6</v>
      </c>
      <c r="H52" s="5">
        <v>4</v>
      </c>
      <c r="I52" s="8">
        <f t="shared" si="3"/>
        <v>5</v>
      </c>
      <c r="J52" s="8">
        <f t="shared" si="1"/>
        <v>625</v>
      </c>
      <c r="K52" s="44">
        <v>22</v>
      </c>
      <c r="L52" s="143"/>
      <c r="M52" s="143"/>
      <c r="N52" s="45">
        <v>125</v>
      </c>
      <c r="O52" s="41">
        <f t="shared" si="2"/>
        <v>625</v>
      </c>
      <c r="P52" s="5" t="s">
        <v>18</v>
      </c>
      <c r="Q52" s="8">
        <f t="shared" si="4"/>
        <v>0</v>
      </c>
      <c r="R52" s="4"/>
      <c r="S52" s="10"/>
      <c r="T52" s="7"/>
    </row>
    <row r="53" spans="1:20" s="5" customFormat="1">
      <c r="A53" s="36">
        <v>42877</v>
      </c>
      <c r="B53" s="5" t="s">
        <v>46</v>
      </c>
      <c r="D53" s="39">
        <v>1</v>
      </c>
      <c r="E53" s="5">
        <v>200</v>
      </c>
      <c r="F53" s="5">
        <v>10</v>
      </c>
      <c r="G53" s="5">
        <v>9</v>
      </c>
      <c r="H53" s="5">
        <v>8</v>
      </c>
      <c r="I53" s="8">
        <f t="shared" si="3"/>
        <v>9</v>
      </c>
      <c r="J53" s="8">
        <f t="shared" si="1"/>
        <v>1800</v>
      </c>
      <c r="K53" s="44">
        <v>23</v>
      </c>
      <c r="L53" s="143"/>
      <c r="M53" s="143"/>
      <c r="N53" s="45">
        <v>200</v>
      </c>
      <c r="O53" s="41">
        <f t="shared" si="2"/>
        <v>1800</v>
      </c>
      <c r="P53" s="5" t="s">
        <v>18</v>
      </c>
      <c r="Q53" s="8">
        <f t="shared" si="4"/>
        <v>0</v>
      </c>
      <c r="R53" s="4"/>
      <c r="S53" s="10"/>
      <c r="T53" s="7"/>
    </row>
    <row r="54" spans="1:20" s="5" customFormat="1">
      <c r="A54" s="36">
        <v>42877</v>
      </c>
      <c r="B54" s="5" t="s">
        <v>49</v>
      </c>
      <c r="D54" s="39">
        <v>1</v>
      </c>
      <c r="E54" s="5">
        <v>250</v>
      </c>
      <c r="F54" s="5">
        <v>1</v>
      </c>
      <c r="G54" s="5">
        <v>3</v>
      </c>
      <c r="H54" s="5">
        <v>3</v>
      </c>
      <c r="I54" s="8">
        <f t="shared" si="3"/>
        <v>2.3333333333333335</v>
      </c>
      <c r="J54" s="8">
        <f t="shared" si="1"/>
        <v>583.33333333333337</v>
      </c>
      <c r="K54" s="44">
        <v>12</v>
      </c>
      <c r="L54" s="143"/>
      <c r="M54" s="143"/>
      <c r="N54" s="45">
        <v>250</v>
      </c>
      <c r="O54" s="41">
        <f t="shared" si="2"/>
        <v>583.33333333333337</v>
      </c>
      <c r="P54" s="5" t="s">
        <v>18</v>
      </c>
      <c r="Q54" s="8">
        <f t="shared" si="4"/>
        <v>0</v>
      </c>
      <c r="R54" s="4"/>
      <c r="S54" s="10"/>
      <c r="T54" s="7"/>
    </row>
    <row r="55" spans="1:20" s="5" customFormat="1">
      <c r="A55" s="36">
        <v>42877</v>
      </c>
      <c r="B55" s="5" t="s">
        <v>50</v>
      </c>
      <c r="D55" s="39">
        <v>1</v>
      </c>
      <c r="E55" s="5">
        <v>175</v>
      </c>
      <c r="F55" s="5">
        <v>3</v>
      </c>
      <c r="G55" s="5">
        <v>4</v>
      </c>
      <c r="H55" s="5">
        <v>1</v>
      </c>
      <c r="I55" s="8">
        <f t="shared" si="3"/>
        <v>2.6666666666666665</v>
      </c>
      <c r="J55" s="8">
        <f t="shared" si="1"/>
        <v>466.66666666666663</v>
      </c>
      <c r="K55" s="44">
        <v>8</v>
      </c>
      <c r="L55" s="143"/>
      <c r="M55" s="143"/>
      <c r="N55" s="45">
        <v>175</v>
      </c>
      <c r="O55" s="41">
        <f t="shared" si="2"/>
        <v>466.66666666666663</v>
      </c>
      <c r="P55" s="5" t="s">
        <v>18</v>
      </c>
      <c r="Q55" s="8">
        <f t="shared" si="4"/>
        <v>0</v>
      </c>
      <c r="R55" s="4"/>
      <c r="S55" s="10"/>
      <c r="T55" s="7"/>
    </row>
    <row r="56" spans="1:20" s="5" customFormat="1">
      <c r="A56" s="36">
        <v>42877</v>
      </c>
      <c r="B56" s="5" t="s">
        <v>23</v>
      </c>
      <c r="D56" s="39">
        <v>1</v>
      </c>
      <c r="E56" s="5">
        <v>200</v>
      </c>
      <c r="F56" s="5">
        <v>17</v>
      </c>
      <c r="G56" s="5">
        <v>18</v>
      </c>
      <c r="H56" s="5">
        <v>16</v>
      </c>
      <c r="I56" s="8">
        <f t="shared" si="3"/>
        <v>17</v>
      </c>
      <c r="J56" s="8">
        <f t="shared" si="1"/>
        <v>3400</v>
      </c>
      <c r="K56" s="44">
        <v>11</v>
      </c>
      <c r="L56" s="143"/>
      <c r="M56" s="143"/>
      <c r="N56" s="45">
        <v>200</v>
      </c>
      <c r="O56" s="41">
        <f t="shared" si="2"/>
        <v>3400</v>
      </c>
      <c r="P56" s="5" t="s">
        <v>18</v>
      </c>
      <c r="Q56" s="8">
        <f t="shared" si="4"/>
        <v>0</v>
      </c>
      <c r="R56" s="4"/>
      <c r="S56" s="10"/>
      <c r="T56" s="7"/>
    </row>
    <row r="57" spans="1:20" s="5" customFormat="1">
      <c r="A57" s="36">
        <v>42877</v>
      </c>
      <c r="B57" s="5" t="s">
        <v>36</v>
      </c>
      <c r="D57" s="39">
        <v>1</v>
      </c>
      <c r="E57" s="5">
        <v>250</v>
      </c>
      <c r="F57" s="5">
        <v>97</v>
      </c>
      <c r="G57" s="5">
        <v>101</v>
      </c>
      <c r="H57" s="5">
        <v>96</v>
      </c>
      <c r="I57" s="8">
        <f t="shared" si="3"/>
        <v>98</v>
      </c>
      <c r="J57" s="8">
        <f t="shared" si="1"/>
        <v>24500</v>
      </c>
      <c r="K57" s="44">
        <v>16</v>
      </c>
      <c r="L57" s="143"/>
      <c r="M57" s="143"/>
      <c r="N57" s="45">
        <v>250</v>
      </c>
      <c r="O57" s="41">
        <f t="shared" si="2"/>
        <v>24500</v>
      </c>
      <c r="P57" s="5" t="s">
        <v>18</v>
      </c>
      <c r="Q57" s="8">
        <f t="shared" si="4"/>
        <v>0</v>
      </c>
      <c r="R57" s="4"/>
      <c r="S57" s="10"/>
      <c r="T57" s="7"/>
    </row>
    <row r="58" spans="1:20" s="5" customFormat="1">
      <c r="A58" s="36">
        <v>42877</v>
      </c>
      <c r="B58" s="5" t="s">
        <v>44</v>
      </c>
      <c r="D58" s="39">
        <v>0.5</v>
      </c>
      <c r="E58" s="5">
        <v>800</v>
      </c>
      <c r="F58" s="5">
        <v>75</v>
      </c>
      <c r="G58" s="5">
        <v>79</v>
      </c>
      <c r="H58" s="5">
        <v>101</v>
      </c>
      <c r="I58" s="8">
        <f t="shared" si="3"/>
        <v>170</v>
      </c>
      <c r="J58" s="8">
        <f t="shared" si="1"/>
        <v>136000</v>
      </c>
      <c r="K58" s="44">
        <v>13</v>
      </c>
      <c r="L58" s="143"/>
      <c r="M58" s="143"/>
      <c r="N58" s="45">
        <v>300</v>
      </c>
      <c r="O58" s="41">
        <f t="shared" si="2"/>
        <v>51000</v>
      </c>
      <c r="P58" s="5" t="s">
        <v>61</v>
      </c>
      <c r="Q58" s="8">
        <f t="shared" si="4"/>
        <v>85000</v>
      </c>
      <c r="R58" s="4">
        <v>42877</v>
      </c>
      <c r="S58" s="10"/>
      <c r="T58" s="7"/>
    </row>
    <row r="59" spans="1:20" s="5" customFormat="1">
      <c r="A59" s="36">
        <v>42878</v>
      </c>
      <c r="B59" s="5" t="s">
        <v>49</v>
      </c>
      <c r="C59" s="5">
        <v>12</v>
      </c>
      <c r="D59" s="39">
        <v>1</v>
      </c>
      <c r="E59" s="5">
        <v>200</v>
      </c>
      <c r="F59" s="5">
        <v>17</v>
      </c>
      <c r="G59" s="5">
        <v>7</v>
      </c>
      <c r="H59" s="5">
        <v>10</v>
      </c>
      <c r="I59" s="8">
        <f t="shared" si="3"/>
        <v>11.333333333333334</v>
      </c>
      <c r="J59" s="8">
        <f t="shared" si="1"/>
        <v>2266.666666666667</v>
      </c>
      <c r="K59" s="44">
        <v>12</v>
      </c>
      <c r="L59" s="143"/>
      <c r="M59" s="143"/>
      <c r="N59" s="45">
        <v>200</v>
      </c>
      <c r="O59" s="41">
        <f t="shared" si="2"/>
        <v>2266.666666666667</v>
      </c>
      <c r="P59" s="5" t="s">
        <v>18</v>
      </c>
      <c r="Q59" s="8">
        <f t="shared" si="4"/>
        <v>0</v>
      </c>
      <c r="S59" s="10"/>
      <c r="T59" s="7"/>
    </row>
    <row r="60" spans="1:20" s="5" customFormat="1">
      <c r="A60" s="36">
        <v>42878</v>
      </c>
      <c r="B60" s="5" t="s">
        <v>51</v>
      </c>
      <c r="C60" s="5">
        <v>13</v>
      </c>
      <c r="D60" s="39">
        <v>1</v>
      </c>
      <c r="E60" s="5">
        <v>150</v>
      </c>
      <c r="F60" s="5">
        <v>7</v>
      </c>
      <c r="G60" s="5">
        <v>9</v>
      </c>
      <c r="H60" s="5">
        <v>4</v>
      </c>
      <c r="I60" s="8">
        <f t="shared" si="3"/>
        <v>6.666666666666667</v>
      </c>
      <c r="J60" s="8">
        <f t="shared" si="1"/>
        <v>1000</v>
      </c>
      <c r="K60" s="44">
        <v>13</v>
      </c>
      <c r="L60" s="143"/>
      <c r="M60" s="143"/>
      <c r="N60" s="45">
        <v>150</v>
      </c>
      <c r="O60" s="41">
        <f t="shared" si="2"/>
        <v>1000</v>
      </c>
      <c r="P60" s="5" t="s">
        <v>18</v>
      </c>
      <c r="Q60" s="8">
        <f t="shared" si="4"/>
        <v>0</v>
      </c>
      <c r="S60" s="10"/>
      <c r="T60" s="7"/>
    </row>
    <row r="61" spans="1:20" s="5" customFormat="1">
      <c r="A61" s="36">
        <v>42878</v>
      </c>
      <c r="B61" s="5" t="s">
        <v>20</v>
      </c>
      <c r="D61" s="39">
        <v>0.5</v>
      </c>
      <c r="E61" s="5">
        <v>800</v>
      </c>
      <c r="F61" s="5">
        <v>148</v>
      </c>
      <c r="G61" s="5">
        <v>144</v>
      </c>
      <c r="H61" s="5">
        <v>160</v>
      </c>
      <c r="I61" s="8">
        <f t="shared" si="3"/>
        <v>301.33333333333331</v>
      </c>
      <c r="J61" s="8">
        <f t="shared" si="1"/>
        <v>241066.66666666666</v>
      </c>
      <c r="K61" s="44">
        <v>17</v>
      </c>
      <c r="L61" s="143"/>
      <c r="M61" s="143"/>
      <c r="N61" s="45">
        <v>175</v>
      </c>
      <c r="O61" s="41">
        <f t="shared" si="2"/>
        <v>52733.333333333328</v>
      </c>
      <c r="P61" s="5" t="s">
        <v>63</v>
      </c>
      <c r="Q61" s="8">
        <f t="shared" si="4"/>
        <v>188333.33333333331</v>
      </c>
      <c r="R61" s="4">
        <v>42878</v>
      </c>
      <c r="S61" s="10"/>
      <c r="T61" s="7"/>
    </row>
    <row r="62" spans="1:20" s="5" customFormat="1">
      <c r="A62" s="36">
        <v>42878</v>
      </c>
      <c r="B62" s="5" t="s">
        <v>46</v>
      </c>
      <c r="D62" s="39">
        <v>1</v>
      </c>
      <c r="E62" s="5">
        <v>800</v>
      </c>
      <c r="F62" s="5">
        <v>156</v>
      </c>
      <c r="G62" s="5">
        <v>159</v>
      </c>
      <c r="H62" s="5">
        <v>176</v>
      </c>
      <c r="I62" s="8">
        <f t="shared" si="3"/>
        <v>163.66666666666666</v>
      </c>
      <c r="J62" s="8">
        <f t="shared" si="1"/>
        <v>130933.33333333333</v>
      </c>
      <c r="K62" s="44">
        <v>23</v>
      </c>
      <c r="L62" s="143"/>
      <c r="M62" s="143"/>
      <c r="N62" s="45">
        <v>300</v>
      </c>
      <c r="O62" s="41">
        <f t="shared" si="2"/>
        <v>49100</v>
      </c>
      <c r="P62" s="5" t="s">
        <v>62</v>
      </c>
      <c r="Q62" s="8">
        <f t="shared" si="4"/>
        <v>81833.333333333328</v>
      </c>
      <c r="R62" s="4">
        <v>42878</v>
      </c>
      <c r="S62" s="10"/>
      <c r="T62" s="7"/>
    </row>
    <row r="63" spans="1:20" s="5" customFormat="1">
      <c r="A63" s="36">
        <v>42878</v>
      </c>
      <c r="B63" s="5" t="s">
        <v>27</v>
      </c>
      <c r="D63" s="39">
        <v>0.5</v>
      </c>
      <c r="E63" s="5">
        <v>350</v>
      </c>
      <c r="F63" s="5">
        <v>40</v>
      </c>
      <c r="G63" s="5">
        <v>64</v>
      </c>
      <c r="H63" s="5">
        <v>60</v>
      </c>
      <c r="I63" s="8">
        <f t="shared" si="3"/>
        <v>109.33333333333333</v>
      </c>
      <c r="J63" s="8">
        <f t="shared" si="1"/>
        <v>38266.666666666664</v>
      </c>
      <c r="K63" s="44">
        <v>11</v>
      </c>
      <c r="L63" s="143"/>
      <c r="M63" s="143"/>
      <c r="N63" s="45">
        <v>200</v>
      </c>
      <c r="O63" s="41">
        <f t="shared" si="2"/>
        <v>21866.666666666664</v>
      </c>
      <c r="P63" s="5" t="s">
        <v>64</v>
      </c>
      <c r="Q63" s="8">
        <f t="shared" si="4"/>
        <v>16400</v>
      </c>
      <c r="S63" s="10"/>
      <c r="T63" s="7"/>
    </row>
    <row r="64" spans="1:20" s="5" customFormat="1">
      <c r="A64" s="36">
        <v>42878</v>
      </c>
      <c r="B64" s="5" t="s">
        <v>34</v>
      </c>
      <c r="C64" s="5">
        <v>7</v>
      </c>
      <c r="D64" s="39">
        <v>0.5</v>
      </c>
      <c r="E64" s="5">
        <v>600</v>
      </c>
      <c r="F64" s="5">
        <v>43</v>
      </c>
      <c r="G64" s="5">
        <v>63</v>
      </c>
      <c r="H64" s="5">
        <v>63</v>
      </c>
      <c r="I64" s="8">
        <f t="shared" si="3"/>
        <v>112.66666666666667</v>
      </c>
      <c r="J64" s="8">
        <f t="shared" si="1"/>
        <v>67600</v>
      </c>
      <c r="K64" s="44">
        <v>7</v>
      </c>
      <c r="L64" s="143"/>
      <c r="M64" s="143"/>
      <c r="N64" s="45">
        <v>300</v>
      </c>
      <c r="O64" s="41">
        <f t="shared" si="2"/>
        <v>33800</v>
      </c>
      <c r="P64" s="5" t="s">
        <v>65</v>
      </c>
      <c r="Q64" s="8">
        <f t="shared" si="4"/>
        <v>33800</v>
      </c>
      <c r="S64" s="10"/>
      <c r="T64" s="7"/>
    </row>
    <row r="65" spans="1:21" s="5" customFormat="1">
      <c r="A65" s="36">
        <v>42878</v>
      </c>
      <c r="B65" s="5" t="s">
        <v>36</v>
      </c>
      <c r="D65" s="39">
        <v>0.5</v>
      </c>
      <c r="E65" s="5">
        <v>640</v>
      </c>
      <c r="F65" s="5">
        <v>162</v>
      </c>
      <c r="G65" s="5">
        <v>151</v>
      </c>
      <c r="H65" s="5">
        <v>177</v>
      </c>
      <c r="I65" s="8">
        <f t="shared" si="3"/>
        <v>326.66666666666669</v>
      </c>
      <c r="J65" s="8">
        <f t="shared" si="1"/>
        <v>209066.66666666669</v>
      </c>
      <c r="K65" s="44">
        <v>16</v>
      </c>
      <c r="L65" s="143"/>
      <c r="M65" s="143"/>
      <c r="N65" s="45">
        <v>200</v>
      </c>
      <c r="O65" s="41">
        <f t="shared" si="2"/>
        <v>65333.333333333336</v>
      </c>
      <c r="P65" s="5" t="s">
        <v>66</v>
      </c>
      <c r="Q65" s="8">
        <f t="shared" si="4"/>
        <v>143733.33333333334</v>
      </c>
      <c r="S65" s="10"/>
      <c r="T65" s="7"/>
    </row>
    <row r="66" spans="1:21" s="5" customFormat="1">
      <c r="A66" s="36">
        <v>42879</v>
      </c>
      <c r="B66" s="5" t="s">
        <v>88</v>
      </c>
      <c r="D66" s="39">
        <v>0.5</v>
      </c>
      <c r="E66" s="5">
        <v>800</v>
      </c>
      <c r="F66" s="5">
        <v>131</v>
      </c>
      <c r="G66" s="5">
        <v>137</v>
      </c>
      <c r="H66" s="5">
        <v>118</v>
      </c>
      <c r="I66" s="8">
        <f t="shared" ref="I66:I97" si="5">AVERAGE(F66:H66)/D66</f>
        <v>257.33333333333331</v>
      </c>
      <c r="J66" s="8">
        <f t="shared" ref="J66:J129" si="6">I66*E66</f>
        <v>205866.66666666666</v>
      </c>
      <c r="K66" s="6">
        <v>19</v>
      </c>
      <c r="L66" s="143">
        <v>50000</v>
      </c>
      <c r="M66" s="143">
        <f>L66/I66</f>
        <v>194.30051813471505</v>
      </c>
      <c r="N66" s="5">
        <v>200</v>
      </c>
      <c r="O66" s="8">
        <f t="shared" si="2"/>
        <v>51466.666666666664</v>
      </c>
      <c r="P66" s="5" t="s">
        <v>89</v>
      </c>
      <c r="Q66" s="8">
        <f t="shared" si="4"/>
        <v>154400</v>
      </c>
      <c r="R66" s="4">
        <v>42879</v>
      </c>
      <c r="S66" s="10"/>
      <c r="T66" s="7"/>
    </row>
    <row r="67" spans="1:21" s="5" customFormat="1">
      <c r="A67" s="36">
        <v>42879</v>
      </c>
      <c r="B67" s="5" t="s">
        <v>17</v>
      </c>
      <c r="D67" s="39">
        <v>0.5</v>
      </c>
      <c r="E67" s="5">
        <v>350</v>
      </c>
      <c r="F67" s="5">
        <v>51</v>
      </c>
      <c r="G67" s="5">
        <v>54</v>
      </c>
      <c r="H67" s="5">
        <v>56</v>
      </c>
      <c r="I67" s="8">
        <f t="shared" si="5"/>
        <v>107.33333333333333</v>
      </c>
      <c r="J67" s="8">
        <f t="shared" si="6"/>
        <v>37566.666666666664</v>
      </c>
      <c r="K67" s="6"/>
      <c r="L67" s="143">
        <v>25000</v>
      </c>
      <c r="M67" s="143">
        <f>L67/I67</f>
        <v>232.91925465838511</v>
      </c>
      <c r="N67" s="5">
        <v>225</v>
      </c>
      <c r="O67" s="8">
        <f t="shared" si="2"/>
        <v>24150</v>
      </c>
      <c r="P67" s="5" t="s">
        <v>93</v>
      </c>
      <c r="Q67" s="8">
        <f t="shared" si="4"/>
        <v>13416.666666666664</v>
      </c>
      <c r="S67" s="10"/>
      <c r="T67" s="7"/>
    </row>
    <row r="68" spans="1:21" s="5" customFormat="1">
      <c r="A68" s="36">
        <v>42879</v>
      </c>
      <c r="B68" s="5" t="s">
        <v>20</v>
      </c>
      <c r="D68" s="39">
        <v>0.5</v>
      </c>
      <c r="E68" s="5">
        <v>500</v>
      </c>
      <c r="F68" s="5">
        <v>65</v>
      </c>
      <c r="G68" s="5">
        <v>73</v>
      </c>
      <c r="H68" s="5">
        <v>62</v>
      </c>
      <c r="I68" s="8">
        <f t="shared" si="5"/>
        <v>133.33333333333334</v>
      </c>
      <c r="J68" s="8">
        <f t="shared" si="6"/>
        <v>66666.666666666672</v>
      </c>
      <c r="K68" s="6"/>
      <c r="L68" s="143">
        <v>50000</v>
      </c>
      <c r="M68" s="143">
        <f>L68/I68</f>
        <v>375</v>
      </c>
      <c r="N68" s="5">
        <v>375</v>
      </c>
      <c r="O68" s="8">
        <f t="shared" si="2"/>
        <v>50000</v>
      </c>
      <c r="P68" s="5" t="s">
        <v>91</v>
      </c>
      <c r="Q68" s="8">
        <f t="shared" si="4"/>
        <v>16666.666666666672</v>
      </c>
      <c r="S68" s="10"/>
      <c r="T68" s="7"/>
    </row>
    <row r="69" spans="1:21" s="5" customFormat="1">
      <c r="A69" s="36">
        <v>42879</v>
      </c>
      <c r="B69" s="5" t="s">
        <v>36</v>
      </c>
      <c r="D69" s="39">
        <v>0.5</v>
      </c>
      <c r="E69" s="5">
        <v>250</v>
      </c>
      <c r="F69" s="5">
        <v>9</v>
      </c>
      <c r="G69" s="5">
        <v>12</v>
      </c>
      <c r="H69" s="5">
        <v>6</v>
      </c>
      <c r="I69" s="8">
        <f t="shared" si="5"/>
        <v>18</v>
      </c>
      <c r="J69" s="8">
        <f t="shared" si="6"/>
        <v>4500</v>
      </c>
      <c r="K69" s="6"/>
      <c r="L69" s="143"/>
      <c r="M69" s="143">
        <f>L69/I69</f>
        <v>0</v>
      </c>
      <c r="N69" s="5">
        <v>250</v>
      </c>
      <c r="O69" s="8">
        <f t="shared" si="2"/>
        <v>4500</v>
      </c>
      <c r="Q69" s="8">
        <f t="shared" ref="Q69:Q101" si="7">J69-O69</f>
        <v>0</v>
      </c>
      <c r="S69" s="10"/>
      <c r="T69" s="7"/>
    </row>
    <row r="70" spans="1:21" s="5" customFormat="1">
      <c r="A70" s="36">
        <v>42879</v>
      </c>
      <c r="B70" s="5" t="s">
        <v>46</v>
      </c>
      <c r="D70" s="39">
        <v>0.5</v>
      </c>
      <c r="E70" s="5">
        <v>530</v>
      </c>
      <c r="F70" s="5">
        <v>45</v>
      </c>
      <c r="G70" s="5">
        <v>51</v>
      </c>
      <c r="H70" s="5">
        <v>41</v>
      </c>
      <c r="I70" s="8">
        <f t="shared" si="5"/>
        <v>91.333333333333329</v>
      </c>
      <c r="J70" s="8">
        <f t="shared" si="6"/>
        <v>48406.666666666664</v>
      </c>
      <c r="K70" s="6"/>
      <c r="L70" s="143"/>
      <c r="M70" s="143"/>
      <c r="N70" s="5">
        <v>250</v>
      </c>
      <c r="O70" s="8">
        <f t="shared" si="2"/>
        <v>22833.333333333332</v>
      </c>
      <c r="P70" s="5" t="s">
        <v>90</v>
      </c>
      <c r="Q70" s="8">
        <f t="shared" si="7"/>
        <v>25573.333333333332</v>
      </c>
      <c r="S70" s="10"/>
      <c r="T70" s="7"/>
    </row>
    <row r="71" spans="1:21" s="5" customFormat="1">
      <c r="A71" s="36">
        <v>42879</v>
      </c>
      <c r="B71" s="12" t="s">
        <v>94</v>
      </c>
      <c r="C71" s="12"/>
      <c r="D71" s="40">
        <v>0.5</v>
      </c>
      <c r="E71" s="12">
        <v>1000</v>
      </c>
      <c r="F71" s="12">
        <v>151</v>
      </c>
      <c r="G71" s="12">
        <v>139</v>
      </c>
      <c r="H71" s="12">
        <v>157</v>
      </c>
      <c r="I71" s="13">
        <f t="shared" si="5"/>
        <v>298</v>
      </c>
      <c r="J71" s="13">
        <f t="shared" si="6"/>
        <v>298000</v>
      </c>
      <c r="K71" s="12">
        <v>9</v>
      </c>
      <c r="L71" s="143">
        <v>50000</v>
      </c>
      <c r="M71" s="143">
        <f>L71/I71</f>
        <v>167.78523489932886</v>
      </c>
      <c r="N71" s="12">
        <v>200</v>
      </c>
      <c r="O71" s="13">
        <f t="shared" si="2"/>
        <v>59600</v>
      </c>
      <c r="P71" s="12" t="s">
        <v>95</v>
      </c>
      <c r="Q71" s="13">
        <f t="shared" si="7"/>
        <v>238400</v>
      </c>
      <c r="R71" s="12"/>
      <c r="S71" s="12"/>
      <c r="T71" s="14" t="s">
        <v>96</v>
      </c>
      <c r="U71" s="12"/>
    </row>
    <row r="72" spans="1:21">
      <c r="A72" s="36">
        <v>42879</v>
      </c>
      <c r="B72" s="5" t="s">
        <v>47</v>
      </c>
      <c r="C72" s="5"/>
      <c r="D72" s="39">
        <v>0.5</v>
      </c>
      <c r="E72" s="5">
        <v>800</v>
      </c>
      <c r="F72" s="5">
        <v>122</v>
      </c>
      <c r="G72" s="5">
        <v>123</v>
      </c>
      <c r="H72" s="5">
        <v>104</v>
      </c>
      <c r="I72" s="8">
        <f t="shared" si="5"/>
        <v>232.66666666666666</v>
      </c>
      <c r="J72" s="8">
        <f t="shared" si="6"/>
        <v>186133.33333333331</v>
      </c>
      <c r="K72" s="6">
        <v>12</v>
      </c>
      <c r="L72" s="143">
        <v>50000</v>
      </c>
      <c r="M72" s="143">
        <f>L72/I72</f>
        <v>214.89971346704871</v>
      </c>
      <c r="N72" s="5">
        <v>225</v>
      </c>
      <c r="O72" s="8">
        <f t="shared" si="2"/>
        <v>52350</v>
      </c>
      <c r="P72" s="5" t="s">
        <v>92</v>
      </c>
      <c r="Q72" s="8">
        <f t="shared" si="7"/>
        <v>133783.33333333331</v>
      </c>
      <c r="R72" s="5"/>
      <c r="S72" s="10"/>
      <c r="T72" s="7"/>
      <c r="U72" s="5"/>
    </row>
    <row r="73" spans="1:21">
      <c r="A73" s="36">
        <v>42880</v>
      </c>
      <c r="B73" s="12" t="s">
        <v>50</v>
      </c>
      <c r="D73" s="40">
        <v>0.5</v>
      </c>
      <c r="E73" s="12">
        <v>300</v>
      </c>
      <c r="F73" s="12">
        <v>16</v>
      </c>
      <c r="G73" s="12">
        <v>21</v>
      </c>
      <c r="H73" s="12">
        <v>17</v>
      </c>
      <c r="I73" s="13">
        <f t="shared" si="5"/>
        <v>36</v>
      </c>
      <c r="J73" s="13">
        <f t="shared" si="6"/>
        <v>10800</v>
      </c>
      <c r="K73" s="12">
        <v>8</v>
      </c>
      <c r="M73" s="143">
        <f>L73/I73</f>
        <v>0</v>
      </c>
      <c r="N73" s="12">
        <v>300</v>
      </c>
      <c r="O73" s="13">
        <f t="shared" si="2"/>
        <v>10800</v>
      </c>
      <c r="Q73" s="13">
        <f t="shared" si="7"/>
        <v>0</v>
      </c>
      <c r="T73" s="46"/>
    </row>
    <row r="74" spans="1:21">
      <c r="A74" s="36">
        <v>42880</v>
      </c>
      <c r="B74" s="12" t="s">
        <v>20</v>
      </c>
      <c r="D74" s="40">
        <v>0.5</v>
      </c>
      <c r="E74" s="12">
        <v>300</v>
      </c>
      <c r="F74" s="12">
        <v>6</v>
      </c>
      <c r="G74" s="12">
        <v>3</v>
      </c>
      <c r="H74" s="12">
        <v>8</v>
      </c>
      <c r="I74" s="13">
        <f t="shared" si="5"/>
        <v>11.333333333333334</v>
      </c>
      <c r="J74" s="13">
        <f t="shared" si="6"/>
        <v>3400</v>
      </c>
      <c r="K74" s="12">
        <v>17</v>
      </c>
      <c r="M74" s="143">
        <f>L74/I74</f>
        <v>0</v>
      </c>
      <c r="N74" s="12">
        <v>300</v>
      </c>
      <c r="O74" s="13">
        <f t="shared" si="2"/>
        <v>3400</v>
      </c>
      <c r="Q74" s="13">
        <f t="shared" si="7"/>
        <v>0</v>
      </c>
    </row>
    <row r="75" spans="1:21">
      <c r="A75" s="47">
        <v>42880</v>
      </c>
      <c r="B75" s="12" t="s">
        <v>88</v>
      </c>
      <c r="D75" s="40">
        <v>0.5</v>
      </c>
      <c r="E75" s="12">
        <v>420</v>
      </c>
      <c r="F75" s="12">
        <v>30</v>
      </c>
      <c r="G75" s="12">
        <v>41</v>
      </c>
      <c r="H75" s="12">
        <v>23</v>
      </c>
      <c r="I75" s="13">
        <f t="shared" si="5"/>
        <v>62.666666666666664</v>
      </c>
      <c r="J75" s="13">
        <f t="shared" si="6"/>
        <v>26320</v>
      </c>
      <c r="K75" s="12">
        <v>19</v>
      </c>
      <c r="N75" s="12">
        <v>420</v>
      </c>
      <c r="O75" s="13">
        <f t="shared" si="2"/>
        <v>26320</v>
      </c>
      <c r="Q75" s="13">
        <f t="shared" si="7"/>
        <v>0</v>
      </c>
    </row>
    <row r="76" spans="1:21">
      <c r="A76" s="47">
        <v>42880</v>
      </c>
      <c r="B76" s="12" t="s">
        <v>17</v>
      </c>
      <c r="D76" s="40">
        <v>0.5</v>
      </c>
      <c r="E76" s="12">
        <v>310</v>
      </c>
      <c r="F76" s="12">
        <v>37</v>
      </c>
      <c r="G76" s="12">
        <v>58</v>
      </c>
      <c r="H76" s="12">
        <v>56</v>
      </c>
      <c r="I76" s="13">
        <f t="shared" si="5"/>
        <v>100.66666666666667</v>
      </c>
      <c r="J76" s="13">
        <f t="shared" si="6"/>
        <v>31206.666666666668</v>
      </c>
      <c r="K76" s="12">
        <v>22</v>
      </c>
      <c r="L76" s="144">
        <v>50000</v>
      </c>
      <c r="M76" s="145"/>
      <c r="N76" s="12">
        <v>310</v>
      </c>
      <c r="O76" s="13">
        <f t="shared" si="2"/>
        <v>31206.666666666668</v>
      </c>
      <c r="Q76" s="13">
        <f t="shared" si="7"/>
        <v>0</v>
      </c>
    </row>
    <row r="77" spans="1:21">
      <c r="A77" s="36">
        <v>42880</v>
      </c>
      <c r="B77" s="12" t="s">
        <v>98</v>
      </c>
      <c r="D77" s="40">
        <v>0.5</v>
      </c>
      <c r="E77" s="12">
        <v>800</v>
      </c>
      <c r="F77" s="12">
        <v>155</v>
      </c>
      <c r="I77" s="13">
        <f t="shared" si="5"/>
        <v>310</v>
      </c>
      <c r="J77" s="13">
        <f t="shared" si="6"/>
        <v>248000</v>
      </c>
      <c r="K77" s="12">
        <v>3</v>
      </c>
      <c r="L77" s="144">
        <v>50000</v>
      </c>
      <c r="M77" s="143">
        <f t="shared" ref="M77:M107" si="8">L77/I77</f>
        <v>161.29032258064515</v>
      </c>
      <c r="N77" s="12">
        <v>225</v>
      </c>
      <c r="O77" s="13">
        <f t="shared" si="2"/>
        <v>69750</v>
      </c>
      <c r="P77" s="12" t="s">
        <v>101</v>
      </c>
      <c r="Q77" s="13">
        <f t="shared" si="7"/>
        <v>178250</v>
      </c>
      <c r="T77" s="46" t="s">
        <v>96</v>
      </c>
    </row>
    <row r="78" spans="1:21">
      <c r="A78" s="36">
        <v>42880</v>
      </c>
      <c r="B78" s="12" t="s">
        <v>97</v>
      </c>
      <c r="D78" s="40">
        <v>0.5</v>
      </c>
      <c r="E78" s="12">
        <v>900</v>
      </c>
      <c r="F78" s="12">
        <v>171</v>
      </c>
      <c r="I78" s="13">
        <f t="shared" si="5"/>
        <v>342</v>
      </c>
      <c r="J78" s="13">
        <f t="shared" si="6"/>
        <v>307800</v>
      </c>
      <c r="K78" s="12">
        <v>10</v>
      </c>
      <c r="L78" s="144">
        <v>50000</v>
      </c>
      <c r="M78" s="143">
        <f t="shared" si="8"/>
        <v>146.19883040935673</v>
      </c>
      <c r="N78" s="12">
        <v>225</v>
      </c>
      <c r="O78" s="13">
        <f t="shared" si="2"/>
        <v>76950</v>
      </c>
      <c r="P78" s="12" t="s">
        <v>99</v>
      </c>
      <c r="Q78" s="13">
        <f t="shared" si="7"/>
        <v>230850</v>
      </c>
      <c r="T78" s="46" t="s">
        <v>96</v>
      </c>
    </row>
    <row r="79" spans="1:21">
      <c r="A79" s="37">
        <v>42881</v>
      </c>
      <c r="B79" s="12" t="s">
        <v>109</v>
      </c>
      <c r="D79" s="40">
        <v>0.5</v>
      </c>
      <c r="E79" s="12">
        <v>800</v>
      </c>
      <c r="F79" s="12" t="s">
        <v>75</v>
      </c>
      <c r="G79" s="12">
        <v>33</v>
      </c>
      <c r="H79" s="12">
        <v>35</v>
      </c>
      <c r="I79" s="13">
        <f t="shared" si="5"/>
        <v>68</v>
      </c>
      <c r="J79" s="13">
        <f t="shared" si="6"/>
        <v>54400</v>
      </c>
      <c r="K79" s="12">
        <v>21</v>
      </c>
      <c r="L79" s="144">
        <v>50000</v>
      </c>
      <c r="M79" s="145">
        <f t="shared" si="8"/>
        <v>735.29411764705878</v>
      </c>
      <c r="N79" s="12">
        <v>650</v>
      </c>
      <c r="O79" s="13">
        <f t="shared" si="2"/>
        <v>44200</v>
      </c>
      <c r="P79" s="12" t="s">
        <v>111</v>
      </c>
      <c r="Q79" s="13">
        <f t="shared" si="7"/>
        <v>10200</v>
      </c>
      <c r="T79" s="14" t="s">
        <v>96</v>
      </c>
    </row>
    <row r="80" spans="1:21">
      <c r="A80" s="47">
        <v>42881</v>
      </c>
      <c r="B80" s="12" t="s">
        <v>88</v>
      </c>
      <c r="D80" s="40">
        <v>0.5</v>
      </c>
      <c r="E80" s="12">
        <v>200</v>
      </c>
      <c r="F80" s="12">
        <v>5</v>
      </c>
      <c r="G80" s="12">
        <v>7</v>
      </c>
      <c r="H80" s="12">
        <v>9</v>
      </c>
      <c r="I80" s="13">
        <f t="shared" si="5"/>
        <v>14</v>
      </c>
      <c r="J80" s="13">
        <f t="shared" si="6"/>
        <v>2800</v>
      </c>
      <c r="K80" s="12">
        <v>19</v>
      </c>
      <c r="L80" s="144">
        <v>32000</v>
      </c>
      <c r="M80" s="145">
        <f t="shared" si="8"/>
        <v>2285.7142857142858</v>
      </c>
      <c r="N80" s="12">
        <v>200</v>
      </c>
      <c r="O80" s="13">
        <f t="shared" si="2"/>
        <v>2800</v>
      </c>
      <c r="Q80" s="13">
        <f t="shared" si="7"/>
        <v>0</v>
      </c>
    </row>
    <row r="81" spans="1:20">
      <c r="A81" s="37">
        <v>42881</v>
      </c>
      <c r="B81" s="12" t="s">
        <v>20</v>
      </c>
      <c r="D81" s="40">
        <v>0.5</v>
      </c>
      <c r="E81" s="12">
        <v>300</v>
      </c>
      <c r="F81" s="12">
        <v>17</v>
      </c>
      <c r="G81" s="12">
        <v>16</v>
      </c>
      <c r="H81" s="12">
        <v>17</v>
      </c>
      <c r="I81" s="13">
        <f t="shared" si="5"/>
        <v>33.333333333333336</v>
      </c>
      <c r="J81" s="13">
        <f t="shared" si="6"/>
        <v>10000</v>
      </c>
      <c r="K81" s="12">
        <v>18</v>
      </c>
      <c r="L81" s="144">
        <v>30000</v>
      </c>
      <c r="M81" s="145">
        <f t="shared" si="8"/>
        <v>899.99999999999989</v>
      </c>
      <c r="N81" s="12">
        <v>300</v>
      </c>
      <c r="O81" s="13">
        <f t="shared" si="2"/>
        <v>10000</v>
      </c>
      <c r="Q81" s="13">
        <f t="shared" si="7"/>
        <v>0</v>
      </c>
    </row>
    <row r="82" spans="1:20">
      <c r="A82" s="37">
        <v>42881</v>
      </c>
      <c r="B82" s="12" t="s">
        <v>46</v>
      </c>
      <c r="D82" s="40">
        <v>0.5</v>
      </c>
      <c r="E82" s="12">
        <v>200</v>
      </c>
      <c r="F82" s="12">
        <v>10</v>
      </c>
      <c r="G82" s="12">
        <v>10</v>
      </c>
      <c r="H82" s="12">
        <v>12</v>
      </c>
      <c r="I82" s="13">
        <f t="shared" si="5"/>
        <v>21.333333333333332</v>
      </c>
      <c r="J82" s="13">
        <f t="shared" si="6"/>
        <v>4266.6666666666661</v>
      </c>
      <c r="K82" s="12">
        <v>20</v>
      </c>
      <c r="L82" s="144">
        <v>32000</v>
      </c>
      <c r="M82" s="145">
        <f t="shared" si="8"/>
        <v>1500</v>
      </c>
      <c r="N82" s="12">
        <v>200</v>
      </c>
      <c r="O82" s="13">
        <f t="shared" si="2"/>
        <v>4266.6666666666661</v>
      </c>
      <c r="Q82" s="13">
        <f t="shared" si="7"/>
        <v>0</v>
      </c>
    </row>
    <row r="83" spans="1:20">
      <c r="A83" s="47">
        <v>42881</v>
      </c>
      <c r="B83" s="12" t="s">
        <v>39</v>
      </c>
      <c r="D83" s="40">
        <v>0.5</v>
      </c>
      <c r="E83" s="12">
        <v>900</v>
      </c>
      <c r="F83" s="12">
        <v>88</v>
      </c>
      <c r="G83" s="12">
        <v>73</v>
      </c>
      <c r="H83" s="12">
        <v>72</v>
      </c>
      <c r="I83" s="13">
        <f t="shared" si="5"/>
        <v>155.33333333333334</v>
      </c>
      <c r="J83" s="13">
        <f t="shared" si="6"/>
        <v>139800</v>
      </c>
      <c r="K83" s="12">
        <v>8</v>
      </c>
      <c r="L83" s="144">
        <v>47000</v>
      </c>
      <c r="M83" s="145">
        <f t="shared" si="8"/>
        <v>302.57510729613733</v>
      </c>
      <c r="N83" s="12">
        <v>350</v>
      </c>
      <c r="O83" s="13">
        <f t="shared" si="2"/>
        <v>54366.666666666672</v>
      </c>
      <c r="P83" s="12" t="s">
        <v>110</v>
      </c>
      <c r="Q83" s="13">
        <f t="shared" si="7"/>
        <v>85433.333333333328</v>
      </c>
    </row>
    <row r="84" spans="1:20">
      <c r="A84" s="47">
        <v>42881</v>
      </c>
      <c r="B84" s="12" t="s">
        <v>97</v>
      </c>
      <c r="D84" s="40">
        <v>0.5</v>
      </c>
      <c r="E84" s="12">
        <v>800</v>
      </c>
      <c r="F84" s="12">
        <v>101</v>
      </c>
      <c r="G84" s="12">
        <v>111</v>
      </c>
      <c r="H84" s="12">
        <v>145</v>
      </c>
      <c r="I84" s="13">
        <f t="shared" si="5"/>
        <v>238</v>
      </c>
      <c r="J84" s="13">
        <f t="shared" si="6"/>
        <v>190400</v>
      </c>
      <c r="K84" s="12">
        <v>10</v>
      </c>
      <c r="L84" s="144">
        <v>25000</v>
      </c>
      <c r="M84" s="145">
        <f t="shared" si="8"/>
        <v>105.04201680672269</v>
      </c>
      <c r="N84" s="12">
        <v>150</v>
      </c>
      <c r="O84" s="13">
        <f t="shared" si="2"/>
        <v>35700</v>
      </c>
      <c r="P84" s="12" t="s">
        <v>108</v>
      </c>
      <c r="Q84" s="13">
        <f t="shared" si="7"/>
        <v>154700</v>
      </c>
    </row>
    <row r="85" spans="1:20">
      <c r="A85" s="37">
        <v>42881</v>
      </c>
      <c r="B85" s="12" t="s">
        <v>34</v>
      </c>
      <c r="D85" s="40">
        <v>0.5</v>
      </c>
      <c r="E85" s="12">
        <v>800</v>
      </c>
      <c r="F85" s="12">
        <v>69</v>
      </c>
      <c r="G85" s="12">
        <v>68</v>
      </c>
      <c r="H85" s="12">
        <v>80</v>
      </c>
      <c r="I85" s="13">
        <f t="shared" si="5"/>
        <v>144.66666666666666</v>
      </c>
      <c r="J85" s="13">
        <f t="shared" si="6"/>
        <v>115733.33333333333</v>
      </c>
      <c r="K85" s="12">
        <v>9</v>
      </c>
      <c r="L85" s="144">
        <v>50000</v>
      </c>
      <c r="M85" s="145">
        <f t="shared" si="8"/>
        <v>345.62211981566821</v>
      </c>
      <c r="N85" s="12">
        <v>400</v>
      </c>
      <c r="O85" s="13">
        <f t="shared" si="2"/>
        <v>57866.666666666664</v>
      </c>
      <c r="P85" s="12" t="s">
        <v>112</v>
      </c>
      <c r="Q85" s="13">
        <f t="shared" si="7"/>
        <v>57866.666666666664</v>
      </c>
      <c r="T85" s="14" t="s">
        <v>96</v>
      </c>
    </row>
    <row r="86" spans="1:20">
      <c r="A86" s="37">
        <v>42882</v>
      </c>
      <c r="B86" s="12" t="s">
        <v>109</v>
      </c>
      <c r="C86" s="12">
        <v>7</v>
      </c>
      <c r="D86" s="40">
        <v>0.5</v>
      </c>
      <c r="E86" s="12">
        <v>910</v>
      </c>
      <c r="F86" s="12">
        <v>140</v>
      </c>
      <c r="G86" s="12">
        <v>146</v>
      </c>
      <c r="H86" s="12">
        <v>156</v>
      </c>
      <c r="I86" s="13">
        <f t="shared" si="5"/>
        <v>294.66666666666669</v>
      </c>
      <c r="J86" s="13">
        <f t="shared" si="6"/>
        <v>268146.66666666669</v>
      </c>
      <c r="K86" s="12">
        <v>21</v>
      </c>
      <c r="L86" s="144">
        <v>50000</v>
      </c>
      <c r="M86" s="145">
        <f t="shared" si="8"/>
        <v>169.68325791855202</v>
      </c>
      <c r="N86" s="12">
        <v>400</v>
      </c>
      <c r="O86" s="13">
        <f t="shared" si="2"/>
        <v>117866.66666666667</v>
      </c>
      <c r="P86" s="12" t="s">
        <v>116</v>
      </c>
      <c r="Q86" s="13">
        <f t="shared" si="7"/>
        <v>150280</v>
      </c>
      <c r="T86" s="14" t="s">
        <v>115</v>
      </c>
    </row>
    <row r="87" spans="1:20">
      <c r="A87" s="37">
        <v>42882</v>
      </c>
      <c r="B87" s="12" t="s">
        <v>97</v>
      </c>
      <c r="C87" s="12">
        <v>6</v>
      </c>
      <c r="D87" s="40">
        <v>1</v>
      </c>
      <c r="E87" s="12">
        <v>325</v>
      </c>
      <c r="F87" s="12">
        <v>29</v>
      </c>
      <c r="G87" s="12">
        <v>24</v>
      </c>
      <c r="H87" s="12">
        <v>21</v>
      </c>
      <c r="I87" s="13">
        <f t="shared" si="5"/>
        <v>24.666666666666668</v>
      </c>
      <c r="J87" s="13">
        <f t="shared" si="6"/>
        <v>8016.666666666667</v>
      </c>
      <c r="K87" s="12">
        <v>10</v>
      </c>
      <c r="M87" s="145">
        <f t="shared" si="8"/>
        <v>0</v>
      </c>
      <c r="N87" s="12">
        <v>325</v>
      </c>
      <c r="O87" s="13">
        <f t="shared" si="2"/>
        <v>8016.666666666667</v>
      </c>
      <c r="Q87" s="13">
        <f t="shared" si="7"/>
        <v>0</v>
      </c>
    </row>
    <row r="88" spans="1:20">
      <c r="A88" s="37">
        <v>42882</v>
      </c>
      <c r="B88" s="12" t="s">
        <v>50</v>
      </c>
      <c r="C88" s="12">
        <v>6</v>
      </c>
      <c r="D88" s="40">
        <v>1</v>
      </c>
      <c r="E88" s="12">
        <v>325</v>
      </c>
      <c r="F88" s="12">
        <v>11</v>
      </c>
      <c r="G88" s="12">
        <v>9</v>
      </c>
      <c r="H88" s="12">
        <v>13</v>
      </c>
      <c r="I88" s="13">
        <f t="shared" si="5"/>
        <v>11</v>
      </c>
      <c r="J88" s="13">
        <f t="shared" si="6"/>
        <v>3575</v>
      </c>
      <c r="K88" s="12">
        <v>8</v>
      </c>
      <c r="M88" s="145">
        <f t="shared" si="8"/>
        <v>0</v>
      </c>
      <c r="N88" s="12">
        <v>325</v>
      </c>
      <c r="O88" s="13">
        <f t="shared" si="2"/>
        <v>3575</v>
      </c>
      <c r="Q88" s="13">
        <f t="shared" si="7"/>
        <v>0</v>
      </c>
    </row>
    <row r="89" spans="1:20">
      <c r="A89" s="37">
        <v>42882</v>
      </c>
      <c r="B89" s="12" t="s">
        <v>47</v>
      </c>
      <c r="C89" s="12">
        <v>6</v>
      </c>
      <c r="D89" s="40">
        <v>1</v>
      </c>
      <c r="E89" s="12">
        <v>225</v>
      </c>
      <c r="F89" s="12">
        <v>14</v>
      </c>
      <c r="G89" s="12">
        <v>12</v>
      </c>
      <c r="H89" s="12">
        <v>9</v>
      </c>
      <c r="I89" s="13">
        <f t="shared" si="5"/>
        <v>11.666666666666666</v>
      </c>
      <c r="J89" s="13">
        <f t="shared" si="6"/>
        <v>2625</v>
      </c>
      <c r="K89" s="12">
        <v>12</v>
      </c>
      <c r="M89" s="145">
        <f t="shared" si="8"/>
        <v>0</v>
      </c>
      <c r="N89" s="12">
        <v>225</v>
      </c>
      <c r="O89" s="13">
        <f t="shared" si="2"/>
        <v>2625</v>
      </c>
      <c r="Q89" s="13">
        <f t="shared" si="7"/>
        <v>0</v>
      </c>
    </row>
    <row r="90" spans="1:20">
      <c r="A90" s="37">
        <v>42882</v>
      </c>
      <c r="B90" s="12" t="s">
        <v>49</v>
      </c>
      <c r="C90" s="12">
        <v>6</v>
      </c>
      <c r="D90" s="40">
        <v>1</v>
      </c>
      <c r="E90" s="12">
        <v>200</v>
      </c>
      <c r="F90" s="12">
        <v>7</v>
      </c>
      <c r="G90" s="12">
        <v>18</v>
      </c>
      <c r="H90" s="12">
        <v>10</v>
      </c>
      <c r="I90" s="13">
        <f t="shared" si="5"/>
        <v>11.666666666666666</v>
      </c>
      <c r="J90" s="13">
        <f t="shared" si="6"/>
        <v>2333.333333333333</v>
      </c>
      <c r="K90" s="12">
        <v>12</v>
      </c>
      <c r="M90" s="145">
        <f t="shared" si="8"/>
        <v>0</v>
      </c>
      <c r="N90" s="12">
        <v>200</v>
      </c>
      <c r="O90" s="13">
        <f t="shared" si="2"/>
        <v>2333.333333333333</v>
      </c>
      <c r="Q90" s="13">
        <f t="shared" si="7"/>
        <v>0</v>
      </c>
    </row>
    <row r="91" spans="1:20">
      <c r="A91" s="37">
        <v>42882</v>
      </c>
      <c r="B91" s="12" t="s">
        <v>25</v>
      </c>
      <c r="C91" s="12">
        <v>6</v>
      </c>
      <c r="D91" s="40">
        <v>1</v>
      </c>
      <c r="E91" s="12">
        <v>210</v>
      </c>
      <c r="F91" s="12">
        <v>4</v>
      </c>
      <c r="G91" s="12">
        <v>6</v>
      </c>
      <c r="H91" s="12">
        <v>10</v>
      </c>
      <c r="I91" s="13">
        <f t="shared" si="5"/>
        <v>6.666666666666667</v>
      </c>
      <c r="J91" s="13">
        <f t="shared" si="6"/>
        <v>1400</v>
      </c>
      <c r="K91" s="12">
        <v>16</v>
      </c>
      <c r="M91" s="145">
        <f t="shared" si="8"/>
        <v>0</v>
      </c>
      <c r="N91" s="12">
        <v>210</v>
      </c>
      <c r="O91" s="13">
        <f t="shared" si="2"/>
        <v>1400</v>
      </c>
      <c r="Q91" s="13">
        <f t="shared" si="7"/>
        <v>0</v>
      </c>
    </row>
    <row r="92" spans="1:20">
      <c r="A92" s="37">
        <v>42882</v>
      </c>
      <c r="B92" s="12" t="s">
        <v>98</v>
      </c>
      <c r="C92" s="12">
        <v>7</v>
      </c>
      <c r="D92" s="40">
        <v>1</v>
      </c>
      <c r="E92" s="12">
        <v>250</v>
      </c>
      <c r="F92" s="12">
        <v>19</v>
      </c>
      <c r="G92" s="12">
        <v>20</v>
      </c>
      <c r="H92" s="12">
        <v>20</v>
      </c>
      <c r="I92" s="13">
        <f t="shared" si="5"/>
        <v>19.666666666666668</v>
      </c>
      <c r="J92" s="13">
        <f t="shared" si="6"/>
        <v>4916.666666666667</v>
      </c>
      <c r="K92" s="12">
        <v>3</v>
      </c>
      <c r="M92" s="145">
        <f t="shared" si="8"/>
        <v>0</v>
      </c>
      <c r="N92" s="12">
        <v>250</v>
      </c>
      <c r="O92" s="13">
        <f t="shared" si="2"/>
        <v>4916.666666666667</v>
      </c>
      <c r="Q92" s="13">
        <f t="shared" si="7"/>
        <v>0</v>
      </c>
    </row>
    <row r="93" spans="1:20">
      <c r="A93" s="37">
        <v>42882</v>
      </c>
      <c r="B93" s="12" t="s">
        <v>39</v>
      </c>
      <c r="C93" s="12">
        <v>7</v>
      </c>
      <c r="D93" s="40">
        <v>1</v>
      </c>
      <c r="E93" s="12">
        <v>225</v>
      </c>
      <c r="F93" s="12">
        <v>31</v>
      </c>
      <c r="G93" s="12">
        <v>26</v>
      </c>
      <c r="H93" s="12">
        <v>37</v>
      </c>
      <c r="I93" s="13">
        <f t="shared" si="5"/>
        <v>31.333333333333332</v>
      </c>
      <c r="J93" s="13">
        <f t="shared" si="6"/>
        <v>7050</v>
      </c>
      <c r="K93" s="12">
        <v>8</v>
      </c>
      <c r="M93" s="145">
        <f t="shared" si="8"/>
        <v>0</v>
      </c>
      <c r="N93" s="12">
        <v>225</v>
      </c>
      <c r="O93" s="13">
        <f t="shared" si="2"/>
        <v>7050</v>
      </c>
      <c r="Q93" s="13">
        <f t="shared" si="7"/>
        <v>0</v>
      </c>
    </row>
    <row r="94" spans="1:20">
      <c r="A94" s="37">
        <v>42882</v>
      </c>
      <c r="B94" s="12" t="s">
        <v>20</v>
      </c>
      <c r="C94" s="12">
        <v>7</v>
      </c>
      <c r="D94" s="40">
        <v>1</v>
      </c>
      <c r="E94" s="12">
        <v>400</v>
      </c>
      <c r="F94" s="12">
        <v>58</v>
      </c>
      <c r="G94" s="12">
        <v>46</v>
      </c>
      <c r="H94" s="12">
        <v>58</v>
      </c>
      <c r="I94" s="13">
        <f t="shared" si="5"/>
        <v>54</v>
      </c>
      <c r="J94" s="13">
        <f t="shared" si="6"/>
        <v>21600</v>
      </c>
      <c r="K94" s="12">
        <v>18</v>
      </c>
      <c r="M94" s="145">
        <f t="shared" si="8"/>
        <v>0</v>
      </c>
      <c r="N94" s="12">
        <v>400</v>
      </c>
      <c r="O94" s="13">
        <f t="shared" si="2"/>
        <v>21600</v>
      </c>
      <c r="Q94" s="13">
        <f t="shared" si="7"/>
        <v>0</v>
      </c>
    </row>
    <row r="95" spans="1:20">
      <c r="A95" s="37">
        <v>42882</v>
      </c>
      <c r="B95" s="12" t="s">
        <v>34</v>
      </c>
      <c r="C95" s="12">
        <v>6</v>
      </c>
      <c r="D95" s="40">
        <v>0.5</v>
      </c>
      <c r="E95" s="12">
        <v>825</v>
      </c>
      <c r="F95" s="12">
        <v>86</v>
      </c>
      <c r="G95" s="12">
        <v>113</v>
      </c>
      <c r="H95" s="12">
        <v>86</v>
      </c>
      <c r="I95" s="13">
        <f t="shared" si="5"/>
        <v>190</v>
      </c>
      <c r="J95" s="13">
        <f t="shared" si="6"/>
        <v>156750</v>
      </c>
      <c r="K95" s="12">
        <v>9</v>
      </c>
      <c r="L95" s="144">
        <v>50000</v>
      </c>
      <c r="M95" s="145">
        <f t="shared" si="8"/>
        <v>263.15789473684208</v>
      </c>
      <c r="N95" s="12">
        <v>275</v>
      </c>
      <c r="O95" s="13">
        <f t="shared" si="2"/>
        <v>52250</v>
      </c>
      <c r="P95" s="12" t="s">
        <v>114</v>
      </c>
      <c r="Q95" s="13">
        <f t="shared" si="7"/>
        <v>104500</v>
      </c>
    </row>
    <row r="96" spans="1:20">
      <c r="A96" s="37">
        <v>42882</v>
      </c>
      <c r="B96" s="12" t="s">
        <v>48</v>
      </c>
      <c r="C96" s="12">
        <v>6</v>
      </c>
      <c r="D96" s="40">
        <v>0.5</v>
      </c>
      <c r="E96" s="12">
        <v>840</v>
      </c>
      <c r="F96" s="12">
        <v>67</v>
      </c>
      <c r="G96" s="12">
        <v>80</v>
      </c>
      <c r="H96" s="12">
        <v>54</v>
      </c>
      <c r="I96" s="13">
        <f t="shared" si="5"/>
        <v>134</v>
      </c>
      <c r="J96" s="13">
        <f t="shared" si="6"/>
        <v>112560</v>
      </c>
      <c r="K96" s="12">
        <v>13</v>
      </c>
      <c r="L96" s="144">
        <v>50000</v>
      </c>
      <c r="M96" s="145">
        <f t="shared" si="8"/>
        <v>373.13432835820896</v>
      </c>
      <c r="N96" s="12">
        <v>400</v>
      </c>
      <c r="O96" s="13">
        <f t="shared" si="2"/>
        <v>53600</v>
      </c>
      <c r="P96" s="12" t="s">
        <v>113</v>
      </c>
      <c r="Q96" s="13">
        <f t="shared" si="7"/>
        <v>58960</v>
      </c>
    </row>
    <row r="97" spans="1:20">
      <c r="A97" s="37">
        <v>42882</v>
      </c>
      <c r="B97" s="12" t="s">
        <v>48</v>
      </c>
      <c r="C97" s="12">
        <v>7</v>
      </c>
      <c r="D97" s="40">
        <v>0.5</v>
      </c>
      <c r="E97" s="12">
        <v>825</v>
      </c>
      <c r="F97" s="12">
        <v>79</v>
      </c>
      <c r="G97" s="12">
        <v>70</v>
      </c>
      <c r="H97" s="12">
        <v>93</v>
      </c>
      <c r="I97" s="13">
        <f t="shared" si="5"/>
        <v>161.33333333333334</v>
      </c>
      <c r="J97" s="13">
        <f t="shared" si="6"/>
        <v>133100</v>
      </c>
      <c r="K97" s="12">
        <v>13</v>
      </c>
      <c r="L97" s="144">
        <v>25000</v>
      </c>
      <c r="M97" s="145">
        <f t="shared" si="8"/>
        <v>154.95867768595039</v>
      </c>
      <c r="N97" s="12">
        <v>200</v>
      </c>
      <c r="O97" s="13">
        <f t="shared" ref="O97:O160" si="9">N97*I97</f>
        <v>32266.666666666668</v>
      </c>
      <c r="P97" s="12" t="s">
        <v>118</v>
      </c>
      <c r="Q97" s="13">
        <f t="shared" si="7"/>
        <v>100833.33333333333</v>
      </c>
      <c r="T97" s="14" t="s">
        <v>117</v>
      </c>
    </row>
    <row r="98" spans="1:20">
      <c r="A98" s="37">
        <v>42884</v>
      </c>
      <c r="B98" s="12" t="s">
        <v>39</v>
      </c>
      <c r="C98" s="12">
        <v>8</v>
      </c>
      <c r="D98" s="40">
        <v>1</v>
      </c>
      <c r="E98" s="12">
        <v>300</v>
      </c>
      <c r="F98" s="12">
        <v>10</v>
      </c>
      <c r="G98" s="12">
        <v>10</v>
      </c>
      <c r="H98" s="12">
        <v>12</v>
      </c>
      <c r="I98" s="13">
        <f t="shared" ref="I98:I125" si="10">AVERAGE(F98:H98)/D98</f>
        <v>10.666666666666666</v>
      </c>
      <c r="J98" s="13">
        <f t="shared" si="6"/>
        <v>3200</v>
      </c>
      <c r="K98" s="12">
        <v>8</v>
      </c>
      <c r="M98" s="145">
        <f t="shared" si="8"/>
        <v>0</v>
      </c>
      <c r="N98" s="12">
        <v>300</v>
      </c>
      <c r="O98" s="13">
        <f t="shared" si="9"/>
        <v>3200</v>
      </c>
      <c r="Q98" s="13">
        <f t="shared" si="7"/>
        <v>0</v>
      </c>
    </row>
    <row r="99" spans="1:20">
      <c r="A99" s="37">
        <v>42884</v>
      </c>
      <c r="B99" s="12" t="s">
        <v>34</v>
      </c>
      <c r="C99" s="12">
        <v>8</v>
      </c>
      <c r="D99" s="40">
        <v>1</v>
      </c>
      <c r="E99" s="12">
        <v>300</v>
      </c>
      <c r="F99" s="12">
        <v>14</v>
      </c>
      <c r="G99" s="12">
        <v>14</v>
      </c>
      <c r="H99" s="12">
        <v>17</v>
      </c>
      <c r="I99" s="13">
        <f t="shared" si="10"/>
        <v>15</v>
      </c>
      <c r="J99" s="13">
        <f t="shared" si="6"/>
        <v>4500</v>
      </c>
      <c r="K99" s="12">
        <v>9</v>
      </c>
      <c r="M99" s="145">
        <f t="shared" si="8"/>
        <v>0</v>
      </c>
      <c r="N99" s="12">
        <v>300</v>
      </c>
      <c r="O99" s="13">
        <f t="shared" si="9"/>
        <v>4500</v>
      </c>
      <c r="Q99" s="13">
        <f t="shared" si="7"/>
        <v>0</v>
      </c>
    </row>
    <row r="100" spans="1:20">
      <c r="A100" s="37">
        <v>42884</v>
      </c>
      <c r="B100" s="12" t="s">
        <v>50</v>
      </c>
      <c r="C100" s="12">
        <v>8</v>
      </c>
      <c r="D100" s="40">
        <v>0.5</v>
      </c>
      <c r="E100" s="12">
        <v>825</v>
      </c>
      <c r="F100" s="12">
        <v>73</v>
      </c>
      <c r="G100" s="12">
        <v>66</v>
      </c>
      <c r="H100" s="12">
        <v>63</v>
      </c>
      <c r="I100" s="13">
        <f t="shared" si="10"/>
        <v>134.66666666666666</v>
      </c>
      <c r="J100" s="13">
        <f t="shared" si="6"/>
        <v>111099.99999999999</v>
      </c>
      <c r="K100" s="12">
        <v>8</v>
      </c>
      <c r="L100" s="144">
        <v>50000</v>
      </c>
      <c r="M100" s="145">
        <f t="shared" si="8"/>
        <v>371.28712871287132</v>
      </c>
      <c r="N100" s="12">
        <v>375</v>
      </c>
      <c r="O100" s="13">
        <f t="shared" si="9"/>
        <v>50500</v>
      </c>
      <c r="P100" s="12" t="s">
        <v>124</v>
      </c>
      <c r="Q100" s="13">
        <f t="shared" si="7"/>
        <v>60599.999999999985</v>
      </c>
    </row>
    <row r="101" spans="1:20">
      <c r="A101" s="37">
        <v>42884</v>
      </c>
      <c r="B101" s="12" t="s">
        <v>48</v>
      </c>
      <c r="C101" s="12">
        <v>8</v>
      </c>
      <c r="D101" s="40">
        <v>1</v>
      </c>
      <c r="E101" s="12">
        <v>300</v>
      </c>
      <c r="F101" s="12">
        <v>25</v>
      </c>
      <c r="G101" s="12">
        <v>28</v>
      </c>
      <c r="H101" s="12">
        <v>26</v>
      </c>
      <c r="I101" s="13">
        <f t="shared" si="10"/>
        <v>26.333333333333332</v>
      </c>
      <c r="J101" s="13">
        <f t="shared" si="6"/>
        <v>7900</v>
      </c>
      <c r="K101" s="12" t="s">
        <v>125</v>
      </c>
      <c r="M101" s="145">
        <f t="shared" si="8"/>
        <v>0</v>
      </c>
      <c r="O101" s="13">
        <f t="shared" si="9"/>
        <v>0</v>
      </c>
      <c r="P101" s="12" t="s">
        <v>126</v>
      </c>
      <c r="Q101" s="13">
        <f t="shared" si="7"/>
        <v>7900</v>
      </c>
      <c r="T101" s="14" t="s">
        <v>127</v>
      </c>
    </row>
    <row r="102" spans="1:20">
      <c r="A102" s="37">
        <v>42886</v>
      </c>
      <c r="B102" s="12" t="s">
        <v>88</v>
      </c>
      <c r="C102" s="12">
        <v>1</v>
      </c>
      <c r="D102" s="40">
        <v>0.25</v>
      </c>
      <c r="E102" s="12">
        <v>900</v>
      </c>
      <c r="F102" s="12">
        <v>107</v>
      </c>
      <c r="G102" s="12">
        <v>110</v>
      </c>
      <c r="H102" s="12">
        <v>147</v>
      </c>
      <c r="I102" s="13">
        <f t="shared" si="10"/>
        <v>485.33333333333331</v>
      </c>
      <c r="J102" s="13">
        <f t="shared" si="6"/>
        <v>436800</v>
      </c>
      <c r="K102" s="12">
        <v>19</v>
      </c>
      <c r="L102" s="144">
        <v>50000</v>
      </c>
      <c r="M102" s="145">
        <f t="shared" si="8"/>
        <v>103.02197802197803</v>
      </c>
      <c r="N102" s="12">
        <v>150</v>
      </c>
      <c r="O102" s="13">
        <f t="shared" si="9"/>
        <v>72800</v>
      </c>
      <c r="P102" s="12" t="s">
        <v>147</v>
      </c>
      <c r="Q102" s="13">
        <v>15000</v>
      </c>
    </row>
    <row r="103" spans="1:20">
      <c r="A103" s="37">
        <v>42886</v>
      </c>
      <c r="B103" s="12" t="s">
        <v>50</v>
      </c>
      <c r="C103" s="12">
        <v>1</v>
      </c>
      <c r="D103" s="40">
        <v>0.5</v>
      </c>
      <c r="E103" s="12">
        <v>200</v>
      </c>
      <c r="F103" s="12">
        <v>4</v>
      </c>
      <c r="G103" s="12">
        <v>1</v>
      </c>
      <c r="H103" s="12">
        <v>5</v>
      </c>
      <c r="I103" s="13">
        <f t="shared" si="10"/>
        <v>6.666666666666667</v>
      </c>
      <c r="J103" s="13">
        <f t="shared" si="6"/>
        <v>1333.3333333333335</v>
      </c>
      <c r="K103" s="12">
        <v>8</v>
      </c>
      <c r="L103" s="144">
        <v>50000</v>
      </c>
      <c r="M103" s="145">
        <f t="shared" si="8"/>
        <v>7500</v>
      </c>
      <c r="N103" s="12">
        <v>200</v>
      </c>
      <c r="O103" s="13">
        <f t="shared" si="9"/>
        <v>1333.3333333333335</v>
      </c>
      <c r="Q103" s="13">
        <f>J103-O103</f>
        <v>0</v>
      </c>
    </row>
    <row r="104" spans="1:20">
      <c r="A104" s="37">
        <v>42886</v>
      </c>
      <c r="B104" s="12" t="s">
        <v>24</v>
      </c>
      <c r="C104" s="12">
        <v>1</v>
      </c>
      <c r="D104" s="40">
        <v>0.25</v>
      </c>
      <c r="E104" s="12">
        <v>900</v>
      </c>
      <c r="F104" s="12">
        <v>120</v>
      </c>
      <c r="G104" s="12">
        <v>94</v>
      </c>
      <c r="H104" s="12">
        <v>101</v>
      </c>
      <c r="I104" s="13">
        <f t="shared" si="10"/>
        <v>420</v>
      </c>
      <c r="J104" s="13">
        <f t="shared" si="6"/>
        <v>378000</v>
      </c>
      <c r="K104" s="12">
        <v>7</v>
      </c>
      <c r="L104" s="144">
        <v>50000</v>
      </c>
      <c r="M104" s="145">
        <f t="shared" si="8"/>
        <v>119.04761904761905</v>
      </c>
      <c r="N104" s="12">
        <v>150</v>
      </c>
      <c r="O104" s="13">
        <f t="shared" si="9"/>
        <v>63000</v>
      </c>
      <c r="P104" s="12" t="s">
        <v>148</v>
      </c>
      <c r="Q104" s="13">
        <v>15000</v>
      </c>
    </row>
    <row r="105" spans="1:20">
      <c r="A105" s="37">
        <v>42886</v>
      </c>
      <c r="B105" s="12" t="s">
        <v>44</v>
      </c>
      <c r="C105" s="12">
        <v>1</v>
      </c>
      <c r="D105" s="40">
        <v>0.25</v>
      </c>
      <c r="E105" s="12">
        <v>800</v>
      </c>
      <c r="F105" s="12">
        <v>43</v>
      </c>
      <c r="G105" s="12">
        <v>36</v>
      </c>
      <c r="H105" s="12">
        <v>75</v>
      </c>
      <c r="I105" s="13">
        <f t="shared" si="10"/>
        <v>205.33333333333334</v>
      </c>
      <c r="J105" s="13">
        <f t="shared" si="6"/>
        <v>164266.66666666669</v>
      </c>
      <c r="K105" s="12">
        <v>13</v>
      </c>
      <c r="L105" s="144">
        <v>30000</v>
      </c>
      <c r="M105" s="145">
        <f t="shared" si="8"/>
        <v>146.10389610389609</v>
      </c>
      <c r="N105" s="12">
        <v>200</v>
      </c>
      <c r="O105" s="13">
        <f t="shared" si="9"/>
        <v>41066.666666666672</v>
      </c>
      <c r="P105" s="12" t="s">
        <v>149</v>
      </c>
      <c r="Q105" s="13">
        <v>15000</v>
      </c>
    </row>
    <row r="106" spans="1:20">
      <c r="A106" s="37">
        <v>42887</v>
      </c>
      <c r="B106" s="12" t="s">
        <v>38</v>
      </c>
      <c r="D106" s="40">
        <v>0.5</v>
      </c>
      <c r="E106" s="12">
        <v>800</v>
      </c>
      <c r="F106" s="12">
        <v>66</v>
      </c>
      <c r="G106" s="12">
        <v>62</v>
      </c>
      <c r="H106" s="12">
        <v>59</v>
      </c>
      <c r="I106" s="13">
        <f t="shared" si="10"/>
        <v>124.66666666666667</v>
      </c>
      <c r="J106" s="13">
        <f t="shared" si="6"/>
        <v>99733.333333333343</v>
      </c>
      <c r="K106" s="12">
        <v>17</v>
      </c>
      <c r="L106" s="144">
        <v>50000</v>
      </c>
      <c r="M106" s="145">
        <f t="shared" si="8"/>
        <v>401.06951871657753</v>
      </c>
      <c r="N106" s="12">
        <v>400</v>
      </c>
      <c r="O106" s="13">
        <f t="shared" si="9"/>
        <v>49866.666666666672</v>
      </c>
      <c r="P106" s="12" t="s">
        <v>151</v>
      </c>
      <c r="Q106" s="13">
        <f>J106-O106</f>
        <v>49866.666666666672</v>
      </c>
    </row>
    <row r="107" spans="1:20">
      <c r="A107" s="37">
        <v>42887</v>
      </c>
      <c r="B107" s="12" t="s">
        <v>17</v>
      </c>
      <c r="D107" s="40">
        <v>0.5</v>
      </c>
      <c r="E107" s="12">
        <v>800</v>
      </c>
      <c r="F107" s="12">
        <v>36</v>
      </c>
      <c r="G107" s="12">
        <v>22</v>
      </c>
      <c r="H107" s="12">
        <v>18</v>
      </c>
      <c r="I107" s="13">
        <f t="shared" si="10"/>
        <v>50.666666666666664</v>
      </c>
      <c r="J107" s="13">
        <f t="shared" si="6"/>
        <v>40533.333333333328</v>
      </c>
      <c r="K107" s="12">
        <v>22</v>
      </c>
      <c r="M107" s="145">
        <f t="shared" si="8"/>
        <v>0</v>
      </c>
      <c r="N107" s="12">
        <v>800</v>
      </c>
      <c r="O107" s="13">
        <f t="shared" si="9"/>
        <v>40533.333333333328</v>
      </c>
      <c r="Q107" s="13">
        <f>J107-O107</f>
        <v>0</v>
      </c>
    </row>
    <row r="108" spans="1:20">
      <c r="A108" s="37">
        <v>42887</v>
      </c>
      <c r="B108" s="12" t="s">
        <v>47</v>
      </c>
      <c r="D108" s="40">
        <v>0.5</v>
      </c>
      <c r="E108" s="12">
        <v>275</v>
      </c>
      <c r="F108" s="12">
        <v>1</v>
      </c>
      <c r="G108" s="12">
        <v>1</v>
      </c>
      <c r="H108" s="12">
        <v>6</v>
      </c>
      <c r="I108" s="13">
        <f t="shared" si="10"/>
        <v>5.333333333333333</v>
      </c>
      <c r="J108" s="13">
        <f t="shared" si="6"/>
        <v>1466.6666666666665</v>
      </c>
      <c r="K108" s="12">
        <v>12</v>
      </c>
      <c r="M108" s="145"/>
      <c r="N108" s="12">
        <v>275</v>
      </c>
      <c r="O108" s="13">
        <f t="shared" si="9"/>
        <v>1466.6666666666665</v>
      </c>
    </row>
    <row r="109" spans="1:20">
      <c r="A109" s="37">
        <v>42887</v>
      </c>
      <c r="B109" s="12" t="s">
        <v>51</v>
      </c>
      <c r="D109" s="40">
        <v>0.5</v>
      </c>
      <c r="E109" s="12">
        <v>375</v>
      </c>
      <c r="F109" s="12">
        <v>2</v>
      </c>
      <c r="G109" s="12">
        <v>1</v>
      </c>
      <c r="H109" s="12">
        <v>0</v>
      </c>
      <c r="I109" s="13">
        <f t="shared" si="10"/>
        <v>2</v>
      </c>
      <c r="J109" s="13">
        <f t="shared" si="6"/>
        <v>750</v>
      </c>
      <c r="K109" s="12">
        <v>13</v>
      </c>
      <c r="M109" s="145"/>
      <c r="N109" s="12">
        <v>375</v>
      </c>
      <c r="O109" s="13">
        <f t="shared" si="9"/>
        <v>750</v>
      </c>
    </row>
    <row r="110" spans="1:20">
      <c r="A110" s="37">
        <v>42887</v>
      </c>
      <c r="B110" s="12" t="s">
        <v>23</v>
      </c>
      <c r="D110" s="40">
        <v>0.5</v>
      </c>
      <c r="E110" s="12">
        <v>900</v>
      </c>
      <c r="F110" s="12">
        <v>230</v>
      </c>
      <c r="G110" s="12">
        <v>246</v>
      </c>
      <c r="H110" s="12">
        <v>202</v>
      </c>
      <c r="I110" s="13">
        <f t="shared" si="10"/>
        <v>452</v>
      </c>
      <c r="J110" s="13">
        <f t="shared" si="6"/>
        <v>406800</v>
      </c>
      <c r="K110" s="12">
        <v>5</v>
      </c>
      <c r="L110" s="144">
        <v>70000</v>
      </c>
      <c r="M110" s="145">
        <f t="shared" ref="M110:M141" si="11">L110/I110</f>
        <v>154.86725663716814</v>
      </c>
      <c r="N110" s="12">
        <v>175</v>
      </c>
      <c r="O110" s="13">
        <f t="shared" si="9"/>
        <v>79100</v>
      </c>
      <c r="P110" s="12" t="s">
        <v>150</v>
      </c>
      <c r="Q110" s="13">
        <v>15000</v>
      </c>
      <c r="T110" s="14" t="s">
        <v>152</v>
      </c>
    </row>
    <row r="111" spans="1:20">
      <c r="A111" s="37">
        <v>42889</v>
      </c>
      <c r="B111" s="12" t="s">
        <v>17</v>
      </c>
      <c r="C111" s="12">
        <v>2</v>
      </c>
      <c r="D111" s="40">
        <v>0.5</v>
      </c>
      <c r="E111" s="12">
        <v>820</v>
      </c>
      <c r="F111" s="12">
        <v>34</v>
      </c>
      <c r="G111" s="12">
        <v>41</v>
      </c>
      <c r="H111" s="12">
        <v>41</v>
      </c>
      <c r="I111" s="13">
        <f t="shared" si="10"/>
        <v>77.333333333333329</v>
      </c>
      <c r="J111" s="13">
        <f t="shared" si="6"/>
        <v>63413.333333333328</v>
      </c>
      <c r="K111" s="12">
        <v>20</v>
      </c>
      <c r="L111" s="144">
        <v>50000</v>
      </c>
      <c r="M111" s="145">
        <f t="shared" si="11"/>
        <v>646.55172413793105</v>
      </c>
      <c r="N111" s="12">
        <v>650</v>
      </c>
      <c r="O111" s="13">
        <f t="shared" si="9"/>
        <v>50266.666666666664</v>
      </c>
      <c r="P111" s="12" t="s">
        <v>159</v>
      </c>
      <c r="Q111" s="13">
        <f t="shared" ref="Q111:Q142" si="12">J111-O111</f>
        <v>13146.666666666664</v>
      </c>
    </row>
    <row r="112" spans="1:20">
      <c r="A112" s="37">
        <v>42889</v>
      </c>
      <c r="B112" s="12" t="s">
        <v>38</v>
      </c>
      <c r="C112" s="12">
        <v>1</v>
      </c>
      <c r="D112" s="40">
        <v>0.5</v>
      </c>
      <c r="E112" s="12">
        <v>820</v>
      </c>
      <c r="F112" s="12">
        <v>80</v>
      </c>
      <c r="G112" s="12">
        <v>105</v>
      </c>
      <c r="H112" s="12">
        <v>58</v>
      </c>
      <c r="I112" s="13">
        <f t="shared" si="10"/>
        <v>162</v>
      </c>
      <c r="J112" s="13">
        <f t="shared" si="6"/>
        <v>132840</v>
      </c>
      <c r="K112" s="12">
        <v>17</v>
      </c>
      <c r="L112" s="144">
        <v>50000</v>
      </c>
      <c r="M112" s="145">
        <f t="shared" si="11"/>
        <v>308.64197530864197</v>
      </c>
      <c r="N112" s="12">
        <v>325</v>
      </c>
      <c r="O112" s="13">
        <f t="shared" si="9"/>
        <v>52650</v>
      </c>
      <c r="P112" s="12" t="s">
        <v>158</v>
      </c>
      <c r="Q112" s="13">
        <f t="shared" si="12"/>
        <v>80190</v>
      </c>
    </row>
    <row r="113" spans="1:20">
      <c r="A113" s="37">
        <v>42889</v>
      </c>
      <c r="B113" s="12" t="s">
        <v>98</v>
      </c>
      <c r="C113" s="12">
        <v>1</v>
      </c>
      <c r="D113" s="40">
        <v>0.5</v>
      </c>
      <c r="E113" s="12">
        <v>840</v>
      </c>
      <c r="F113" s="12">
        <v>151</v>
      </c>
      <c r="G113" s="12">
        <v>116</v>
      </c>
      <c r="H113" s="12">
        <v>116</v>
      </c>
      <c r="I113" s="13">
        <f t="shared" si="10"/>
        <v>255.33333333333334</v>
      </c>
      <c r="J113" s="13">
        <f t="shared" si="6"/>
        <v>214480</v>
      </c>
      <c r="K113" s="12">
        <v>3</v>
      </c>
      <c r="L113" s="144">
        <v>50000</v>
      </c>
      <c r="M113" s="145">
        <f t="shared" si="11"/>
        <v>195.822454308094</v>
      </c>
      <c r="N113" s="12">
        <v>230</v>
      </c>
      <c r="O113" s="13">
        <f t="shared" si="9"/>
        <v>58726.666666666672</v>
      </c>
      <c r="P113" s="12" t="s">
        <v>155</v>
      </c>
      <c r="Q113" s="13">
        <f t="shared" si="12"/>
        <v>155753.33333333331</v>
      </c>
    </row>
    <row r="114" spans="1:20">
      <c r="A114" s="37">
        <v>42889</v>
      </c>
      <c r="B114" s="12" t="s">
        <v>47</v>
      </c>
      <c r="C114" s="12">
        <v>1</v>
      </c>
      <c r="D114" s="40">
        <v>0.5</v>
      </c>
      <c r="E114" s="12">
        <v>800</v>
      </c>
      <c r="F114" s="12">
        <v>41</v>
      </c>
      <c r="G114" s="12">
        <v>52</v>
      </c>
      <c r="H114" s="12">
        <v>47</v>
      </c>
      <c r="I114" s="13">
        <f t="shared" si="10"/>
        <v>93.333333333333329</v>
      </c>
      <c r="J114" s="13">
        <f t="shared" si="6"/>
        <v>74666.666666666657</v>
      </c>
      <c r="K114" s="12">
        <v>12</v>
      </c>
      <c r="L114" s="144">
        <v>50000</v>
      </c>
      <c r="M114" s="145">
        <f t="shared" si="11"/>
        <v>535.71428571428578</v>
      </c>
      <c r="N114" s="12">
        <v>550</v>
      </c>
      <c r="O114" s="13">
        <f t="shared" si="9"/>
        <v>51333.333333333328</v>
      </c>
      <c r="P114" s="12" t="s">
        <v>153</v>
      </c>
      <c r="Q114" s="13">
        <f t="shared" si="12"/>
        <v>23333.333333333328</v>
      </c>
      <c r="T114" s="107"/>
    </row>
    <row r="115" spans="1:20">
      <c r="A115" s="37">
        <v>42889</v>
      </c>
      <c r="B115" s="12" t="s">
        <v>27</v>
      </c>
      <c r="C115" s="12">
        <v>1</v>
      </c>
      <c r="D115" s="40">
        <v>0.5</v>
      </c>
      <c r="E115" s="12">
        <v>820</v>
      </c>
      <c r="F115" s="12">
        <v>195</v>
      </c>
      <c r="G115" s="12">
        <v>212</v>
      </c>
      <c r="H115" s="12">
        <v>191</v>
      </c>
      <c r="I115" s="13">
        <f t="shared" si="10"/>
        <v>398.66666666666669</v>
      </c>
      <c r="J115" s="13">
        <f t="shared" si="6"/>
        <v>326906.66666666669</v>
      </c>
      <c r="K115" s="12">
        <v>5</v>
      </c>
      <c r="L115" s="144">
        <v>50000</v>
      </c>
      <c r="M115" s="145">
        <f t="shared" si="11"/>
        <v>125.41806020066889</v>
      </c>
      <c r="N115" s="12">
        <v>230</v>
      </c>
      <c r="O115" s="13">
        <f t="shared" si="9"/>
        <v>91693.333333333343</v>
      </c>
      <c r="P115" s="12" t="s">
        <v>156</v>
      </c>
      <c r="Q115" s="13">
        <f t="shared" si="12"/>
        <v>235213.33333333334</v>
      </c>
    </row>
    <row r="116" spans="1:20">
      <c r="A116" s="37">
        <v>42889</v>
      </c>
      <c r="B116" s="12" t="s">
        <v>23</v>
      </c>
      <c r="C116" s="12">
        <v>1</v>
      </c>
      <c r="D116" s="40">
        <v>0.5</v>
      </c>
      <c r="E116" s="12">
        <v>440</v>
      </c>
      <c r="F116" s="12">
        <v>191</v>
      </c>
      <c r="G116" s="12">
        <v>207</v>
      </c>
      <c r="H116" s="12">
        <v>206</v>
      </c>
      <c r="I116" s="13">
        <f t="shared" si="10"/>
        <v>402.66666666666669</v>
      </c>
      <c r="J116" s="13">
        <f t="shared" si="6"/>
        <v>177173.33333333334</v>
      </c>
      <c r="K116" s="12">
        <v>5</v>
      </c>
      <c r="L116" s="144">
        <v>50000</v>
      </c>
      <c r="M116" s="145">
        <f t="shared" si="11"/>
        <v>124.17218543046357</v>
      </c>
      <c r="N116" s="12">
        <v>150</v>
      </c>
      <c r="O116" s="13">
        <f t="shared" si="9"/>
        <v>60400</v>
      </c>
      <c r="P116" s="12" t="s">
        <v>157</v>
      </c>
      <c r="Q116" s="13">
        <f t="shared" si="12"/>
        <v>116773.33333333334</v>
      </c>
    </row>
    <row r="117" spans="1:20">
      <c r="A117" s="37">
        <v>42889</v>
      </c>
      <c r="B117" s="12" t="s">
        <v>36</v>
      </c>
      <c r="C117" s="12">
        <v>1</v>
      </c>
      <c r="D117" s="40">
        <v>0.5</v>
      </c>
      <c r="E117" s="12">
        <v>850</v>
      </c>
      <c r="F117" s="12">
        <v>78</v>
      </c>
      <c r="G117" s="12">
        <v>96</v>
      </c>
      <c r="H117" s="12">
        <v>91</v>
      </c>
      <c r="I117" s="13">
        <f t="shared" si="10"/>
        <v>176.66666666666666</v>
      </c>
      <c r="J117" s="13">
        <f t="shared" si="6"/>
        <v>150166.66666666666</v>
      </c>
      <c r="K117" s="12">
        <v>16</v>
      </c>
      <c r="L117" s="144">
        <v>50000</v>
      </c>
      <c r="M117" s="145">
        <f t="shared" si="11"/>
        <v>283.01886792452831</v>
      </c>
      <c r="N117" s="12">
        <v>325</v>
      </c>
      <c r="O117" s="13">
        <f t="shared" si="9"/>
        <v>57416.666666666664</v>
      </c>
      <c r="P117" s="12" t="s">
        <v>154</v>
      </c>
      <c r="Q117" s="13">
        <f t="shared" si="12"/>
        <v>92750</v>
      </c>
    </row>
    <row r="118" spans="1:20">
      <c r="A118" s="37">
        <v>42890</v>
      </c>
      <c r="B118" s="12" t="s">
        <v>20</v>
      </c>
      <c r="C118" s="12">
        <v>1</v>
      </c>
      <c r="D118" s="40">
        <v>0.5</v>
      </c>
      <c r="E118" s="12">
        <v>825</v>
      </c>
      <c r="F118" s="12">
        <v>143</v>
      </c>
      <c r="G118" s="12">
        <v>100</v>
      </c>
      <c r="H118" s="12">
        <v>104</v>
      </c>
      <c r="I118" s="13">
        <f t="shared" si="10"/>
        <v>231.33333333333334</v>
      </c>
      <c r="J118" s="13">
        <f t="shared" si="6"/>
        <v>190850</v>
      </c>
      <c r="K118" s="12">
        <v>18</v>
      </c>
      <c r="L118" s="144">
        <v>50000</v>
      </c>
      <c r="M118" s="145">
        <f t="shared" si="11"/>
        <v>216.13832853025934</v>
      </c>
      <c r="N118" s="12">
        <v>250</v>
      </c>
      <c r="O118" s="13">
        <f t="shared" si="9"/>
        <v>57833.333333333336</v>
      </c>
      <c r="P118" s="12" t="s">
        <v>164</v>
      </c>
      <c r="Q118" s="13">
        <f t="shared" si="12"/>
        <v>133016.66666666666</v>
      </c>
    </row>
    <row r="119" spans="1:20">
      <c r="A119" s="37">
        <v>42890</v>
      </c>
      <c r="B119" s="12" t="s">
        <v>47</v>
      </c>
      <c r="C119" s="12">
        <v>1</v>
      </c>
      <c r="D119" s="40">
        <v>0.5</v>
      </c>
      <c r="E119" s="12">
        <v>360</v>
      </c>
      <c r="F119" s="12">
        <v>2</v>
      </c>
      <c r="G119" s="12">
        <v>2</v>
      </c>
      <c r="H119" s="12">
        <v>1</v>
      </c>
      <c r="I119" s="13">
        <f t="shared" si="10"/>
        <v>3.3333333333333335</v>
      </c>
      <c r="J119" s="13">
        <f t="shared" si="6"/>
        <v>1200</v>
      </c>
      <c r="K119" s="12">
        <v>12</v>
      </c>
      <c r="M119" s="145">
        <f t="shared" si="11"/>
        <v>0</v>
      </c>
      <c r="N119" s="12">
        <v>360</v>
      </c>
      <c r="O119" s="13">
        <f t="shared" si="9"/>
        <v>1200</v>
      </c>
      <c r="Q119" s="13">
        <f t="shared" si="12"/>
        <v>0</v>
      </c>
    </row>
    <row r="120" spans="1:20">
      <c r="A120" s="37">
        <v>42890</v>
      </c>
      <c r="B120" s="12" t="s">
        <v>98</v>
      </c>
      <c r="C120" s="12">
        <v>1</v>
      </c>
      <c r="D120" s="40">
        <v>0.5</v>
      </c>
      <c r="E120" s="12">
        <v>400</v>
      </c>
      <c r="F120" s="12">
        <v>2</v>
      </c>
      <c r="G120" s="12">
        <v>5</v>
      </c>
      <c r="H120" s="12">
        <v>4</v>
      </c>
      <c r="I120" s="13">
        <f t="shared" si="10"/>
        <v>7.333333333333333</v>
      </c>
      <c r="J120" s="13">
        <f t="shared" si="6"/>
        <v>2933.333333333333</v>
      </c>
      <c r="K120" s="12">
        <v>3</v>
      </c>
      <c r="M120" s="145">
        <f t="shared" si="11"/>
        <v>0</v>
      </c>
      <c r="N120" s="12">
        <v>400</v>
      </c>
      <c r="O120" s="13">
        <f t="shared" si="9"/>
        <v>2933.333333333333</v>
      </c>
      <c r="Q120" s="13">
        <f t="shared" si="12"/>
        <v>0</v>
      </c>
    </row>
    <row r="121" spans="1:20">
      <c r="A121" s="37">
        <v>42890</v>
      </c>
      <c r="B121" s="12" t="s">
        <v>27</v>
      </c>
      <c r="C121" s="12">
        <v>1</v>
      </c>
      <c r="D121" s="40">
        <v>0.5</v>
      </c>
      <c r="E121" s="12">
        <v>825</v>
      </c>
      <c r="F121" s="12">
        <v>115</v>
      </c>
      <c r="G121" s="12">
        <v>96</v>
      </c>
      <c r="H121" s="12">
        <v>120</v>
      </c>
      <c r="I121" s="13">
        <f t="shared" si="10"/>
        <v>220.66666666666666</v>
      </c>
      <c r="J121" s="13">
        <f t="shared" si="6"/>
        <v>182050</v>
      </c>
      <c r="K121" s="12">
        <v>2</v>
      </c>
      <c r="L121" s="144">
        <v>50000</v>
      </c>
      <c r="M121" s="145">
        <f t="shared" si="11"/>
        <v>226.58610271903325</v>
      </c>
      <c r="N121" s="12">
        <v>250</v>
      </c>
      <c r="O121" s="13">
        <f t="shared" si="9"/>
        <v>55166.666666666664</v>
      </c>
      <c r="P121" s="12" t="s">
        <v>166</v>
      </c>
      <c r="Q121" s="13">
        <f t="shared" si="12"/>
        <v>126883.33333333334</v>
      </c>
      <c r="T121" s="14" t="s">
        <v>165</v>
      </c>
    </row>
    <row r="122" spans="1:20">
      <c r="A122" s="37">
        <v>42891</v>
      </c>
      <c r="B122" s="12" t="s">
        <v>121</v>
      </c>
      <c r="C122" s="12">
        <v>7</v>
      </c>
      <c r="D122" s="40">
        <v>0.5</v>
      </c>
      <c r="E122" s="12">
        <v>540</v>
      </c>
      <c r="F122" s="12">
        <v>88</v>
      </c>
      <c r="G122" s="12">
        <v>81</v>
      </c>
      <c r="H122" s="12">
        <v>76</v>
      </c>
      <c r="I122" s="13">
        <f t="shared" si="10"/>
        <v>163.33333333333334</v>
      </c>
      <c r="J122" s="13">
        <f t="shared" si="6"/>
        <v>88200</v>
      </c>
      <c r="L122" s="144">
        <v>50000</v>
      </c>
      <c r="M122" s="145">
        <f t="shared" si="11"/>
        <v>306.12244897959181</v>
      </c>
      <c r="N122" s="12">
        <v>300</v>
      </c>
      <c r="O122" s="13">
        <f t="shared" si="9"/>
        <v>49000</v>
      </c>
      <c r="P122" s="12" t="s">
        <v>169</v>
      </c>
      <c r="Q122" s="13">
        <f t="shared" si="12"/>
        <v>39200</v>
      </c>
    </row>
    <row r="123" spans="1:20">
      <c r="A123" s="37">
        <v>42891</v>
      </c>
      <c r="B123" s="12" t="s">
        <v>97</v>
      </c>
      <c r="C123" s="12">
        <v>7</v>
      </c>
      <c r="D123" s="40">
        <v>0.5</v>
      </c>
      <c r="E123" s="12">
        <v>800</v>
      </c>
      <c r="F123" s="12">
        <v>57</v>
      </c>
      <c r="G123" s="12">
        <v>47</v>
      </c>
      <c r="H123" s="12">
        <v>49</v>
      </c>
      <c r="I123" s="13">
        <f t="shared" si="10"/>
        <v>102</v>
      </c>
      <c r="J123" s="13">
        <f t="shared" si="6"/>
        <v>81600</v>
      </c>
      <c r="L123" s="144">
        <v>50000</v>
      </c>
      <c r="M123" s="145">
        <f t="shared" si="11"/>
        <v>490.19607843137254</v>
      </c>
      <c r="N123" s="12">
        <v>500</v>
      </c>
      <c r="O123" s="13">
        <f t="shared" si="9"/>
        <v>51000</v>
      </c>
      <c r="P123" s="12" t="s">
        <v>168</v>
      </c>
      <c r="Q123" s="13">
        <f t="shared" si="12"/>
        <v>30600</v>
      </c>
    </row>
    <row r="124" spans="1:20">
      <c r="A124" s="37">
        <v>42891</v>
      </c>
      <c r="B124" s="12" t="s">
        <v>20</v>
      </c>
      <c r="C124" s="12">
        <v>7</v>
      </c>
      <c r="D124" s="40">
        <v>0.5</v>
      </c>
      <c r="E124" s="12">
        <v>440</v>
      </c>
      <c r="F124" s="12">
        <v>19</v>
      </c>
      <c r="G124" s="12">
        <v>17</v>
      </c>
      <c r="H124" s="12">
        <v>23</v>
      </c>
      <c r="I124" s="13">
        <f t="shared" si="10"/>
        <v>39.333333333333336</v>
      </c>
      <c r="J124" s="13">
        <f t="shared" si="6"/>
        <v>17306.666666666668</v>
      </c>
      <c r="M124" s="145">
        <f t="shared" si="11"/>
        <v>0</v>
      </c>
      <c r="N124" s="12">
        <v>440</v>
      </c>
      <c r="O124" s="13">
        <f t="shared" si="9"/>
        <v>17306.666666666668</v>
      </c>
      <c r="Q124" s="13">
        <f t="shared" si="12"/>
        <v>0</v>
      </c>
    </row>
    <row r="125" spans="1:20">
      <c r="A125" s="37">
        <v>42891</v>
      </c>
      <c r="B125" s="12" t="s">
        <v>36</v>
      </c>
      <c r="C125" s="12">
        <v>7</v>
      </c>
      <c r="D125" s="40">
        <v>0.5</v>
      </c>
      <c r="E125" s="12">
        <v>800</v>
      </c>
      <c r="F125" s="12">
        <v>301</v>
      </c>
      <c r="G125" s="12">
        <v>299</v>
      </c>
      <c r="H125" s="12">
        <v>308</v>
      </c>
      <c r="I125" s="13">
        <f t="shared" si="10"/>
        <v>605.33333333333337</v>
      </c>
      <c r="J125" s="13">
        <f t="shared" si="6"/>
        <v>484266.66666666669</v>
      </c>
      <c r="L125" s="144">
        <v>70000</v>
      </c>
      <c r="M125" s="145">
        <f t="shared" si="11"/>
        <v>115.63876651982378</v>
      </c>
      <c r="N125" s="12">
        <v>175</v>
      </c>
      <c r="O125" s="13">
        <f t="shared" si="9"/>
        <v>105933.33333333334</v>
      </c>
      <c r="P125" s="12" t="s">
        <v>167</v>
      </c>
      <c r="Q125" s="13">
        <f t="shared" si="12"/>
        <v>378333.33333333337</v>
      </c>
    </row>
    <row r="126" spans="1:20">
      <c r="A126" s="37">
        <v>42892</v>
      </c>
      <c r="B126" s="12" t="s">
        <v>121</v>
      </c>
      <c r="C126" s="12">
        <v>1</v>
      </c>
      <c r="D126" s="40">
        <v>0.5</v>
      </c>
      <c r="E126" s="12">
        <v>825</v>
      </c>
      <c r="F126" s="12">
        <v>59</v>
      </c>
      <c r="G126" s="12">
        <v>73</v>
      </c>
      <c r="H126" s="12">
        <v>57</v>
      </c>
      <c r="I126" s="13">
        <v>57</v>
      </c>
      <c r="J126" s="13">
        <f t="shared" si="6"/>
        <v>47025</v>
      </c>
      <c r="L126" s="144">
        <v>20000</v>
      </c>
      <c r="M126" s="145">
        <f t="shared" si="11"/>
        <v>350.87719298245617</v>
      </c>
      <c r="N126" s="12">
        <v>300</v>
      </c>
      <c r="O126" s="13">
        <f t="shared" si="9"/>
        <v>17100</v>
      </c>
      <c r="P126" s="12" t="s">
        <v>176</v>
      </c>
      <c r="Q126" s="13">
        <f t="shared" si="12"/>
        <v>29925</v>
      </c>
    </row>
    <row r="127" spans="1:20">
      <c r="A127" s="37">
        <v>42892</v>
      </c>
      <c r="B127" s="12" t="s">
        <v>27</v>
      </c>
      <c r="C127" s="12">
        <v>1</v>
      </c>
      <c r="D127" s="40">
        <v>0.5</v>
      </c>
      <c r="E127" s="12">
        <v>450</v>
      </c>
      <c r="F127" s="12">
        <v>7</v>
      </c>
      <c r="G127" s="12">
        <v>7</v>
      </c>
      <c r="H127" s="12">
        <v>7</v>
      </c>
      <c r="I127" s="13">
        <f t="shared" ref="I127:I158" si="13">AVERAGE(F127:H127)/D127</f>
        <v>14</v>
      </c>
      <c r="J127" s="13">
        <f t="shared" si="6"/>
        <v>6300</v>
      </c>
      <c r="M127" s="145">
        <f t="shared" si="11"/>
        <v>0</v>
      </c>
      <c r="O127" s="13">
        <f t="shared" si="9"/>
        <v>0</v>
      </c>
      <c r="P127" s="12" t="s">
        <v>175</v>
      </c>
      <c r="Q127" s="13">
        <f t="shared" si="12"/>
        <v>6300</v>
      </c>
      <c r="T127" s="14" t="s">
        <v>173</v>
      </c>
    </row>
    <row r="128" spans="1:20">
      <c r="A128" s="37">
        <v>42892</v>
      </c>
      <c r="B128" s="12" t="s">
        <v>97</v>
      </c>
      <c r="C128" s="12">
        <v>1</v>
      </c>
      <c r="D128" s="40">
        <v>0.5</v>
      </c>
      <c r="E128" s="12">
        <v>340</v>
      </c>
      <c r="F128" s="12">
        <v>3</v>
      </c>
      <c r="G128" s="12">
        <v>0</v>
      </c>
      <c r="H128" s="12">
        <v>4</v>
      </c>
      <c r="I128" s="13">
        <f t="shared" si="13"/>
        <v>4.666666666666667</v>
      </c>
      <c r="J128" s="13">
        <f t="shared" si="6"/>
        <v>1586.6666666666667</v>
      </c>
      <c r="M128" s="145">
        <f t="shared" si="11"/>
        <v>0</v>
      </c>
      <c r="N128" s="12">
        <v>340</v>
      </c>
      <c r="O128" s="13">
        <f t="shared" si="9"/>
        <v>1586.6666666666667</v>
      </c>
      <c r="Q128" s="13">
        <f t="shared" si="12"/>
        <v>0</v>
      </c>
    </row>
    <row r="129" spans="1:20">
      <c r="A129" s="37">
        <v>42892</v>
      </c>
      <c r="B129" s="12" t="s">
        <v>36</v>
      </c>
      <c r="C129" s="12">
        <v>1</v>
      </c>
      <c r="D129" s="40">
        <v>0.5</v>
      </c>
      <c r="E129" s="12">
        <v>400</v>
      </c>
      <c r="F129" s="12">
        <v>15</v>
      </c>
      <c r="G129" s="12">
        <v>12</v>
      </c>
      <c r="H129" s="12">
        <v>10</v>
      </c>
      <c r="I129" s="13">
        <f t="shared" si="13"/>
        <v>24.666666666666668</v>
      </c>
      <c r="J129" s="13">
        <f t="shared" si="6"/>
        <v>9866.6666666666679</v>
      </c>
      <c r="M129" s="145">
        <f t="shared" si="11"/>
        <v>0</v>
      </c>
      <c r="O129" s="13">
        <f t="shared" si="9"/>
        <v>0</v>
      </c>
      <c r="P129" s="12" t="s">
        <v>174</v>
      </c>
      <c r="Q129" s="13">
        <f t="shared" si="12"/>
        <v>9866.6666666666679</v>
      </c>
      <c r="T129" s="14" t="s">
        <v>173</v>
      </c>
    </row>
    <row r="130" spans="1:20">
      <c r="A130" s="37">
        <v>42893</v>
      </c>
      <c r="B130" s="12" t="s">
        <v>21</v>
      </c>
      <c r="C130" s="12">
        <v>1</v>
      </c>
      <c r="D130" s="40">
        <v>0.5</v>
      </c>
      <c r="E130" s="12">
        <v>800</v>
      </c>
      <c r="F130" s="12">
        <v>152</v>
      </c>
      <c r="G130" s="12">
        <v>214</v>
      </c>
      <c r="H130" s="12">
        <v>163</v>
      </c>
      <c r="I130" s="13">
        <f t="shared" si="13"/>
        <v>352.66666666666669</v>
      </c>
      <c r="J130" s="13">
        <f t="shared" ref="J130:J193" si="14">I130*E130</f>
        <v>282133.33333333337</v>
      </c>
      <c r="M130" s="145">
        <f t="shared" si="11"/>
        <v>0</v>
      </c>
      <c r="N130" s="12">
        <v>250</v>
      </c>
      <c r="O130" s="13">
        <f t="shared" si="9"/>
        <v>88166.666666666672</v>
      </c>
      <c r="P130" s="12" t="s">
        <v>179</v>
      </c>
      <c r="Q130" s="13">
        <f t="shared" si="12"/>
        <v>193966.66666666669</v>
      </c>
    </row>
    <row r="131" spans="1:20">
      <c r="A131" s="37">
        <v>42893</v>
      </c>
      <c r="B131" s="12" t="s">
        <v>46</v>
      </c>
      <c r="C131" s="12">
        <v>1</v>
      </c>
      <c r="D131" s="40">
        <v>0.5</v>
      </c>
      <c r="E131" s="12">
        <v>800</v>
      </c>
      <c r="F131" s="12">
        <v>37</v>
      </c>
      <c r="G131" s="12">
        <v>34</v>
      </c>
      <c r="H131" s="12">
        <v>22</v>
      </c>
      <c r="I131" s="13">
        <f t="shared" si="13"/>
        <v>62</v>
      </c>
      <c r="J131" s="13">
        <f t="shared" si="14"/>
        <v>49600</v>
      </c>
      <c r="M131" s="145">
        <f t="shared" si="11"/>
        <v>0</v>
      </c>
      <c r="N131" s="12">
        <v>625</v>
      </c>
      <c r="O131" s="13">
        <f t="shared" si="9"/>
        <v>38750</v>
      </c>
      <c r="P131" s="12" t="s">
        <v>180</v>
      </c>
      <c r="Q131" s="13">
        <f t="shared" si="12"/>
        <v>10850</v>
      </c>
    </row>
    <row r="132" spans="1:20">
      <c r="A132" s="37">
        <v>42893</v>
      </c>
      <c r="B132" s="12" t="s">
        <v>98</v>
      </c>
      <c r="C132" s="12">
        <v>1</v>
      </c>
      <c r="D132" s="40">
        <v>0.5</v>
      </c>
      <c r="E132" s="12">
        <v>800</v>
      </c>
      <c r="F132" s="12">
        <v>146</v>
      </c>
      <c r="G132" s="12">
        <v>142</v>
      </c>
      <c r="H132" s="12">
        <v>133</v>
      </c>
      <c r="I132" s="13">
        <f t="shared" si="13"/>
        <v>280.66666666666669</v>
      </c>
      <c r="J132" s="13">
        <f t="shared" si="14"/>
        <v>224533.33333333334</v>
      </c>
      <c r="M132" s="145">
        <f t="shared" si="11"/>
        <v>0</v>
      </c>
      <c r="N132" s="12">
        <v>275</v>
      </c>
      <c r="O132" s="13">
        <f t="shared" si="9"/>
        <v>77183.333333333343</v>
      </c>
      <c r="P132" s="12" t="s">
        <v>181</v>
      </c>
      <c r="Q132" s="13">
        <f t="shared" si="12"/>
        <v>147350</v>
      </c>
    </row>
    <row r="133" spans="1:20">
      <c r="A133" s="37">
        <v>42894</v>
      </c>
      <c r="B133" s="12" t="s">
        <v>21</v>
      </c>
      <c r="C133" s="12">
        <v>1</v>
      </c>
      <c r="D133" s="40">
        <v>1</v>
      </c>
      <c r="E133" s="12">
        <v>425</v>
      </c>
      <c r="F133" s="12">
        <v>9</v>
      </c>
      <c r="G133" s="12">
        <v>11</v>
      </c>
      <c r="H133" s="12">
        <v>11</v>
      </c>
      <c r="I133" s="13">
        <f t="shared" si="13"/>
        <v>10.333333333333334</v>
      </c>
      <c r="J133" s="13">
        <f t="shared" si="14"/>
        <v>4391.666666666667</v>
      </c>
      <c r="M133" s="145">
        <f t="shared" si="11"/>
        <v>0</v>
      </c>
      <c r="N133" s="12">
        <v>425</v>
      </c>
      <c r="O133" s="13">
        <f t="shared" si="9"/>
        <v>4391.666666666667</v>
      </c>
      <c r="Q133" s="13">
        <f t="shared" si="12"/>
        <v>0</v>
      </c>
    </row>
    <row r="134" spans="1:20">
      <c r="A134" s="37">
        <v>42894</v>
      </c>
      <c r="B134" s="12" t="s">
        <v>46</v>
      </c>
      <c r="C134" s="12">
        <v>1</v>
      </c>
      <c r="D134" s="40">
        <v>1</v>
      </c>
      <c r="E134" s="12">
        <v>400</v>
      </c>
      <c r="F134" s="12">
        <v>23</v>
      </c>
      <c r="G134" s="12">
        <v>25</v>
      </c>
      <c r="H134" s="12">
        <v>20</v>
      </c>
      <c r="I134" s="13">
        <f t="shared" si="13"/>
        <v>22.666666666666668</v>
      </c>
      <c r="J134" s="13">
        <f t="shared" si="14"/>
        <v>9066.6666666666679</v>
      </c>
      <c r="M134" s="145">
        <f t="shared" si="11"/>
        <v>0</v>
      </c>
      <c r="N134" s="12">
        <v>400</v>
      </c>
      <c r="O134" s="13">
        <f t="shared" si="9"/>
        <v>9066.6666666666679</v>
      </c>
      <c r="Q134" s="13">
        <f t="shared" si="12"/>
        <v>0</v>
      </c>
    </row>
    <row r="135" spans="1:20">
      <c r="A135" s="37">
        <v>42894</v>
      </c>
      <c r="B135" s="12" t="s">
        <v>17</v>
      </c>
      <c r="C135" s="12">
        <v>1</v>
      </c>
      <c r="D135" s="40">
        <v>1</v>
      </c>
      <c r="E135" s="12">
        <v>500</v>
      </c>
      <c r="F135" s="12">
        <v>55</v>
      </c>
      <c r="G135" s="12">
        <v>47</v>
      </c>
      <c r="H135" s="12">
        <v>49</v>
      </c>
      <c r="I135" s="13">
        <f t="shared" si="13"/>
        <v>50.333333333333336</v>
      </c>
      <c r="J135" s="13">
        <f t="shared" si="14"/>
        <v>25166.666666666668</v>
      </c>
      <c r="M135" s="145">
        <f t="shared" si="11"/>
        <v>0</v>
      </c>
      <c r="N135" s="12">
        <v>500</v>
      </c>
      <c r="O135" s="13">
        <f t="shared" si="9"/>
        <v>25166.666666666668</v>
      </c>
      <c r="Q135" s="13">
        <f t="shared" si="12"/>
        <v>0</v>
      </c>
    </row>
    <row r="136" spans="1:20">
      <c r="A136" s="37">
        <v>42896</v>
      </c>
      <c r="B136" s="12" t="s">
        <v>109</v>
      </c>
      <c r="C136" s="12">
        <v>1</v>
      </c>
      <c r="D136" s="40">
        <v>0.5</v>
      </c>
      <c r="E136" s="12">
        <v>825</v>
      </c>
      <c r="F136" s="12">
        <v>100</v>
      </c>
      <c r="G136" s="12">
        <v>84</v>
      </c>
      <c r="H136" s="12">
        <v>87</v>
      </c>
      <c r="I136" s="13">
        <f t="shared" si="13"/>
        <v>180.66666666666666</v>
      </c>
      <c r="J136" s="13">
        <f t="shared" si="14"/>
        <v>149050</v>
      </c>
      <c r="L136" s="144">
        <v>50000</v>
      </c>
      <c r="M136" s="145">
        <f t="shared" si="11"/>
        <v>276.7527675276753</v>
      </c>
      <c r="N136" s="12">
        <v>300</v>
      </c>
      <c r="O136" s="13">
        <f t="shared" si="9"/>
        <v>54200</v>
      </c>
      <c r="P136" s="12" t="s">
        <v>186</v>
      </c>
      <c r="Q136" s="13">
        <f t="shared" si="12"/>
        <v>94850</v>
      </c>
    </row>
    <row r="137" spans="1:20">
      <c r="A137" s="37">
        <v>42896</v>
      </c>
      <c r="B137" s="12" t="s">
        <v>17</v>
      </c>
      <c r="C137" s="12">
        <v>1</v>
      </c>
      <c r="D137" s="40">
        <v>0.5</v>
      </c>
      <c r="E137" s="12">
        <v>320</v>
      </c>
      <c r="F137" s="12">
        <v>0</v>
      </c>
      <c r="G137" s="12">
        <v>4</v>
      </c>
      <c r="H137" s="12">
        <v>2</v>
      </c>
      <c r="I137" s="13">
        <f t="shared" si="13"/>
        <v>4</v>
      </c>
      <c r="J137" s="13">
        <f t="shared" si="14"/>
        <v>1280</v>
      </c>
      <c r="M137" s="145">
        <f t="shared" si="11"/>
        <v>0</v>
      </c>
      <c r="O137" s="13">
        <f t="shared" si="9"/>
        <v>0</v>
      </c>
      <c r="P137" s="12" t="s">
        <v>184</v>
      </c>
      <c r="Q137" s="13">
        <f t="shared" si="12"/>
        <v>1280</v>
      </c>
      <c r="T137" s="14" t="s">
        <v>189</v>
      </c>
    </row>
    <row r="138" spans="1:20">
      <c r="A138" s="37">
        <v>42896</v>
      </c>
      <c r="B138" s="12" t="s">
        <v>38</v>
      </c>
      <c r="C138" s="12">
        <v>1</v>
      </c>
      <c r="D138" s="40">
        <v>0.5</v>
      </c>
      <c r="E138" s="12">
        <v>560</v>
      </c>
      <c r="F138" s="12">
        <v>64</v>
      </c>
      <c r="G138" s="12">
        <v>62</v>
      </c>
      <c r="H138" s="12">
        <v>67</v>
      </c>
      <c r="I138" s="13">
        <f t="shared" si="13"/>
        <v>128.66666666666666</v>
      </c>
      <c r="J138" s="13">
        <f t="shared" si="14"/>
        <v>72053.333333333328</v>
      </c>
      <c r="L138" s="144">
        <v>50000</v>
      </c>
      <c r="M138" s="145">
        <f t="shared" si="11"/>
        <v>388.6010362694301</v>
      </c>
      <c r="N138" s="12">
        <v>400</v>
      </c>
      <c r="O138" s="13">
        <f t="shared" si="9"/>
        <v>51466.666666666664</v>
      </c>
      <c r="P138" s="12" t="s">
        <v>183</v>
      </c>
      <c r="Q138" s="13">
        <f t="shared" si="12"/>
        <v>20586.666666666664</v>
      </c>
    </row>
    <row r="139" spans="1:20">
      <c r="A139" s="37">
        <v>42896</v>
      </c>
      <c r="B139" s="12" t="s">
        <v>46</v>
      </c>
      <c r="C139" s="12">
        <v>1</v>
      </c>
      <c r="D139" s="40">
        <v>0.5</v>
      </c>
      <c r="E139" s="12">
        <v>300</v>
      </c>
      <c r="F139" s="12">
        <v>6</v>
      </c>
      <c r="G139" s="12">
        <v>3</v>
      </c>
      <c r="H139" s="12">
        <v>5</v>
      </c>
      <c r="I139" s="13">
        <f t="shared" si="13"/>
        <v>9.3333333333333339</v>
      </c>
      <c r="J139" s="13">
        <f t="shared" si="14"/>
        <v>2800</v>
      </c>
      <c r="M139" s="145">
        <f t="shared" si="11"/>
        <v>0</v>
      </c>
      <c r="O139" s="13">
        <f t="shared" si="9"/>
        <v>0</v>
      </c>
      <c r="P139" s="12" t="s">
        <v>185</v>
      </c>
      <c r="Q139" s="13">
        <f t="shared" si="12"/>
        <v>2800</v>
      </c>
      <c r="T139" s="14" t="s">
        <v>190</v>
      </c>
    </row>
    <row r="140" spans="1:20">
      <c r="A140" s="37">
        <v>42896</v>
      </c>
      <c r="B140" s="12" t="s">
        <v>121</v>
      </c>
      <c r="C140" s="12">
        <v>1</v>
      </c>
      <c r="D140" s="40">
        <v>0.5</v>
      </c>
      <c r="E140" s="12">
        <v>800</v>
      </c>
      <c r="F140" s="12">
        <v>135</v>
      </c>
      <c r="G140" s="12">
        <v>168</v>
      </c>
      <c r="H140" s="12">
        <v>160</v>
      </c>
      <c r="I140" s="13">
        <f t="shared" si="13"/>
        <v>308.66666666666669</v>
      </c>
      <c r="J140" s="13">
        <f t="shared" si="14"/>
        <v>246933.33333333334</v>
      </c>
      <c r="L140" s="144">
        <v>50000</v>
      </c>
      <c r="M140" s="145">
        <f t="shared" si="11"/>
        <v>161.98704103671705</v>
      </c>
      <c r="N140" s="12">
        <v>200</v>
      </c>
      <c r="O140" s="13">
        <f t="shared" si="9"/>
        <v>61733.333333333336</v>
      </c>
      <c r="P140" s="12" t="s">
        <v>182</v>
      </c>
      <c r="Q140" s="13">
        <f t="shared" si="12"/>
        <v>185200</v>
      </c>
    </row>
    <row r="141" spans="1:20">
      <c r="A141" s="37">
        <v>42898</v>
      </c>
      <c r="B141" s="12" t="s">
        <v>109</v>
      </c>
      <c r="C141" s="12" t="s">
        <v>188</v>
      </c>
      <c r="D141" s="40">
        <v>0.5</v>
      </c>
      <c r="E141" s="12">
        <v>825</v>
      </c>
      <c r="F141" s="12">
        <v>121</v>
      </c>
      <c r="G141" s="12">
        <v>94</v>
      </c>
      <c r="H141" s="12">
        <v>105</v>
      </c>
      <c r="I141" s="13">
        <f t="shared" si="13"/>
        <v>213.33333333333334</v>
      </c>
      <c r="J141" s="13">
        <f t="shared" si="14"/>
        <v>176000</v>
      </c>
      <c r="M141" s="145">
        <f t="shared" si="11"/>
        <v>0</v>
      </c>
      <c r="N141" s="12">
        <v>250</v>
      </c>
      <c r="O141" s="13">
        <f t="shared" si="9"/>
        <v>53333.333333333336</v>
      </c>
      <c r="P141" s="12" t="s">
        <v>192</v>
      </c>
      <c r="Q141" s="13">
        <f t="shared" si="12"/>
        <v>122666.66666666666</v>
      </c>
    </row>
    <row r="142" spans="1:20">
      <c r="A142" s="37">
        <v>42898</v>
      </c>
      <c r="B142" s="12" t="s">
        <v>119</v>
      </c>
      <c r="C142" s="12" t="s">
        <v>188</v>
      </c>
      <c r="D142" s="40">
        <v>0.5</v>
      </c>
      <c r="E142" s="12">
        <v>800</v>
      </c>
      <c r="F142" s="12">
        <v>70</v>
      </c>
      <c r="G142" s="12">
        <v>75</v>
      </c>
      <c r="H142" s="12">
        <v>52</v>
      </c>
      <c r="I142" s="13">
        <f t="shared" si="13"/>
        <v>131.33333333333334</v>
      </c>
      <c r="J142" s="13">
        <f t="shared" si="14"/>
        <v>105066.66666666667</v>
      </c>
      <c r="M142" s="145">
        <f t="shared" ref="M142:M173" si="15">L142/I142</f>
        <v>0</v>
      </c>
      <c r="N142" s="12">
        <v>500</v>
      </c>
      <c r="O142" s="13">
        <f t="shared" si="9"/>
        <v>65666.666666666672</v>
      </c>
      <c r="P142" s="12" t="s">
        <v>191</v>
      </c>
      <c r="Q142" s="13">
        <f t="shared" si="12"/>
        <v>39400</v>
      </c>
    </row>
    <row r="143" spans="1:20">
      <c r="A143" s="37">
        <v>42898</v>
      </c>
      <c r="B143" s="12" t="s">
        <v>38</v>
      </c>
      <c r="C143" s="12" t="s">
        <v>188</v>
      </c>
      <c r="D143" s="40">
        <v>0.5</v>
      </c>
      <c r="E143" s="12">
        <v>350</v>
      </c>
      <c r="F143" s="12">
        <v>3</v>
      </c>
      <c r="G143" s="12">
        <v>8</v>
      </c>
      <c r="H143" s="12">
        <v>7</v>
      </c>
      <c r="I143" s="13">
        <f t="shared" si="13"/>
        <v>12</v>
      </c>
      <c r="J143" s="13">
        <f t="shared" si="14"/>
        <v>4200</v>
      </c>
      <c r="M143" s="145">
        <f t="shared" si="15"/>
        <v>0</v>
      </c>
      <c r="N143" s="12">
        <v>350</v>
      </c>
      <c r="O143" s="13">
        <f t="shared" si="9"/>
        <v>4200</v>
      </c>
      <c r="Q143" s="13">
        <f t="shared" ref="Q143:Q170" si="16">J143-O143</f>
        <v>0</v>
      </c>
    </row>
    <row r="144" spans="1:20">
      <c r="A144" s="37">
        <v>42898</v>
      </c>
      <c r="B144" s="12" t="s">
        <v>48</v>
      </c>
      <c r="C144" s="12" t="s">
        <v>188</v>
      </c>
      <c r="D144" s="40">
        <v>0.5</v>
      </c>
      <c r="E144" s="12">
        <v>175</v>
      </c>
      <c r="F144" s="12">
        <v>3</v>
      </c>
      <c r="G144" s="12">
        <v>4</v>
      </c>
      <c r="H144" s="12">
        <v>5</v>
      </c>
      <c r="I144" s="13">
        <f t="shared" si="13"/>
        <v>8</v>
      </c>
      <c r="J144" s="13">
        <f t="shared" si="14"/>
        <v>1400</v>
      </c>
      <c r="M144" s="145">
        <f t="shared" si="15"/>
        <v>0</v>
      </c>
      <c r="N144" s="12">
        <v>175</v>
      </c>
      <c r="O144" s="13">
        <f t="shared" si="9"/>
        <v>1400</v>
      </c>
      <c r="Q144" s="13">
        <f t="shared" si="16"/>
        <v>0</v>
      </c>
    </row>
    <row r="145" spans="1:20">
      <c r="A145" s="37">
        <v>42898</v>
      </c>
      <c r="B145" s="12" t="s">
        <v>121</v>
      </c>
      <c r="C145" s="12" t="s">
        <v>188</v>
      </c>
      <c r="D145" s="40">
        <v>0.5</v>
      </c>
      <c r="E145" s="12">
        <v>300</v>
      </c>
      <c r="F145" s="12">
        <v>19</v>
      </c>
      <c r="G145" s="12">
        <v>10</v>
      </c>
      <c r="H145" s="12">
        <v>18</v>
      </c>
      <c r="I145" s="13">
        <f t="shared" si="13"/>
        <v>31.333333333333332</v>
      </c>
      <c r="J145" s="13">
        <f t="shared" si="14"/>
        <v>9400</v>
      </c>
      <c r="M145" s="145">
        <f t="shared" si="15"/>
        <v>0</v>
      </c>
      <c r="N145" s="12">
        <v>300</v>
      </c>
      <c r="O145" s="13">
        <f t="shared" si="9"/>
        <v>9400</v>
      </c>
      <c r="Q145" s="13">
        <f t="shared" si="16"/>
        <v>0</v>
      </c>
    </row>
    <row r="146" spans="1:20">
      <c r="A146" s="37">
        <v>42900</v>
      </c>
      <c r="B146" s="12" t="s">
        <v>31</v>
      </c>
      <c r="C146" s="12">
        <v>1</v>
      </c>
      <c r="D146" s="40">
        <v>0.5</v>
      </c>
      <c r="E146" s="12">
        <v>800</v>
      </c>
      <c r="F146" s="12">
        <v>78</v>
      </c>
      <c r="G146" s="12">
        <v>69</v>
      </c>
      <c r="H146" s="12">
        <v>70</v>
      </c>
      <c r="I146" s="13">
        <f t="shared" si="13"/>
        <v>144.66666666666666</v>
      </c>
      <c r="J146" s="13">
        <f t="shared" si="14"/>
        <v>115733.33333333333</v>
      </c>
      <c r="M146" s="145">
        <f t="shared" si="15"/>
        <v>0</v>
      </c>
      <c r="N146" s="12">
        <v>400</v>
      </c>
      <c r="O146" s="13">
        <f t="shared" si="9"/>
        <v>57866.666666666664</v>
      </c>
      <c r="P146" s="12" t="s">
        <v>195</v>
      </c>
      <c r="Q146" s="13">
        <f t="shared" si="16"/>
        <v>57866.666666666664</v>
      </c>
    </row>
    <row r="147" spans="1:20">
      <c r="A147" s="37">
        <v>42900</v>
      </c>
      <c r="B147" s="12" t="s">
        <v>23</v>
      </c>
      <c r="C147" s="12">
        <v>1</v>
      </c>
      <c r="D147" s="40">
        <v>0.5</v>
      </c>
      <c r="E147" s="12">
        <v>525</v>
      </c>
      <c r="F147" s="12">
        <v>63</v>
      </c>
      <c r="G147" s="12">
        <v>58</v>
      </c>
      <c r="H147" s="12">
        <v>74</v>
      </c>
      <c r="I147" s="13">
        <f t="shared" si="13"/>
        <v>130</v>
      </c>
      <c r="J147" s="13">
        <f t="shared" si="14"/>
        <v>68250</v>
      </c>
      <c r="M147" s="145">
        <f t="shared" si="15"/>
        <v>0</v>
      </c>
      <c r="N147" s="12">
        <v>300</v>
      </c>
      <c r="O147" s="13">
        <f t="shared" si="9"/>
        <v>39000</v>
      </c>
      <c r="P147" s="12" t="s">
        <v>196</v>
      </c>
      <c r="Q147" s="13">
        <f t="shared" si="16"/>
        <v>29250</v>
      </c>
    </row>
    <row r="148" spans="1:20">
      <c r="A148" s="37">
        <v>42900</v>
      </c>
      <c r="B148" s="12" t="s">
        <v>34</v>
      </c>
      <c r="C148" s="12">
        <v>1</v>
      </c>
      <c r="D148" s="40">
        <v>0.5</v>
      </c>
      <c r="E148" s="12">
        <v>830</v>
      </c>
      <c r="F148" s="12">
        <v>213</v>
      </c>
      <c r="G148" s="12">
        <v>227</v>
      </c>
      <c r="H148" s="12">
        <v>242</v>
      </c>
      <c r="I148" s="13">
        <f t="shared" si="13"/>
        <v>454.66666666666669</v>
      </c>
      <c r="J148" s="13">
        <f t="shared" si="14"/>
        <v>377373.33333333337</v>
      </c>
      <c r="M148" s="145">
        <f t="shared" si="15"/>
        <v>0</v>
      </c>
      <c r="N148" s="12">
        <v>175</v>
      </c>
      <c r="O148" s="13">
        <f t="shared" si="9"/>
        <v>79566.666666666672</v>
      </c>
      <c r="P148" s="12" t="s">
        <v>194</v>
      </c>
      <c r="Q148" s="13">
        <f t="shared" si="16"/>
        <v>297806.66666666669</v>
      </c>
    </row>
    <row r="149" spans="1:20">
      <c r="A149" s="37">
        <v>42900</v>
      </c>
      <c r="B149" s="12" t="s">
        <v>48</v>
      </c>
      <c r="C149" s="12">
        <v>1</v>
      </c>
      <c r="D149" s="40">
        <v>0.25</v>
      </c>
      <c r="E149" s="12">
        <v>900</v>
      </c>
      <c r="F149" s="12">
        <v>225</v>
      </c>
      <c r="G149" s="12">
        <v>210</v>
      </c>
      <c r="H149" s="12">
        <v>239</v>
      </c>
      <c r="I149" s="13">
        <f t="shared" si="13"/>
        <v>898.66666666666663</v>
      </c>
      <c r="J149" s="13">
        <f t="shared" si="14"/>
        <v>808800</v>
      </c>
      <c r="M149" s="145">
        <f t="shared" si="15"/>
        <v>0</v>
      </c>
      <c r="N149" s="12">
        <v>150</v>
      </c>
      <c r="O149" s="13">
        <f t="shared" si="9"/>
        <v>134800</v>
      </c>
      <c r="P149" s="12" t="s">
        <v>193</v>
      </c>
      <c r="Q149" s="13">
        <f t="shared" si="16"/>
        <v>674000</v>
      </c>
    </row>
    <row r="150" spans="1:20">
      <c r="A150" s="37">
        <v>42901</v>
      </c>
      <c r="B150" s="12" t="s">
        <v>31</v>
      </c>
      <c r="C150" s="12">
        <v>9</v>
      </c>
      <c r="D150" s="40">
        <v>0.5</v>
      </c>
      <c r="E150" s="12">
        <v>800</v>
      </c>
      <c r="F150" s="12">
        <v>36</v>
      </c>
      <c r="G150" s="12">
        <v>37</v>
      </c>
      <c r="H150" s="12">
        <v>36</v>
      </c>
      <c r="I150" s="13">
        <f t="shared" si="13"/>
        <v>72.666666666666671</v>
      </c>
      <c r="J150" s="13">
        <f t="shared" si="14"/>
        <v>58133.333333333336</v>
      </c>
      <c r="M150" s="145">
        <f t="shared" si="15"/>
        <v>0</v>
      </c>
      <c r="N150" s="12">
        <v>650</v>
      </c>
      <c r="O150" s="13">
        <f t="shared" si="9"/>
        <v>47233.333333333336</v>
      </c>
      <c r="P150" s="12" t="s">
        <v>198</v>
      </c>
      <c r="Q150" s="13">
        <f t="shared" si="16"/>
        <v>10900</v>
      </c>
    </row>
    <row r="151" spans="1:20">
      <c r="A151" s="37">
        <v>42901</v>
      </c>
      <c r="B151" s="12" t="s">
        <v>23</v>
      </c>
      <c r="C151" s="12">
        <v>9</v>
      </c>
      <c r="D151" s="40">
        <v>0.5</v>
      </c>
      <c r="E151" s="12">
        <v>800</v>
      </c>
      <c r="F151" s="12">
        <v>37</v>
      </c>
      <c r="G151" s="12">
        <v>48</v>
      </c>
      <c r="H151" s="12">
        <v>61</v>
      </c>
      <c r="I151" s="13">
        <f t="shared" si="13"/>
        <v>97.333333333333329</v>
      </c>
      <c r="J151" s="13">
        <f t="shared" si="14"/>
        <v>77866.666666666657</v>
      </c>
      <c r="M151" s="145">
        <f t="shared" si="15"/>
        <v>0</v>
      </c>
      <c r="N151" s="12">
        <v>500</v>
      </c>
      <c r="O151" s="13">
        <f t="shared" si="9"/>
        <v>48666.666666666664</v>
      </c>
      <c r="P151" s="12" t="s">
        <v>199</v>
      </c>
      <c r="Q151" s="13">
        <f t="shared" si="16"/>
        <v>29199.999999999993</v>
      </c>
    </row>
    <row r="152" spans="1:20">
      <c r="A152" s="37">
        <v>42901</v>
      </c>
      <c r="B152" s="12" t="s">
        <v>34</v>
      </c>
      <c r="C152" s="12">
        <v>9</v>
      </c>
      <c r="D152" s="40">
        <v>0.5</v>
      </c>
      <c r="E152" s="12">
        <v>800</v>
      </c>
      <c r="F152" s="12">
        <v>79</v>
      </c>
      <c r="G152" s="12">
        <v>81</v>
      </c>
      <c r="H152" s="12">
        <v>80</v>
      </c>
      <c r="I152" s="13">
        <f t="shared" si="13"/>
        <v>160</v>
      </c>
      <c r="J152" s="13">
        <f t="shared" si="14"/>
        <v>128000</v>
      </c>
      <c r="M152" s="145">
        <f t="shared" si="15"/>
        <v>0</v>
      </c>
      <c r="N152" s="12">
        <v>300</v>
      </c>
      <c r="O152" s="13">
        <f t="shared" si="9"/>
        <v>48000</v>
      </c>
      <c r="P152" s="12" t="s">
        <v>200</v>
      </c>
      <c r="Q152" s="13">
        <f t="shared" si="16"/>
        <v>80000</v>
      </c>
    </row>
    <row r="153" spans="1:20">
      <c r="A153" s="37">
        <v>42901</v>
      </c>
      <c r="B153" s="12" t="s">
        <v>49</v>
      </c>
      <c r="C153" s="12">
        <v>9</v>
      </c>
      <c r="D153" s="40">
        <v>2</v>
      </c>
      <c r="E153" s="12">
        <v>500</v>
      </c>
      <c r="F153" s="12">
        <v>0</v>
      </c>
      <c r="G153" s="12">
        <v>0</v>
      </c>
      <c r="H153" s="12">
        <v>0</v>
      </c>
      <c r="I153" s="13">
        <f t="shared" si="13"/>
        <v>0</v>
      </c>
      <c r="J153" s="13">
        <f t="shared" si="14"/>
        <v>0</v>
      </c>
      <c r="M153" s="145" t="e">
        <f t="shared" si="15"/>
        <v>#DIV/0!</v>
      </c>
      <c r="N153" s="12">
        <v>500</v>
      </c>
      <c r="O153" s="13">
        <f t="shared" si="9"/>
        <v>0</v>
      </c>
      <c r="Q153" s="13">
        <f t="shared" si="16"/>
        <v>0</v>
      </c>
      <c r="T153" s="14" t="s">
        <v>197</v>
      </c>
    </row>
    <row r="154" spans="1:20">
      <c r="A154" s="37">
        <v>42901</v>
      </c>
      <c r="B154" s="12" t="s">
        <v>21</v>
      </c>
      <c r="C154" s="12">
        <v>9</v>
      </c>
      <c r="D154" s="40">
        <v>1</v>
      </c>
      <c r="E154" s="12">
        <v>290</v>
      </c>
      <c r="F154" s="12">
        <v>1</v>
      </c>
      <c r="G154" s="12">
        <v>2</v>
      </c>
      <c r="H154" s="12">
        <v>2</v>
      </c>
      <c r="I154" s="13">
        <f t="shared" si="13"/>
        <v>1.6666666666666667</v>
      </c>
      <c r="J154" s="13">
        <f t="shared" si="14"/>
        <v>483.33333333333337</v>
      </c>
      <c r="M154" s="145">
        <f t="shared" si="15"/>
        <v>0</v>
      </c>
      <c r="N154" s="12">
        <v>290</v>
      </c>
      <c r="O154" s="13">
        <f t="shared" si="9"/>
        <v>483.33333333333337</v>
      </c>
      <c r="Q154" s="13">
        <f t="shared" si="16"/>
        <v>0</v>
      </c>
    </row>
    <row r="155" spans="1:20">
      <c r="A155" s="37">
        <v>42901</v>
      </c>
      <c r="B155" s="12" t="s">
        <v>17</v>
      </c>
      <c r="C155" s="12">
        <v>9</v>
      </c>
      <c r="D155" s="40">
        <v>1</v>
      </c>
      <c r="E155" s="12">
        <v>500</v>
      </c>
      <c r="F155" s="12">
        <v>33</v>
      </c>
      <c r="G155" s="12">
        <v>35</v>
      </c>
      <c r="H155" s="12">
        <v>41</v>
      </c>
      <c r="I155" s="13">
        <f t="shared" si="13"/>
        <v>36.333333333333336</v>
      </c>
      <c r="J155" s="13">
        <f t="shared" si="14"/>
        <v>18166.666666666668</v>
      </c>
      <c r="M155" s="145">
        <f t="shared" si="15"/>
        <v>0</v>
      </c>
      <c r="N155" s="12">
        <v>500</v>
      </c>
      <c r="O155" s="13">
        <f t="shared" si="9"/>
        <v>18166.666666666668</v>
      </c>
      <c r="Q155" s="13">
        <f t="shared" si="16"/>
        <v>0</v>
      </c>
    </row>
    <row r="156" spans="1:20">
      <c r="A156" s="37">
        <v>42901</v>
      </c>
      <c r="B156" s="12" t="s">
        <v>36</v>
      </c>
      <c r="C156" s="12">
        <v>9</v>
      </c>
      <c r="D156" s="40">
        <v>0.5</v>
      </c>
      <c r="E156" s="12">
        <v>800</v>
      </c>
      <c r="F156" s="12">
        <v>147</v>
      </c>
      <c r="G156" s="12">
        <v>154</v>
      </c>
      <c r="H156" s="12">
        <v>140</v>
      </c>
      <c r="I156" s="13">
        <f t="shared" si="13"/>
        <v>294</v>
      </c>
      <c r="J156" s="13">
        <f t="shared" si="14"/>
        <v>235200</v>
      </c>
      <c r="M156" s="145">
        <f t="shared" si="15"/>
        <v>0</v>
      </c>
      <c r="N156" s="12">
        <v>200</v>
      </c>
      <c r="O156" s="13">
        <f t="shared" si="9"/>
        <v>58800</v>
      </c>
      <c r="P156" s="12" t="s">
        <v>202</v>
      </c>
      <c r="Q156" s="13">
        <f t="shared" si="16"/>
        <v>176400</v>
      </c>
    </row>
    <row r="157" spans="1:20">
      <c r="A157" s="37">
        <v>42901</v>
      </c>
      <c r="B157" s="12" t="s">
        <v>48</v>
      </c>
      <c r="C157" s="12">
        <v>9</v>
      </c>
      <c r="D157" s="40">
        <v>0.5</v>
      </c>
      <c r="E157" s="12">
        <v>800</v>
      </c>
      <c r="F157" s="12">
        <v>88</v>
      </c>
      <c r="G157" s="12">
        <v>69</v>
      </c>
      <c r="H157" s="12">
        <v>70</v>
      </c>
      <c r="I157" s="13">
        <f t="shared" si="13"/>
        <v>151.33333333333334</v>
      </c>
      <c r="J157" s="13">
        <f t="shared" si="14"/>
        <v>121066.66666666667</v>
      </c>
      <c r="M157" s="145">
        <f t="shared" si="15"/>
        <v>0</v>
      </c>
      <c r="N157" s="12">
        <v>300</v>
      </c>
      <c r="O157" s="13">
        <f t="shared" si="9"/>
        <v>45400</v>
      </c>
      <c r="P157" s="12" t="s">
        <v>201</v>
      </c>
      <c r="Q157" s="13">
        <f t="shared" si="16"/>
        <v>75666.666666666672</v>
      </c>
    </row>
    <row r="158" spans="1:20">
      <c r="A158" s="37">
        <v>42903</v>
      </c>
      <c r="B158" s="12" t="s">
        <v>109</v>
      </c>
      <c r="C158" s="12">
        <v>1</v>
      </c>
      <c r="D158" s="40">
        <v>0.5</v>
      </c>
      <c r="E158" s="12">
        <v>800</v>
      </c>
      <c r="F158" s="12">
        <v>31</v>
      </c>
      <c r="G158" s="12">
        <v>25</v>
      </c>
      <c r="H158" s="12">
        <v>33</v>
      </c>
      <c r="I158" s="13">
        <f t="shared" si="13"/>
        <v>59.333333333333336</v>
      </c>
      <c r="J158" s="13">
        <f t="shared" si="14"/>
        <v>47466.666666666672</v>
      </c>
      <c r="L158" s="144">
        <v>30000</v>
      </c>
      <c r="M158" s="145">
        <f t="shared" si="15"/>
        <v>505.61797752808985</v>
      </c>
      <c r="N158" s="12">
        <v>525</v>
      </c>
      <c r="O158" s="13">
        <f t="shared" si="9"/>
        <v>31150</v>
      </c>
      <c r="P158" s="12" t="s">
        <v>227</v>
      </c>
      <c r="Q158" s="13">
        <f t="shared" si="16"/>
        <v>16316.666666666672</v>
      </c>
    </row>
    <row r="159" spans="1:20">
      <c r="A159" s="37">
        <v>42903</v>
      </c>
      <c r="B159" s="12" t="s">
        <v>21</v>
      </c>
      <c r="C159" s="12">
        <v>1</v>
      </c>
      <c r="D159" s="40">
        <v>0.25</v>
      </c>
      <c r="E159" s="12">
        <v>800</v>
      </c>
      <c r="F159" s="12">
        <v>110</v>
      </c>
      <c r="G159" s="12">
        <v>111</v>
      </c>
      <c r="H159" s="12">
        <v>113</v>
      </c>
      <c r="I159" s="13">
        <f t="shared" ref="I159:I190" si="17">AVERAGE(F159:H159)/D159</f>
        <v>445.33333333333331</v>
      </c>
      <c r="J159" s="13">
        <f t="shared" si="14"/>
        <v>356266.66666666663</v>
      </c>
      <c r="L159" s="144">
        <v>100000</v>
      </c>
      <c r="M159" s="145">
        <f t="shared" si="15"/>
        <v>224.55089820359282</v>
      </c>
      <c r="N159" s="12">
        <v>250</v>
      </c>
      <c r="O159" s="13">
        <f t="shared" si="9"/>
        <v>111333.33333333333</v>
      </c>
      <c r="P159" s="12" t="s">
        <v>226</v>
      </c>
      <c r="Q159" s="13">
        <f t="shared" si="16"/>
        <v>244933.33333333331</v>
      </c>
    </row>
    <row r="160" spans="1:20">
      <c r="A160" s="37">
        <v>42903</v>
      </c>
      <c r="B160" s="12" t="s">
        <v>23</v>
      </c>
      <c r="C160" s="12">
        <v>1</v>
      </c>
      <c r="D160" s="40">
        <v>0.5</v>
      </c>
      <c r="E160" s="12">
        <v>250</v>
      </c>
      <c r="F160" s="12">
        <v>4</v>
      </c>
      <c r="G160" s="12">
        <v>3</v>
      </c>
      <c r="H160" s="12">
        <v>0</v>
      </c>
      <c r="I160" s="13">
        <f t="shared" si="17"/>
        <v>4.666666666666667</v>
      </c>
      <c r="J160" s="13">
        <f t="shared" si="14"/>
        <v>1166.6666666666667</v>
      </c>
      <c r="M160" s="145">
        <f t="shared" si="15"/>
        <v>0</v>
      </c>
      <c r="N160" s="12">
        <v>250</v>
      </c>
      <c r="O160" s="13">
        <f t="shared" si="9"/>
        <v>1166.6666666666667</v>
      </c>
      <c r="Q160" s="13">
        <f t="shared" si="16"/>
        <v>0</v>
      </c>
    </row>
    <row r="161" spans="1:17">
      <c r="A161" s="37">
        <v>42903</v>
      </c>
      <c r="B161" s="12" t="s">
        <v>31</v>
      </c>
      <c r="C161" s="12">
        <v>1</v>
      </c>
      <c r="D161" s="40">
        <v>0.5</v>
      </c>
      <c r="E161" s="12">
        <v>250</v>
      </c>
      <c r="F161" s="12">
        <v>1</v>
      </c>
      <c r="G161" s="12">
        <v>1</v>
      </c>
      <c r="H161" s="12">
        <v>2</v>
      </c>
      <c r="I161" s="13">
        <f t="shared" si="17"/>
        <v>2.6666666666666665</v>
      </c>
      <c r="J161" s="13">
        <f t="shared" si="14"/>
        <v>666.66666666666663</v>
      </c>
      <c r="M161" s="145">
        <f t="shared" si="15"/>
        <v>0</v>
      </c>
      <c r="N161" s="12">
        <v>250</v>
      </c>
      <c r="O161" s="13">
        <f t="shared" ref="O161:O224" si="18">N161*I161</f>
        <v>666.66666666666663</v>
      </c>
      <c r="Q161" s="13">
        <f t="shared" si="16"/>
        <v>0</v>
      </c>
    </row>
    <row r="162" spans="1:17">
      <c r="A162" s="37">
        <v>42903</v>
      </c>
      <c r="B162" s="12" t="s">
        <v>34</v>
      </c>
      <c r="C162" s="12">
        <v>1</v>
      </c>
      <c r="D162" s="40">
        <v>0.5</v>
      </c>
      <c r="E162" s="12">
        <v>350</v>
      </c>
      <c r="F162" s="12">
        <v>3</v>
      </c>
      <c r="G162" s="12">
        <v>2</v>
      </c>
      <c r="H162" s="12">
        <v>3</v>
      </c>
      <c r="I162" s="13">
        <f t="shared" si="17"/>
        <v>5.333333333333333</v>
      </c>
      <c r="J162" s="13">
        <f t="shared" si="14"/>
        <v>1866.6666666666665</v>
      </c>
      <c r="M162" s="145">
        <f t="shared" si="15"/>
        <v>0</v>
      </c>
      <c r="N162" s="12">
        <v>350</v>
      </c>
      <c r="O162" s="13">
        <f t="shared" si="18"/>
        <v>1866.6666666666665</v>
      </c>
      <c r="Q162" s="13">
        <f t="shared" si="16"/>
        <v>0</v>
      </c>
    </row>
    <row r="163" spans="1:17">
      <c r="A163" s="37">
        <v>42903</v>
      </c>
      <c r="B163" s="12" t="s">
        <v>48</v>
      </c>
      <c r="C163" s="12">
        <v>1</v>
      </c>
      <c r="D163" s="40">
        <v>0.5</v>
      </c>
      <c r="E163" s="12">
        <v>250</v>
      </c>
      <c r="F163" s="12">
        <v>4</v>
      </c>
      <c r="G163" s="12">
        <v>5</v>
      </c>
      <c r="H163" s="12">
        <v>2</v>
      </c>
      <c r="I163" s="13">
        <f t="shared" si="17"/>
        <v>7.333333333333333</v>
      </c>
      <c r="J163" s="13">
        <f t="shared" si="14"/>
        <v>1833.3333333333333</v>
      </c>
      <c r="M163" s="145">
        <f t="shared" si="15"/>
        <v>0</v>
      </c>
      <c r="N163" s="12">
        <v>250</v>
      </c>
      <c r="O163" s="13">
        <f t="shared" si="18"/>
        <v>1833.3333333333333</v>
      </c>
      <c r="Q163" s="13">
        <f t="shared" si="16"/>
        <v>0</v>
      </c>
    </row>
    <row r="164" spans="1:17">
      <c r="A164" s="37">
        <v>42903</v>
      </c>
      <c r="B164" s="12" t="s">
        <v>36</v>
      </c>
      <c r="C164" s="12">
        <v>1</v>
      </c>
      <c r="D164" s="40">
        <v>0.5</v>
      </c>
      <c r="E164" s="12">
        <v>800</v>
      </c>
      <c r="F164" s="12">
        <v>83</v>
      </c>
      <c r="G164" s="12">
        <v>68</v>
      </c>
      <c r="H164" s="12">
        <v>45</v>
      </c>
      <c r="I164" s="13">
        <f t="shared" si="17"/>
        <v>130.66666666666666</v>
      </c>
      <c r="J164" s="13">
        <f t="shared" si="14"/>
        <v>104533.33333333333</v>
      </c>
      <c r="L164" s="144">
        <v>50000</v>
      </c>
      <c r="M164" s="145">
        <f t="shared" si="15"/>
        <v>382.65306122448982</v>
      </c>
      <c r="N164" s="12">
        <v>500</v>
      </c>
      <c r="O164" s="13">
        <f t="shared" si="18"/>
        <v>65333.333333333328</v>
      </c>
      <c r="P164" s="12" t="s">
        <v>225</v>
      </c>
      <c r="Q164" s="13">
        <f t="shared" si="16"/>
        <v>39200</v>
      </c>
    </row>
    <row r="165" spans="1:17">
      <c r="A165" s="37">
        <v>42903</v>
      </c>
      <c r="B165" s="12" t="s">
        <v>17</v>
      </c>
      <c r="C165" s="12">
        <v>2</v>
      </c>
      <c r="D165" s="40">
        <v>0.5</v>
      </c>
      <c r="E165" s="12">
        <v>300</v>
      </c>
      <c r="F165" s="12">
        <v>23</v>
      </c>
      <c r="G165" s="12">
        <v>22</v>
      </c>
      <c r="H165" s="12">
        <v>19</v>
      </c>
      <c r="I165" s="13">
        <f t="shared" si="17"/>
        <v>42.666666666666664</v>
      </c>
      <c r="J165" s="13">
        <f t="shared" si="14"/>
        <v>12800</v>
      </c>
      <c r="M165" s="145">
        <f t="shared" si="15"/>
        <v>0</v>
      </c>
      <c r="N165" s="12">
        <v>300</v>
      </c>
      <c r="O165" s="13">
        <f t="shared" si="18"/>
        <v>12800</v>
      </c>
      <c r="Q165" s="13">
        <f t="shared" si="16"/>
        <v>0</v>
      </c>
    </row>
    <row r="166" spans="1:17">
      <c r="A166" s="37">
        <v>42903</v>
      </c>
      <c r="B166" s="12" t="s">
        <v>51</v>
      </c>
      <c r="C166" s="12">
        <v>1</v>
      </c>
      <c r="D166" s="40">
        <v>0.25</v>
      </c>
      <c r="E166" s="12">
        <v>800</v>
      </c>
      <c r="F166" s="12">
        <v>61</v>
      </c>
      <c r="G166" s="12">
        <v>41</v>
      </c>
      <c r="H166" s="12">
        <v>43</v>
      </c>
      <c r="I166" s="13">
        <f t="shared" si="17"/>
        <v>193.33333333333334</v>
      </c>
      <c r="J166" s="13">
        <f t="shared" si="14"/>
        <v>154666.66666666669</v>
      </c>
      <c r="L166" s="144">
        <v>50000</v>
      </c>
      <c r="M166" s="145">
        <f t="shared" si="15"/>
        <v>258.62068965517238</v>
      </c>
      <c r="N166" s="12">
        <v>300</v>
      </c>
      <c r="O166" s="13">
        <f t="shared" si="18"/>
        <v>58000</v>
      </c>
      <c r="P166" s="12" t="s">
        <v>224</v>
      </c>
      <c r="Q166" s="13">
        <f t="shared" si="16"/>
        <v>96666.666666666686</v>
      </c>
    </row>
    <row r="167" spans="1:17">
      <c r="A167" s="37">
        <v>42905</v>
      </c>
      <c r="B167" s="12" t="s">
        <v>88</v>
      </c>
      <c r="C167" s="12">
        <v>9</v>
      </c>
      <c r="D167" s="40">
        <v>0.5</v>
      </c>
      <c r="E167" s="12">
        <v>500</v>
      </c>
      <c r="F167" s="12">
        <v>68</v>
      </c>
      <c r="G167" s="12">
        <v>73</v>
      </c>
      <c r="H167" s="12">
        <v>62</v>
      </c>
      <c r="I167" s="13">
        <f t="shared" si="17"/>
        <v>135.33333333333334</v>
      </c>
      <c r="J167" s="13">
        <f t="shared" si="14"/>
        <v>67666.666666666672</v>
      </c>
      <c r="L167" s="144">
        <v>50000</v>
      </c>
      <c r="M167" s="145">
        <f t="shared" si="15"/>
        <v>369.45812807881771</v>
      </c>
      <c r="N167" s="12">
        <v>395</v>
      </c>
      <c r="O167" s="13">
        <f t="shared" si="18"/>
        <v>53456.666666666672</v>
      </c>
      <c r="P167" s="12" t="s">
        <v>241</v>
      </c>
      <c r="Q167" s="13">
        <f t="shared" si="16"/>
        <v>14210</v>
      </c>
    </row>
    <row r="168" spans="1:17">
      <c r="A168" s="37">
        <v>42905</v>
      </c>
      <c r="B168" s="12" t="s">
        <v>21</v>
      </c>
      <c r="C168" s="12">
        <v>9</v>
      </c>
      <c r="D168" s="40">
        <v>0.5</v>
      </c>
      <c r="E168" s="12">
        <v>825</v>
      </c>
      <c r="F168" s="12">
        <v>81</v>
      </c>
      <c r="G168" s="12">
        <v>105</v>
      </c>
      <c r="H168" s="12">
        <v>114</v>
      </c>
      <c r="I168" s="13">
        <f t="shared" si="17"/>
        <v>200</v>
      </c>
      <c r="J168" s="13">
        <f t="shared" si="14"/>
        <v>165000</v>
      </c>
      <c r="L168" s="144">
        <v>50000</v>
      </c>
      <c r="M168" s="145">
        <f t="shared" si="15"/>
        <v>250</v>
      </c>
      <c r="N168" s="12">
        <v>250</v>
      </c>
      <c r="O168" s="13">
        <f t="shared" si="18"/>
        <v>50000</v>
      </c>
      <c r="P168" s="12" t="s">
        <v>240</v>
      </c>
      <c r="Q168" s="13">
        <f t="shared" si="16"/>
        <v>115000</v>
      </c>
    </row>
    <row r="169" spans="1:17">
      <c r="A169" s="37">
        <v>42905</v>
      </c>
      <c r="B169" s="12" t="s">
        <v>121</v>
      </c>
      <c r="C169" s="12">
        <v>9</v>
      </c>
      <c r="D169" s="40">
        <v>0.5</v>
      </c>
      <c r="E169" s="12">
        <v>500</v>
      </c>
      <c r="F169" s="12">
        <v>129</v>
      </c>
      <c r="G169" s="12">
        <v>142</v>
      </c>
      <c r="H169" s="12">
        <v>155</v>
      </c>
      <c r="I169" s="13">
        <f t="shared" si="17"/>
        <v>284</v>
      </c>
      <c r="J169" s="13">
        <f t="shared" si="14"/>
        <v>142000</v>
      </c>
      <c r="L169" s="144">
        <v>50000</v>
      </c>
      <c r="M169" s="145">
        <f t="shared" si="15"/>
        <v>176.05633802816902</v>
      </c>
      <c r="N169" s="12">
        <v>210</v>
      </c>
      <c r="O169" s="13">
        <f t="shared" si="18"/>
        <v>59640</v>
      </c>
      <c r="P169" s="12" t="s">
        <v>242</v>
      </c>
      <c r="Q169" s="13">
        <f t="shared" si="16"/>
        <v>82360</v>
      </c>
    </row>
    <row r="170" spans="1:17">
      <c r="A170" s="37">
        <v>42905</v>
      </c>
      <c r="B170" s="12" t="s">
        <v>25</v>
      </c>
      <c r="C170" s="12">
        <v>9</v>
      </c>
      <c r="D170" s="40">
        <v>0.5</v>
      </c>
      <c r="E170" s="12">
        <v>800</v>
      </c>
      <c r="F170" s="12">
        <v>100</v>
      </c>
      <c r="G170" s="12">
        <v>96</v>
      </c>
      <c r="H170" s="12">
        <v>110</v>
      </c>
      <c r="I170" s="13">
        <f t="shared" si="17"/>
        <v>204</v>
      </c>
      <c r="J170" s="13">
        <f t="shared" si="14"/>
        <v>163200</v>
      </c>
      <c r="L170" s="144">
        <v>50000</v>
      </c>
      <c r="M170" s="145">
        <f t="shared" si="15"/>
        <v>245.09803921568627</v>
      </c>
      <c r="N170" s="12">
        <v>275</v>
      </c>
      <c r="O170" s="13">
        <f t="shared" si="18"/>
        <v>56100</v>
      </c>
      <c r="P170" s="12" t="s">
        <v>243</v>
      </c>
      <c r="Q170" s="13">
        <f t="shared" si="16"/>
        <v>107100</v>
      </c>
    </row>
    <row r="171" spans="1:17">
      <c r="A171" s="37">
        <v>42905</v>
      </c>
      <c r="B171" s="12" t="s">
        <v>38</v>
      </c>
      <c r="C171" s="12">
        <v>9</v>
      </c>
      <c r="D171" s="40">
        <v>0.5</v>
      </c>
      <c r="E171" s="12">
        <v>495</v>
      </c>
      <c r="F171" s="12">
        <v>52</v>
      </c>
      <c r="G171" s="12">
        <v>54</v>
      </c>
      <c r="H171" s="12">
        <v>49</v>
      </c>
      <c r="I171" s="13">
        <f t="shared" si="17"/>
        <v>103.33333333333333</v>
      </c>
      <c r="J171" s="13">
        <f t="shared" si="14"/>
        <v>51150</v>
      </c>
      <c r="L171" s="144">
        <v>50000</v>
      </c>
      <c r="M171" s="145">
        <f t="shared" si="15"/>
        <v>483.87096774193549</v>
      </c>
      <c r="N171" s="12">
        <v>495</v>
      </c>
      <c r="O171" s="13">
        <f t="shared" si="18"/>
        <v>51150</v>
      </c>
      <c r="Q171" s="13">
        <v>0</v>
      </c>
    </row>
    <row r="172" spans="1:17">
      <c r="A172" s="37">
        <v>42905</v>
      </c>
      <c r="B172" s="12" t="s">
        <v>20</v>
      </c>
      <c r="C172" s="12">
        <v>9</v>
      </c>
      <c r="D172" s="40">
        <v>0.5</v>
      </c>
      <c r="E172" s="12">
        <v>500</v>
      </c>
      <c r="F172" s="12">
        <v>11</v>
      </c>
      <c r="G172" s="12">
        <v>11</v>
      </c>
      <c r="H172" s="12">
        <v>17</v>
      </c>
      <c r="I172" s="13">
        <f t="shared" si="17"/>
        <v>26</v>
      </c>
      <c r="J172" s="13">
        <f t="shared" si="14"/>
        <v>13000</v>
      </c>
      <c r="M172" s="145">
        <f t="shared" si="15"/>
        <v>0</v>
      </c>
      <c r="N172" s="12">
        <v>500</v>
      </c>
      <c r="O172" s="13">
        <f t="shared" si="18"/>
        <v>13000</v>
      </c>
      <c r="Q172" s="13">
        <f t="shared" ref="Q172:Q187" si="19">J172-O172</f>
        <v>0</v>
      </c>
    </row>
    <row r="173" spans="1:17">
      <c r="A173" s="37">
        <v>42905</v>
      </c>
      <c r="B173" s="12" t="s">
        <v>97</v>
      </c>
      <c r="C173" s="12">
        <v>9</v>
      </c>
      <c r="D173" s="40">
        <v>1.5</v>
      </c>
      <c r="E173" s="12">
        <v>300</v>
      </c>
      <c r="F173" s="12">
        <v>0</v>
      </c>
      <c r="G173" s="12">
        <v>0</v>
      </c>
      <c r="H173" s="12">
        <v>0</v>
      </c>
      <c r="I173" s="13">
        <f t="shared" si="17"/>
        <v>0</v>
      </c>
      <c r="J173" s="13">
        <f t="shared" si="14"/>
        <v>0</v>
      </c>
      <c r="M173" s="145" t="e">
        <f t="shared" si="15"/>
        <v>#DIV/0!</v>
      </c>
      <c r="O173" s="13">
        <f t="shared" si="18"/>
        <v>0</v>
      </c>
      <c r="Q173" s="13">
        <f t="shared" si="19"/>
        <v>0</v>
      </c>
    </row>
    <row r="174" spans="1:17">
      <c r="A174" s="37">
        <v>42905</v>
      </c>
      <c r="B174" s="12" t="s">
        <v>36</v>
      </c>
      <c r="C174" s="12">
        <v>9</v>
      </c>
      <c r="D174" s="40">
        <v>0.5</v>
      </c>
      <c r="E174" s="12">
        <v>510</v>
      </c>
      <c r="F174" s="12">
        <v>22</v>
      </c>
      <c r="G174" s="12">
        <v>35</v>
      </c>
      <c r="H174" s="12">
        <v>31</v>
      </c>
      <c r="I174" s="13">
        <f t="shared" si="17"/>
        <v>58.666666666666664</v>
      </c>
      <c r="J174" s="13">
        <f t="shared" si="14"/>
        <v>29920</v>
      </c>
      <c r="M174" s="145">
        <f t="shared" ref="M174:M205" si="20">L174/I174</f>
        <v>0</v>
      </c>
      <c r="N174" s="12">
        <v>510</v>
      </c>
      <c r="O174" s="13">
        <f t="shared" si="18"/>
        <v>29920</v>
      </c>
      <c r="Q174" s="13">
        <f t="shared" si="19"/>
        <v>0</v>
      </c>
    </row>
    <row r="175" spans="1:17">
      <c r="A175" s="37">
        <v>42905</v>
      </c>
      <c r="B175" s="12" t="s">
        <v>109</v>
      </c>
      <c r="C175" s="12">
        <v>10</v>
      </c>
      <c r="D175" s="40">
        <v>2</v>
      </c>
      <c r="E175" s="12">
        <v>250</v>
      </c>
      <c r="F175" s="12">
        <v>1</v>
      </c>
      <c r="G175" s="12">
        <v>2</v>
      </c>
      <c r="H175" s="12">
        <v>0</v>
      </c>
      <c r="I175" s="13">
        <f t="shared" si="17"/>
        <v>0.5</v>
      </c>
      <c r="J175" s="13">
        <f t="shared" si="14"/>
        <v>125</v>
      </c>
      <c r="M175" s="145">
        <f t="shared" si="20"/>
        <v>0</v>
      </c>
      <c r="N175" s="12">
        <v>250</v>
      </c>
      <c r="O175" s="13">
        <f t="shared" si="18"/>
        <v>125</v>
      </c>
      <c r="Q175" s="13">
        <f t="shared" si="19"/>
        <v>0</v>
      </c>
    </row>
    <row r="176" spans="1:17">
      <c r="A176" s="37">
        <v>42906</v>
      </c>
      <c r="B176" s="12" t="s">
        <v>38</v>
      </c>
      <c r="D176" s="40">
        <v>0.5</v>
      </c>
      <c r="E176" s="12">
        <v>500</v>
      </c>
      <c r="F176" s="12">
        <v>72</v>
      </c>
      <c r="G176" s="12">
        <v>58</v>
      </c>
      <c r="H176" s="12">
        <v>67</v>
      </c>
      <c r="I176" s="13">
        <f t="shared" si="17"/>
        <v>131.33333333333334</v>
      </c>
      <c r="J176" s="13">
        <f t="shared" si="14"/>
        <v>65666.666666666672</v>
      </c>
      <c r="L176" s="144">
        <v>50000</v>
      </c>
      <c r="M176" s="145">
        <f t="shared" si="20"/>
        <v>380.7106598984771</v>
      </c>
      <c r="N176" s="12">
        <v>400</v>
      </c>
      <c r="O176" s="13">
        <f t="shared" si="18"/>
        <v>52533.333333333336</v>
      </c>
      <c r="P176" s="12" t="s">
        <v>248</v>
      </c>
      <c r="Q176" s="13">
        <f t="shared" si="19"/>
        <v>13133.333333333336</v>
      </c>
    </row>
    <row r="177" spans="1:17">
      <c r="A177" s="37">
        <v>42908</v>
      </c>
      <c r="B177" s="12" t="s">
        <v>50</v>
      </c>
      <c r="D177" s="40">
        <v>3</v>
      </c>
      <c r="E177" s="12">
        <v>300</v>
      </c>
      <c r="F177" s="12">
        <v>0</v>
      </c>
      <c r="G177" s="12">
        <v>1</v>
      </c>
      <c r="H177" s="12">
        <v>0</v>
      </c>
      <c r="I177" s="13">
        <f t="shared" si="17"/>
        <v>0.1111111111111111</v>
      </c>
      <c r="J177" s="13">
        <f t="shared" si="14"/>
        <v>33.333333333333329</v>
      </c>
      <c r="M177" s="145">
        <f t="shared" si="20"/>
        <v>0</v>
      </c>
      <c r="N177" s="12">
        <v>300</v>
      </c>
      <c r="O177" s="13">
        <f t="shared" si="18"/>
        <v>33.333333333333329</v>
      </c>
      <c r="Q177" s="13">
        <f t="shared" si="19"/>
        <v>0</v>
      </c>
    </row>
    <row r="178" spans="1:17">
      <c r="A178" s="37">
        <v>42908</v>
      </c>
      <c r="B178" s="12" t="s">
        <v>121</v>
      </c>
      <c r="D178" s="40">
        <v>3</v>
      </c>
      <c r="E178" s="12">
        <v>250</v>
      </c>
      <c r="F178" s="12">
        <v>10</v>
      </c>
      <c r="G178" s="12">
        <v>12</v>
      </c>
      <c r="H178" s="12">
        <v>10</v>
      </c>
      <c r="I178" s="13">
        <f t="shared" si="17"/>
        <v>3.5555555555555554</v>
      </c>
      <c r="J178" s="13">
        <f t="shared" si="14"/>
        <v>888.8888888888888</v>
      </c>
      <c r="M178" s="145">
        <f t="shared" si="20"/>
        <v>0</v>
      </c>
      <c r="N178" s="12">
        <v>250</v>
      </c>
      <c r="O178" s="13">
        <f t="shared" si="18"/>
        <v>888.8888888888888</v>
      </c>
      <c r="Q178" s="13">
        <f t="shared" si="19"/>
        <v>0</v>
      </c>
    </row>
    <row r="179" spans="1:17">
      <c r="A179" s="37">
        <v>42908</v>
      </c>
      <c r="B179" s="12" t="s">
        <v>34</v>
      </c>
      <c r="D179" s="40">
        <v>3</v>
      </c>
      <c r="E179" s="12">
        <v>300</v>
      </c>
      <c r="F179" s="12">
        <v>12</v>
      </c>
      <c r="G179" s="12">
        <v>7</v>
      </c>
      <c r="H179" s="12">
        <v>7</v>
      </c>
      <c r="I179" s="13">
        <f t="shared" si="17"/>
        <v>2.8888888888888888</v>
      </c>
      <c r="J179" s="13">
        <f t="shared" si="14"/>
        <v>866.66666666666663</v>
      </c>
      <c r="M179" s="145">
        <f t="shared" si="20"/>
        <v>0</v>
      </c>
      <c r="N179" s="12">
        <v>300</v>
      </c>
      <c r="O179" s="13">
        <f t="shared" si="18"/>
        <v>866.66666666666663</v>
      </c>
      <c r="Q179" s="13">
        <f t="shared" si="19"/>
        <v>0</v>
      </c>
    </row>
    <row r="180" spans="1:17">
      <c r="A180" s="37">
        <v>42908</v>
      </c>
      <c r="B180" s="12" t="s">
        <v>21</v>
      </c>
      <c r="D180" s="40">
        <v>3</v>
      </c>
      <c r="E180" s="12">
        <v>280</v>
      </c>
      <c r="F180" s="12">
        <v>13</v>
      </c>
      <c r="G180" s="12">
        <v>7</v>
      </c>
      <c r="H180" s="12">
        <v>12</v>
      </c>
      <c r="I180" s="13">
        <f t="shared" si="17"/>
        <v>3.5555555555555554</v>
      </c>
      <c r="J180" s="13">
        <f t="shared" si="14"/>
        <v>995.55555555555554</v>
      </c>
      <c r="M180" s="145">
        <f t="shared" si="20"/>
        <v>0</v>
      </c>
      <c r="N180" s="12">
        <v>280</v>
      </c>
      <c r="O180" s="13">
        <f t="shared" si="18"/>
        <v>995.55555555555554</v>
      </c>
      <c r="Q180" s="13">
        <f t="shared" si="19"/>
        <v>0</v>
      </c>
    </row>
    <row r="181" spans="1:17">
      <c r="A181" s="37">
        <v>42908</v>
      </c>
      <c r="B181" s="12" t="s">
        <v>38</v>
      </c>
      <c r="D181" s="40">
        <v>3</v>
      </c>
      <c r="E181" s="12">
        <v>290</v>
      </c>
      <c r="F181" s="12">
        <v>2</v>
      </c>
      <c r="G181" s="12">
        <v>2</v>
      </c>
      <c r="H181" s="12">
        <v>2</v>
      </c>
      <c r="I181" s="13">
        <f t="shared" si="17"/>
        <v>0.66666666666666663</v>
      </c>
      <c r="J181" s="13">
        <f t="shared" si="14"/>
        <v>193.33333333333331</v>
      </c>
      <c r="M181" s="145">
        <f t="shared" si="20"/>
        <v>0</v>
      </c>
      <c r="N181" s="12">
        <v>290</v>
      </c>
      <c r="O181" s="13">
        <f t="shared" si="18"/>
        <v>193.33333333333331</v>
      </c>
      <c r="Q181" s="13">
        <f t="shared" si="19"/>
        <v>0</v>
      </c>
    </row>
    <row r="182" spans="1:17">
      <c r="A182" s="37">
        <v>42908</v>
      </c>
      <c r="B182" s="12" t="s">
        <v>88</v>
      </c>
      <c r="D182" s="40">
        <v>3</v>
      </c>
      <c r="E182" s="12">
        <v>320</v>
      </c>
      <c r="F182" s="12">
        <v>18</v>
      </c>
      <c r="G182" s="12">
        <v>11</v>
      </c>
      <c r="H182" s="12">
        <v>15</v>
      </c>
      <c r="I182" s="13">
        <f t="shared" si="17"/>
        <v>4.8888888888888884</v>
      </c>
      <c r="J182" s="13">
        <f t="shared" si="14"/>
        <v>1564.4444444444443</v>
      </c>
      <c r="M182" s="145">
        <f t="shared" si="20"/>
        <v>0</v>
      </c>
      <c r="N182" s="12">
        <v>320</v>
      </c>
      <c r="O182" s="13">
        <f t="shared" si="18"/>
        <v>1564.4444444444443</v>
      </c>
      <c r="Q182" s="13">
        <f t="shared" si="19"/>
        <v>0</v>
      </c>
    </row>
    <row r="183" spans="1:17">
      <c r="A183" s="37">
        <v>42910</v>
      </c>
      <c r="B183" s="12" t="s">
        <v>24</v>
      </c>
      <c r="D183" s="40">
        <v>0.5</v>
      </c>
      <c r="E183" s="12">
        <v>800</v>
      </c>
      <c r="F183" s="12">
        <v>59</v>
      </c>
      <c r="G183" s="12">
        <v>59</v>
      </c>
      <c r="H183" s="12">
        <v>61</v>
      </c>
      <c r="I183" s="13">
        <f t="shared" si="17"/>
        <v>119.33333333333333</v>
      </c>
      <c r="J183" s="13">
        <f t="shared" si="14"/>
        <v>95466.666666666657</v>
      </c>
      <c r="M183" s="145">
        <f t="shared" si="20"/>
        <v>0</v>
      </c>
      <c r="N183" s="12">
        <v>650</v>
      </c>
      <c r="O183" s="13">
        <f t="shared" si="18"/>
        <v>77566.666666666657</v>
      </c>
      <c r="P183" s="12" t="s">
        <v>255</v>
      </c>
      <c r="Q183" s="13">
        <f t="shared" si="19"/>
        <v>17900</v>
      </c>
    </row>
    <row r="184" spans="1:17">
      <c r="A184" s="37">
        <v>42910</v>
      </c>
      <c r="B184" s="12" t="s">
        <v>109</v>
      </c>
      <c r="D184" s="40">
        <v>0.5</v>
      </c>
      <c r="E184" s="12">
        <v>500</v>
      </c>
      <c r="F184" s="12">
        <v>11</v>
      </c>
      <c r="G184" s="12">
        <v>13</v>
      </c>
      <c r="H184" s="12">
        <v>6</v>
      </c>
      <c r="I184" s="13">
        <f t="shared" si="17"/>
        <v>20</v>
      </c>
      <c r="J184" s="13">
        <f t="shared" si="14"/>
        <v>10000</v>
      </c>
      <c r="M184" s="145">
        <f t="shared" si="20"/>
        <v>0</v>
      </c>
      <c r="N184" s="12">
        <v>500</v>
      </c>
      <c r="O184" s="13">
        <f t="shared" si="18"/>
        <v>10000</v>
      </c>
      <c r="Q184" s="13">
        <f t="shared" si="19"/>
        <v>0</v>
      </c>
    </row>
    <row r="185" spans="1:17">
      <c r="A185" s="37">
        <v>42915</v>
      </c>
      <c r="B185" s="12" t="s">
        <v>88</v>
      </c>
      <c r="D185" s="40">
        <v>0.5</v>
      </c>
      <c r="E185" s="12">
        <v>800</v>
      </c>
      <c r="F185" s="12">
        <v>123</v>
      </c>
      <c r="G185" s="12">
        <v>134</v>
      </c>
      <c r="H185" s="12">
        <v>112</v>
      </c>
      <c r="I185" s="13">
        <f t="shared" si="17"/>
        <v>246</v>
      </c>
      <c r="J185" s="13">
        <f t="shared" si="14"/>
        <v>196800</v>
      </c>
      <c r="L185" s="144">
        <v>50000</v>
      </c>
      <c r="M185" s="145">
        <f t="shared" si="20"/>
        <v>203.2520325203252</v>
      </c>
      <c r="N185" s="12">
        <v>300</v>
      </c>
      <c r="O185" s="13">
        <f t="shared" si="18"/>
        <v>73800</v>
      </c>
      <c r="P185" s="12" t="s">
        <v>265</v>
      </c>
      <c r="Q185" s="13">
        <f t="shared" si="19"/>
        <v>123000</v>
      </c>
    </row>
    <row r="186" spans="1:17">
      <c r="A186" s="37">
        <v>42917</v>
      </c>
      <c r="B186" s="12" t="s">
        <v>88</v>
      </c>
      <c r="D186" s="40">
        <v>2</v>
      </c>
      <c r="E186" s="12">
        <v>220</v>
      </c>
      <c r="F186" s="12">
        <v>16</v>
      </c>
      <c r="G186" s="12">
        <v>11</v>
      </c>
      <c r="H186" s="12">
        <v>18</v>
      </c>
      <c r="I186" s="13">
        <f t="shared" si="17"/>
        <v>7.5</v>
      </c>
      <c r="J186" s="13">
        <f t="shared" si="14"/>
        <v>1650</v>
      </c>
      <c r="M186" s="145">
        <f t="shared" si="20"/>
        <v>0</v>
      </c>
      <c r="N186" s="12">
        <v>220</v>
      </c>
      <c r="O186" s="13">
        <f t="shared" si="18"/>
        <v>1650</v>
      </c>
      <c r="Q186" s="13">
        <f t="shared" si="19"/>
        <v>0</v>
      </c>
    </row>
    <row r="187" spans="1:17">
      <c r="A187" s="37">
        <v>42919</v>
      </c>
      <c r="B187" s="12" t="s">
        <v>49</v>
      </c>
      <c r="D187" s="40">
        <v>2</v>
      </c>
      <c r="E187" s="12">
        <v>475</v>
      </c>
      <c r="F187" s="12">
        <v>178</v>
      </c>
      <c r="G187" s="12">
        <v>165</v>
      </c>
      <c r="H187" s="12">
        <v>187</v>
      </c>
      <c r="I187" s="13">
        <f t="shared" si="17"/>
        <v>88.333333333333329</v>
      </c>
      <c r="J187" s="13">
        <f t="shared" si="14"/>
        <v>41958.333333333328</v>
      </c>
      <c r="M187" s="145">
        <f t="shared" si="20"/>
        <v>0</v>
      </c>
      <c r="N187" s="12">
        <v>475</v>
      </c>
      <c r="O187" s="13">
        <f t="shared" si="18"/>
        <v>41958.333333333328</v>
      </c>
      <c r="Q187" s="13">
        <f t="shared" si="19"/>
        <v>0</v>
      </c>
    </row>
    <row r="188" spans="1:17">
      <c r="A188" s="37">
        <v>42921</v>
      </c>
      <c r="B188" s="12" t="s">
        <v>23</v>
      </c>
      <c r="D188" s="40">
        <v>3</v>
      </c>
      <c r="E188" s="12">
        <v>250</v>
      </c>
      <c r="F188" s="12">
        <v>6</v>
      </c>
      <c r="G188" s="12">
        <v>5</v>
      </c>
      <c r="H188" s="12">
        <v>4</v>
      </c>
      <c r="I188" s="13">
        <f t="shared" si="17"/>
        <v>1.6666666666666667</v>
      </c>
      <c r="J188" s="13">
        <f t="shared" si="14"/>
        <v>416.66666666666669</v>
      </c>
      <c r="M188" s="145">
        <f t="shared" si="20"/>
        <v>0</v>
      </c>
      <c r="N188" s="12">
        <v>0</v>
      </c>
      <c r="O188" s="13">
        <f t="shared" si="18"/>
        <v>0</v>
      </c>
    </row>
    <row r="189" spans="1:17">
      <c r="A189" s="37">
        <v>42922</v>
      </c>
      <c r="B189" s="12" t="s">
        <v>23</v>
      </c>
      <c r="D189" s="40">
        <v>0.5</v>
      </c>
      <c r="E189" s="12">
        <v>800</v>
      </c>
      <c r="F189" s="12">
        <v>163</v>
      </c>
      <c r="G189" s="12">
        <v>174</v>
      </c>
      <c r="H189" s="12">
        <v>163</v>
      </c>
      <c r="I189" s="13">
        <f t="shared" si="17"/>
        <v>333.33333333333331</v>
      </c>
      <c r="J189" s="13">
        <f t="shared" si="14"/>
        <v>266666.66666666663</v>
      </c>
      <c r="M189" s="145">
        <f t="shared" si="20"/>
        <v>0</v>
      </c>
      <c r="N189" s="12">
        <v>600</v>
      </c>
      <c r="O189" s="13">
        <f t="shared" si="18"/>
        <v>200000</v>
      </c>
      <c r="P189" s="12" t="s">
        <v>267</v>
      </c>
      <c r="Q189" s="13">
        <f>J189-O189</f>
        <v>66666.666666666628</v>
      </c>
    </row>
    <row r="190" spans="1:17">
      <c r="A190" s="37">
        <v>42922</v>
      </c>
      <c r="B190" s="12" t="s">
        <v>119</v>
      </c>
      <c r="D190" s="40">
        <v>3</v>
      </c>
      <c r="E190" s="12">
        <v>300</v>
      </c>
      <c r="F190" s="12">
        <v>2</v>
      </c>
      <c r="G190" s="12">
        <v>0</v>
      </c>
      <c r="H190" s="12">
        <v>0</v>
      </c>
      <c r="I190" s="13">
        <f t="shared" si="17"/>
        <v>0.22222222222222221</v>
      </c>
      <c r="J190" s="13">
        <f t="shared" si="14"/>
        <v>66.666666666666657</v>
      </c>
      <c r="M190" s="145">
        <f t="shared" si="20"/>
        <v>0</v>
      </c>
      <c r="N190" s="12">
        <v>0</v>
      </c>
      <c r="O190" s="13">
        <f t="shared" si="18"/>
        <v>0</v>
      </c>
      <c r="Q190" s="13">
        <v>0</v>
      </c>
    </row>
    <row r="191" spans="1:17">
      <c r="A191" s="37">
        <v>42926</v>
      </c>
      <c r="B191" s="12" t="s">
        <v>97</v>
      </c>
      <c r="D191" s="40">
        <v>0.25</v>
      </c>
      <c r="E191" s="12">
        <v>800</v>
      </c>
      <c r="F191" s="12">
        <v>109</v>
      </c>
      <c r="G191" s="12">
        <v>93</v>
      </c>
      <c r="H191" s="12">
        <v>82</v>
      </c>
      <c r="I191" s="13">
        <f t="shared" ref="I191:I222" si="21">AVERAGE(F191:H191)/D191</f>
        <v>378.66666666666669</v>
      </c>
      <c r="J191" s="13">
        <f t="shared" si="14"/>
        <v>302933.33333333337</v>
      </c>
      <c r="M191" s="145">
        <f t="shared" si="20"/>
        <v>0</v>
      </c>
      <c r="N191" s="12">
        <v>0</v>
      </c>
      <c r="O191" s="13">
        <f t="shared" si="18"/>
        <v>0</v>
      </c>
      <c r="Q191" s="13">
        <f t="shared" ref="Q191:Q222" si="22">J191-O191</f>
        <v>302933.33333333337</v>
      </c>
    </row>
    <row r="192" spans="1:17">
      <c r="A192" s="37">
        <v>42926</v>
      </c>
      <c r="B192" s="12" t="s">
        <v>27</v>
      </c>
      <c r="D192" s="40">
        <v>2</v>
      </c>
      <c r="E192" s="12">
        <v>200</v>
      </c>
      <c r="F192" s="12">
        <v>2</v>
      </c>
      <c r="G192" s="12">
        <v>1</v>
      </c>
      <c r="H192" s="12">
        <v>3</v>
      </c>
      <c r="I192" s="48">
        <f t="shared" si="21"/>
        <v>1</v>
      </c>
      <c r="J192" s="13">
        <f t="shared" si="14"/>
        <v>200</v>
      </c>
      <c r="M192" s="145">
        <f t="shared" si="20"/>
        <v>0</v>
      </c>
      <c r="N192" s="12">
        <v>0</v>
      </c>
      <c r="O192" s="13">
        <f t="shared" si="18"/>
        <v>0</v>
      </c>
      <c r="Q192" s="13">
        <v>0</v>
      </c>
    </row>
    <row r="193" spans="1:17">
      <c r="A193" s="37">
        <v>42926</v>
      </c>
      <c r="B193" s="12" t="s">
        <v>47</v>
      </c>
      <c r="D193" s="40">
        <v>2</v>
      </c>
      <c r="E193" s="12">
        <v>250</v>
      </c>
      <c r="F193" s="12">
        <v>1</v>
      </c>
      <c r="G193" s="12">
        <v>2</v>
      </c>
      <c r="H193" s="12">
        <v>2</v>
      </c>
      <c r="I193" s="48">
        <f t="shared" si="21"/>
        <v>0.83333333333333337</v>
      </c>
      <c r="J193" s="13">
        <f t="shared" si="14"/>
        <v>208.33333333333334</v>
      </c>
      <c r="M193" s="145">
        <f t="shared" si="20"/>
        <v>0</v>
      </c>
      <c r="N193" s="12">
        <v>0</v>
      </c>
      <c r="O193" s="13">
        <f t="shared" si="18"/>
        <v>0</v>
      </c>
      <c r="Q193" s="13">
        <v>0</v>
      </c>
    </row>
    <row r="194" spans="1:17">
      <c r="I194" s="48" t="e">
        <f t="shared" si="21"/>
        <v>#DIV/0!</v>
      </c>
      <c r="J194" s="13" t="e">
        <f t="shared" ref="J194:J257" si="23">I194*E194</f>
        <v>#DIV/0!</v>
      </c>
      <c r="M194" s="145" t="e">
        <f t="shared" si="20"/>
        <v>#DIV/0!</v>
      </c>
      <c r="O194" s="13" t="e">
        <f t="shared" si="18"/>
        <v>#DIV/0!</v>
      </c>
      <c r="Q194" s="13" t="e">
        <f t="shared" si="22"/>
        <v>#DIV/0!</v>
      </c>
    </row>
    <row r="195" spans="1:17">
      <c r="I195" s="48" t="e">
        <f t="shared" si="21"/>
        <v>#DIV/0!</v>
      </c>
      <c r="J195" s="13" t="e">
        <f t="shared" si="23"/>
        <v>#DIV/0!</v>
      </c>
      <c r="M195" s="145" t="e">
        <f t="shared" si="20"/>
        <v>#DIV/0!</v>
      </c>
      <c r="O195" s="13" t="e">
        <f t="shared" si="18"/>
        <v>#DIV/0!</v>
      </c>
      <c r="Q195" s="13" t="e">
        <f t="shared" si="22"/>
        <v>#DIV/0!</v>
      </c>
    </row>
    <row r="196" spans="1:17">
      <c r="I196" s="48" t="e">
        <f t="shared" si="21"/>
        <v>#DIV/0!</v>
      </c>
      <c r="J196" s="13" t="e">
        <f t="shared" si="23"/>
        <v>#DIV/0!</v>
      </c>
      <c r="M196" s="145" t="e">
        <f t="shared" si="20"/>
        <v>#DIV/0!</v>
      </c>
      <c r="O196" s="13" t="e">
        <f t="shared" si="18"/>
        <v>#DIV/0!</v>
      </c>
      <c r="Q196" s="13" t="e">
        <f t="shared" si="22"/>
        <v>#DIV/0!</v>
      </c>
    </row>
    <row r="197" spans="1:17">
      <c r="I197" s="48" t="e">
        <f t="shared" si="21"/>
        <v>#DIV/0!</v>
      </c>
      <c r="J197" s="13" t="e">
        <f t="shared" si="23"/>
        <v>#DIV/0!</v>
      </c>
      <c r="M197" s="145" t="e">
        <f t="shared" si="20"/>
        <v>#DIV/0!</v>
      </c>
      <c r="O197" s="13" t="e">
        <f t="shared" si="18"/>
        <v>#DIV/0!</v>
      </c>
      <c r="Q197" s="13" t="e">
        <f t="shared" si="22"/>
        <v>#DIV/0!</v>
      </c>
    </row>
    <row r="198" spans="1:17">
      <c r="I198" s="48" t="e">
        <f t="shared" si="21"/>
        <v>#DIV/0!</v>
      </c>
      <c r="J198" s="13" t="e">
        <f t="shared" si="23"/>
        <v>#DIV/0!</v>
      </c>
      <c r="M198" s="145" t="e">
        <f t="shared" si="20"/>
        <v>#DIV/0!</v>
      </c>
      <c r="O198" s="13" t="e">
        <f t="shared" si="18"/>
        <v>#DIV/0!</v>
      </c>
      <c r="Q198" s="13" t="e">
        <f t="shared" si="22"/>
        <v>#DIV/0!</v>
      </c>
    </row>
    <row r="199" spans="1:17">
      <c r="I199" s="48" t="e">
        <f t="shared" si="21"/>
        <v>#DIV/0!</v>
      </c>
      <c r="J199" s="13" t="e">
        <f t="shared" si="23"/>
        <v>#DIV/0!</v>
      </c>
      <c r="M199" s="145" t="e">
        <f t="shared" si="20"/>
        <v>#DIV/0!</v>
      </c>
      <c r="O199" s="13" t="e">
        <f t="shared" si="18"/>
        <v>#DIV/0!</v>
      </c>
      <c r="Q199" s="13" t="e">
        <f t="shared" si="22"/>
        <v>#DIV/0!</v>
      </c>
    </row>
    <row r="200" spans="1:17">
      <c r="I200" s="48" t="e">
        <f t="shared" si="21"/>
        <v>#DIV/0!</v>
      </c>
      <c r="J200" s="13" t="e">
        <f t="shared" si="23"/>
        <v>#DIV/0!</v>
      </c>
      <c r="M200" s="145" t="e">
        <f t="shared" si="20"/>
        <v>#DIV/0!</v>
      </c>
      <c r="O200" s="13" t="e">
        <f t="shared" si="18"/>
        <v>#DIV/0!</v>
      </c>
      <c r="Q200" s="13" t="e">
        <f t="shared" si="22"/>
        <v>#DIV/0!</v>
      </c>
    </row>
    <row r="201" spans="1:17">
      <c r="I201" s="48" t="e">
        <f t="shared" si="21"/>
        <v>#DIV/0!</v>
      </c>
      <c r="J201" s="13" t="e">
        <f t="shared" si="23"/>
        <v>#DIV/0!</v>
      </c>
      <c r="M201" s="145" t="e">
        <f t="shared" si="20"/>
        <v>#DIV/0!</v>
      </c>
      <c r="O201" s="13" t="e">
        <f t="shared" si="18"/>
        <v>#DIV/0!</v>
      </c>
      <c r="Q201" s="13" t="e">
        <f t="shared" si="22"/>
        <v>#DIV/0!</v>
      </c>
    </row>
    <row r="202" spans="1:17">
      <c r="I202" s="48" t="e">
        <f t="shared" si="21"/>
        <v>#DIV/0!</v>
      </c>
      <c r="J202" s="13" t="e">
        <f t="shared" si="23"/>
        <v>#DIV/0!</v>
      </c>
      <c r="M202" s="145" t="e">
        <f t="shared" si="20"/>
        <v>#DIV/0!</v>
      </c>
      <c r="O202" s="13" t="e">
        <f t="shared" si="18"/>
        <v>#DIV/0!</v>
      </c>
      <c r="Q202" s="13" t="e">
        <f t="shared" si="22"/>
        <v>#DIV/0!</v>
      </c>
    </row>
    <row r="203" spans="1:17">
      <c r="I203" s="48" t="e">
        <f t="shared" si="21"/>
        <v>#DIV/0!</v>
      </c>
      <c r="J203" s="13" t="e">
        <f t="shared" si="23"/>
        <v>#DIV/0!</v>
      </c>
      <c r="M203" s="145" t="e">
        <f t="shared" si="20"/>
        <v>#DIV/0!</v>
      </c>
      <c r="O203" s="13" t="e">
        <f t="shared" si="18"/>
        <v>#DIV/0!</v>
      </c>
      <c r="Q203" s="13" t="e">
        <f t="shared" si="22"/>
        <v>#DIV/0!</v>
      </c>
    </row>
    <row r="204" spans="1:17">
      <c r="I204" s="48" t="e">
        <f t="shared" si="21"/>
        <v>#DIV/0!</v>
      </c>
      <c r="J204" s="13" t="e">
        <f t="shared" si="23"/>
        <v>#DIV/0!</v>
      </c>
      <c r="M204" s="145" t="e">
        <f t="shared" si="20"/>
        <v>#DIV/0!</v>
      </c>
      <c r="O204" s="13" t="e">
        <f t="shared" si="18"/>
        <v>#DIV/0!</v>
      </c>
      <c r="Q204" s="13" t="e">
        <f t="shared" si="22"/>
        <v>#DIV/0!</v>
      </c>
    </row>
    <row r="205" spans="1:17">
      <c r="I205" s="48" t="e">
        <f t="shared" si="21"/>
        <v>#DIV/0!</v>
      </c>
      <c r="J205" s="13" t="e">
        <f t="shared" si="23"/>
        <v>#DIV/0!</v>
      </c>
      <c r="M205" s="145" t="e">
        <f t="shared" si="20"/>
        <v>#DIV/0!</v>
      </c>
      <c r="O205" s="13" t="e">
        <f t="shared" si="18"/>
        <v>#DIV/0!</v>
      </c>
      <c r="Q205" s="13" t="e">
        <f t="shared" si="22"/>
        <v>#DIV/0!</v>
      </c>
    </row>
    <row r="206" spans="1:17">
      <c r="I206" s="48" t="e">
        <f t="shared" si="21"/>
        <v>#DIV/0!</v>
      </c>
      <c r="J206" s="13" t="e">
        <f t="shared" si="23"/>
        <v>#DIV/0!</v>
      </c>
      <c r="M206" s="145" t="e">
        <f t="shared" ref="M206:M237" si="24">L206/I206</f>
        <v>#DIV/0!</v>
      </c>
      <c r="O206" s="13" t="e">
        <f t="shared" si="18"/>
        <v>#DIV/0!</v>
      </c>
      <c r="Q206" s="13" t="e">
        <f t="shared" si="22"/>
        <v>#DIV/0!</v>
      </c>
    </row>
    <row r="207" spans="1:17">
      <c r="I207" s="48" t="e">
        <f t="shared" si="21"/>
        <v>#DIV/0!</v>
      </c>
      <c r="J207" s="13" t="e">
        <f t="shared" si="23"/>
        <v>#DIV/0!</v>
      </c>
      <c r="M207" s="145" t="e">
        <f t="shared" si="24"/>
        <v>#DIV/0!</v>
      </c>
      <c r="O207" s="13" t="e">
        <f t="shared" si="18"/>
        <v>#DIV/0!</v>
      </c>
      <c r="Q207" s="13" t="e">
        <f t="shared" si="22"/>
        <v>#DIV/0!</v>
      </c>
    </row>
    <row r="208" spans="1:17">
      <c r="I208" s="48" t="e">
        <f t="shared" si="21"/>
        <v>#DIV/0!</v>
      </c>
      <c r="J208" s="13" t="e">
        <f t="shared" si="23"/>
        <v>#DIV/0!</v>
      </c>
      <c r="M208" s="145" t="e">
        <f t="shared" si="24"/>
        <v>#DIV/0!</v>
      </c>
      <c r="O208" s="13" t="e">
        <f t="shared" si="18"/>
        <v>#DIV/0!</v>
      </c>
      <c r="Q208" s="13" t="e">
        <f t="shared" si="22"/>
        <v>#DIV/0!</v>
      </c>
    </row>
    <row r="209" spans="9:17">
      <c r="I209" s="48" t="e">
        <f t="shared" si="21"/>
        <v>#DIV/0!</v>
      </c>
      <c r="J209" s="13" t="e">
        <f t="shared" si="23"/>
        <v>#DIV/0!</v>
      </c>
      <c r="M209" s="145" t="e">
        <f t="shared" si="24"/>
        <v>#DIV/0!</v>
      </c>
      <c r="O209" s="13" t="e">
        <f t="shared" si="18"/>
        <v>#DIV/0!</v>
      </c>
      <c r="Q209" s="13" t="e">
        <f t="shared" si="22"/>
        <v>#DIV/0!</v>
      </c>
    </row>
    <row r="210" spans="9:17">
      <c r="I210" s="48" t="e">
        <f t="shared" si="21"/>
        <v>#DIV/0!</v>
      </c>
      <c r="J210" s="13" t="e">
        <f t="shared" si="23"/>
        <v>#DIV/0!</v>
      </c>
      <c r="M210" s="145" t="e">
        <f t="shared" si="24"/>
        <v>#DIV/0!</v>
      </c>
      <c r="O210" s="13" t="e">
        <f t="shared" si="18"/>
        <v>#DIV/0!</v>
      </c>
      <c r="Q210" s="13" t="e">
        <f t="shared" si="22"/>
        <v>#DIV/0!</v>
      </c>
    </row>
    <row r="211" spans="9:17">
      <c r="I211" s="48" t="e">
        <f t="shared" si="21"/>
        <v>#DIV/0!</v>
      </c>
      <c r="J211" s="13" t="e">
        <f t="shared" si="23"/>
        <v>#DIV/0!</v>
      </c>
      <c r="M211" s="145" t="e">
        <f t="shared" si="24"/>
        <v>#DIV/0!</v>
      </c>
      <c r="O211" s="13" t="e">
        <f t="shared" si="18"/>
        <v>#DIV/0!</v>
      </c>
      <c r="Q211" s="13" t="e">
        <f t="shared" si="22"/>
        <v>#DIV/0!</v>
      </c>
    </row>
    <row r="212" spans="9:17">
      <c r="I212" s="48" t="e">
        <f t="shared" si="21"/>
        <v>#DIV/0!</v>
      </c>
      <c r="J212" s="13" t="e">
        <f t="shared" si="23"/>
        <v>#DIV/0!</v>
      </c>
      <c r="M212" s="145" t="e">
        <f t="shared" si="24"/>
        <v>#DIV/0!</v>
      </c>
      <c r="O212" s="13" t="e">
        <f t="shared" si="18"/>
        <v>#DIV/0!</v>
      </c>
      <c r="Q212" s="13" t="e">
        <f t="shared" si="22"/>
        <v>#DIV/0!</v>
      </c>
    </row>
    <row r="213" spans="9:17">
      <c r="I213" s="48" t="e">
        <f t="shared" si="21"/>
        <v>#DIV/0!</v>
      </c>
      <c r="J213" s="13" t="e">
        <f t="shared" si="23"/>
        <v>#DIV/0!</v>
      </c>
      <c r="M213" s="145" t="e">
        <f t="shared" si="24"/>
        <v>#DIV/0!</v>
      </c>
      <c r="O213" s="13" t="e">
        <f t="shared" si="18"/>
        <v>#DIV/0!</v>
      </c>
      <c r="Q213" s="13" t="e">
        <f t="shared" si="22"/>
        <v>#DIV/0!</v>
      </c>
    </row>
    <row r="214" spans="9:17">
      <c r="I214" s="48" t="e">
        <f t="shared" si="21"/>
        <v>#DIV/0!</v>
      </c>
      <c r="J214" s="13" t="e">
        <f t="shared" si="23"/>
        <v>#DIV/0!</v>
      </c>
      <c r="M214" s="145" t="e">
        <f t="shared" si="24"/>
        <v>#DIV/0!</v>
      </c>
      <c r="O214" s="13" t="e">
        <f t="shared" si="18"/>
        <v>#DIV/0!</v>
      </c>
      <c r="Q214" s="13" t="e">
        <f t="shared" si="22"/>
        <v>#DIV/0!</v>
      </c>
    </row>
    <row r="215" spans="9:17">
      <c r="I215" s="48" t="e">
        <f t="shared" si="21"/>
        <v>#DIV/0!</v>
      </c>
      <c r="J215" s="13" t="e">
        <f t="shared" si="23"/>
        <v>#DIV/0!</v>
      </c>
      <c r="M215" s="145" t="e">
        <f t="shared" si="24"/>
        <v>#DIV/0!</v>
      </c>
      <c r="O215" s="13" t="e">
        <f t="shared" si="18"/>
        <v>#DIV/0!</v>
      </c>
      <c r="Q215" s="13" t="e">
        <f t="shared" si="22"/>
        <v>#DIV/0!</v>
      </c>
    </row>
    <row r="216" spans="9:17">
      <c r="I216" s="48" t="e">
        <f t="shared" si="21"/>
        <v>#DIV/0!</v>
      </c>
      <c r="J216" s="13" t="e">
        <f t="shared" si="23"/>
        <v>#DIV/0!</v>
      </c>
      <c r="M216" s="145" t="e">
        <f t="shared" si="24"/>
        <v>#DIV/0!</v>
      </c>
      <c r="O216" s="13" t="e">
        <f t="shared" si="18"/>
        <v>#DIV/0!</v>
      </c>
      <c r="Q216" s="13" t="e">
        <f t="shared" si="22"/>
        <v>#DIV/0!</v>
      </c>
    </row>
    <row r="217" spans="9:17">
      <c r="I217" s="48" t="e">
        <f t="shared" si="21"/>
        <v>#DIV/0!</v>
      </c>
      <c r="J217" s="13" t="e">
        <f t="shared" si="23"/>
        <v>#DIV/0!</v>
      </c>
      <c r="M217" s="145" t="e">
        <f t="shared" si="24"/>
        <v>#DIV/0!</v>
      </c>
      <c r="O217" s="13" t="e">
        <f t="shared" si="18"/>
        <v>#DIV/0!</v>
      </c>
      <c r="Q217" s="13" t="e">
        <f t="shared" si="22"/>
        <v>#DIV/0!</v>
      </c>
    </row>
    <row r="218" spans="9:17">
      <c r="I218" s="48" t="e">
        <f t="shared" si="21"/>
        <v>#DIV/0!</v>
      </c>
      <c r="J218" s="13" t="e">
        <f t="shared" si="23"/>
        <v>#DIV/0!</v>
      </c>
      <c r="M218" s="145" t="e">
        <f t="shared" si="24"/>
        <v>#DIV/0!</v>
      </c>
      <c r="O218" s="13" t="e">
        <f t="shared" si="18"/>
        <v>#DIV/0!</v>
      </c>
      <c r="Q218" s="13" t="e">
        <f t="shared" si="22"/>
        <v>#DIV/0!</v>
      </c>
    </row>
    <row r="219" spans="9:17">
      <c r="I219" s="48" t="e">
        <f t="shared" si="21"/>
        <v>#DIV/0!</v>
      </c>
      <c r="J219" s="13" t="e">
        <f t="shared" si="23"/>
        <v>#DIV/0!</v>
      </c>
      <c r="M219" s="145" t="e">
        <f t="shared" si="24"/>
        <v>#DIV/0!</v>
      </c>
      <c r="O219" s="13" t="e">
        <f t="shared" si="18"/>
        <v>#DIV/0!</v>
      </c>
      <c r="Q219" s="13" t="e">
        <f t="shared" si="22"/>
        <v>#DIV/0!</v>
      </c>
    </row>
    <row r="220" spans="9:17">
      <c r="I220" s="48" t="e">
        <f t="shared" si="21"/>
        <v>#DIV/0!</v>
      </c>
      <c r="J220" s="13" t="e">
        <f t="shared" si="23"/>
        <v>#DIV/0!</v>
      </c>
      <c r="M220" s="145" t="e">
        <f t="shared" si="24"/>
        <v>#DIV/0!</v>
      </c>
      <c r="O220" s="13" t="e">
        <f t="shared" si="18"/>
        <v>#DIV/0!</v>
      </c>
      <c r="Q220" s="13" t="e">
        <f t="shared" si="22"/>
        <v>#DIV/0!</v>
      </c>
    </row>
    <row r="221" spans="9:17">
      <c r="I221" s="48" t="e">
        <f t="shared" si="21"/>
        <v>#DIV/0!</v>
      </c>
      <c r="J221" s="13" t="e">
        <f t="shared" si="23"/>
        <v>#DIV/0!</v>
      </c>
      <c r="M221" s="145" t="e">
        <f t="shared" si="24"/>
        <v>#DIV/0!</v>
      </c>
      <c r="O221" s="13" t="e">
        <f t="shared" si="18"/>
        <v>#DIV/0!</v>
      </c>
      <c r="Q221" s="13" t="e">
        <f t="shared" si="22"/>
        <v>#DIV/0!</v>
      </c>
    </row>
    <row r="222" spans="9:17">
      <c r="I222" s="48" t="e">
        <f t="shared" si="21"/>
        <v>#DIV/0!</v>
      </c>
      <c r="J222" s="13" t="e">
        <f t="shared" si="23"/>
        <v>#DIV/0!</v>
      </c>
      <c r="M222" s="145" t="e">
        <f t="shared" si="24"/>
        <v>#DIV/0!</v>
      </c>
      <c r="O222" s="13" t="e">
        <f t="shared" si="18"/>
        <v>#DIV/0!</v>
      </c>
      <c r="Q222" s="13" t="e">
        <f t="shared" si="22"/>
        <v>#DIV/0!</v>
      </c>
    </row>
    <row r="223" spans="9:17">
      <c r="I223" s="48" t="e">
        <f t="shared" ref="I223:I254" si="25">AVERAGE(F223:H223)/D223</f>
        <v>#DIV/0!</v>
      </c>
      <c r="J223" s="13" t="e">
        <f t="shared" si="23"/>
        <v>#DIV/0!</v>
      </c>
      <c r="M223" s="145" t="e">
        <f t="shared" si="24"/>
        <v>#DIV/0!</v>
      </c>
      <c r="O223" s="13" t="e">
        <f t="shared" si="18"/>
        <v>#DIV/0!</v>
      </c>
      <c r="Q223" s="13" t="e">
        <f t="shared" ref="Q223:Q254" si="26">J223-O223</f>
        <v>#DIV/0!</v>
      </c>
    </row>
    <row r="224" spans="9:17">
      <c r="I224" s="48" t="e">
        <f t="shared" si="25"/>
        <v>#DIV/0!</v>
      </c>
      <c r="J224" s="13" t="e">
        <f t="shared" si="23"/>
        <v>#DIV/0!</v>
      </c>
      <c r="M224" s="145" t="e">
        <f t="shared" si="24"/>
        <v>#DIV/0!</v>
      </c>
      <c r="O224" s="13" t="e">
        <f t="shared" si="18"/>
        <v>#DIV/0!</v>
      </c>
      <c r="Q224" s="13" t="e">
        <f t="shared" si="26"/>
        <v>#DIV/0!</v>
      </c>
    </row>
    <row r="225" spans="9:17">
      <c r="I225" s="48" t="e">
        <f t="shared" si="25"/>
        <v>#DIV/0!</v>
      </c>
      <c r="J225" s="13" t="e">
        <f t="shared" si="23"/>
        <v>#DIV/0!</v>
      </c>
      <c r="M225" s="145" t="e">
        <f t="shared" si="24"/>
        <v>#DIV/0!</v>
      </c>
      <c r="O225" s="13" t="e">
        <f t="shared" ref="O225:O288" si="27">N225*I225</f>
        <v>#DIV/0!</v>
      </c>
      <c r="Q225" s="13" t="e">
        <f t="shared" si="26"/>
        <v>#DIV/0!</v>
      </c>
    </row>
    <row r="226" spans="9:17">
      <c r="I226" s="48" t="e">
        <f t="shared" si="25"/>
        <v>#DIV/0!</v>
      </c>
      <c r="J226" s="13" t="e">
        <f t="shared" si="23"/>
        <v>#DIV/0!</v>
      </c>
      <c r="M226" s="145" t="e">
        <f t="shared" si="24"/>
        <v>#DIV/0!</v>
      </c>
      <c r="O226" s="13" t="e">
        <f t="shared" si="27"/>
        <v>#DIV/0!</v>
      </c>
      <c r="Q226" s="13" t="e">
        <f t="shared" si="26"/>
        <v>#DIV/0!</v>
      </c>
    </row>
    <row r="227" spans="9:17">
      <c r="I227" s="48" t="e">
        <f t="shared" si="25"/>
        <v>#DIV/0!</v>
      </c>
      <c r="J227" s="13" t="e">
        <f t="shared" si="23"/>
        <v>#DIV/0!</v>
      </c>
      <c r="M227" s="145" t="e">
        <f t="shared" si="24"/>
        <v>#DIV/0!</v>
      </c>
      <c r="O227" s="13" t="e">
        <f t="shared" si="27"/>
        <v>#DIV/0!</v>
      </c>
      <c r="Q227" s="13" t="e">
        <f t="shared" si="26"/>
        <v>#DIV/0!</v>
      </c>
    </row>
    <row r="228" spans="9:17">
      <c r="I228" s="48" t="e">
        <f t="shared" si="25"/>
        <v>#DIV/0!</v>
      </c>
      <c r="J228" s="13" t="e">
        <f t="shared" si="23"/>
        <v>#DIV/0!</v>
      </c>
      <c r="M228" s="145" t="e">
        <f t="shared" si="24"/>
        <v>#DIV/0!</v>
      </c>
      <c r="O228" s="13" t="e">
        <f t="shared" si="27"/>
        <v>#DIV/0!</v>
      </c>
      <c r="Q228" s="13" t="e">
        <f t="shared" si="26"/>
        <v>#DIV/0!</v>
      </c>
    </row>
    <row r="229" spans="9:17">
      <c r="I229" s="48" t="e">
        <f t="shared" si="25"/>
        <v>#DIV/0!</v>
      </c>
      <c r="J229" s="13" t="e">
        <f t="shared" si="23"/>
        <v>#DIV/0!</v>
      </c>
      <c r="M229" s="145" t="e">
        <f t="shared" si="24"/>
        <v>#DIV/0!</v>
      </c>
      <c r="O229" s="13" t="e">
        <f t="shared" si="27"/>
        <v>#DIV/0!</v>
      </c>
      <c r="Q229" s="13" t="e">
        <f t="shared" si="26"/>
        <v>#DIV/0!</v>
      </c>
    </row>
    <row r="230" spans="9:17">
      <c r="I230" s="48" t="e">
        <f t="shared" si="25"/>
        <v>#DIV/0!</v>
      </c>
      <c r="J230" s="13" t="e">
        <f t="shared" si="23"/>
        <v>#DIV/0!</v>
      </c>
      <c r="M230" s="145" t="e">
        <f t="shared" si="24"/>
        <v>#DIV/0!</v>
      </c>
      <c r="O230" s="13" t="e">
        <f t="shared" si="27"/>
        <v>#DIV/0!</v>
      </c>
      <c r="Q230" s="13" t="e">
        <f t="shared" si="26"/>
        <v>#DIV/0!</v>
      </c>
    </row>
    <row r="231" spans="9:17">
      <c r="I231" s="48" t="e">
        <f t="shared" si="25"/>
        <v>#DIV/0!</v>
      </c>
      <c r="J231" s="13" t="e">
        <f t="shared" si="23"/>
        <v>#DIV/0!</v>
      </c>
      <c r="M231" s="145" t="e">
        <f t="shared" si="24"/>
        <v>#DIV/0!</v>
      </c>
      <c r="O231" s="13" t="e">
        <f t="shared" si="27"/>
        <v>#DIV/0!</v>
      </c>
      <c r="Q231" s="13" t="e">
        <f t="shared" si="26"/>
        <v>#DIV/0!</v>
      </c>
    </row>
    <row r="232" spans="9:17">
      <c r="I232" s="48" t="e">
        <f t="shared" si="25"/>
        <v>#DIV/0!</v>
      </c>
      <c r="J232" s="13" t="e">
        <f t="shared" si="23"/>
        <v>#DIV/0!</v>
      </c>
      <c r="M232" s="145" t="e">
        <f t="shared" si="24"/>
        <v>#DIV/0!</v>
      </c>
      <c r="O232" s="13" t="e">
        <f t="shared" si="27"/>
        <v>#DIV/0!</v>
      </c>
      <c r="Q232" s="13" t="e">
        <f t="shared" si="26"/>
        <v>#DIV/0!</v>
      </c>
    </row>
    <row r="233" spans="9:17">
      <c r="I233" s="48" t="e">
        <f t="shared" si="25"/>
        <v>#DIV/0!</v>
      </c>
      <c r="J233" s="13" t="e">
        <f t="shared" si="23"/>
        <v>#DIV/0!</v>
      </c>
      <c r="M233" s="145" t="e">
        <f t="shared" si="24"/>
        <v>#DIV/0!</v>
      </c>
      <c r="O233" s="13" t="e">
        <f t="shared" si="27"/>
        <v>#DIV/0!</v>
      </c>
      <c r="Q233" s="13" t="e">
        <f t="shared" si="26"/>
        <v>#DIV/0!</v>
      </c>
    </row>
    <row r="234" spans="9:17">
      <c r="I234" s="48" t="e">
        <f t="shared" si="25"/>
        <v>#DIV/0!</v>
      </c>
      <c r="J234" s="13" t="e">
        <f t="shared" si="23"/>
        <v>#DIV/0!</v>
      </c>
      <c r="M234" s="145" t="e">
        <f t="shared" si="24"/>
        <v>#DIV/0!</v>
      </c>
      <c r="O234" s="13" t="e">
        <f t="shared" si="27"/>
        <v>#DIV/0!</v>
      </c>
      <c r="Q234" s="13" t="e">
        <f t="shared" si="26"/>
        <v>#DIV/0!</v>
      </c>
    </row>
    <row r="235" spans="9:17">
      <c r="I235" s="48" t="e">
        <f t="shared" si="25"/>
        <v>#DIV/0!</v>
      </c>
      <c r="J235" s="13" t="e">
        <f t="shared" si="23"/>
        <v>#DIV/0!</v>
      </c>
      <c r="M235" s="145" t="e">
        <f t="shared" si="24"/>
        <v>#DIV/0!</v>
      </c>
      <c r="O235" s="13" t="e">
        <f t="shared" si="27"/>
        <v>#DIV/0!</v>
      </c>
      <c r="Q235" s="13" t="e">
        <f t="shared" si="26"/>
        <v>#DIV/0!</v>
      </c>
    </row>
    <row r="236" spans="9:17">
      <c r="I236" s="48" t="e">
        <f t="shared" si="25"/>
        <v>#DIV/0!</v>
      </c>
      <c r="J236" s="13" t="e">
        <f t="shared" si="23"/>
        <v>#DIV/0!</v>
      </c>
      <c r="M236" s="145" t="e">
        <f t="shared" si="24"/>
        <v>#DIV/0!</v>
      </c>
      <c r="O236" s="13" t="e">
        <f t="shared" si="27"/>
        <v>#DIV/0!</v>
      </c>
      <c r="Q236" s="13" t="e">
        <f t="shared" si="26"/>
        <v>#DIV/0!</v>
      </c>
    </row>
    <row r="237" spans="9:17">
      <c r="I237" s="48" t="e">
        <f t="shared" si="25"/>
        <v>#DIV/0!</v>
      </c>
      <c r="J237" s="13" t="e">
        <f t="shared" si="23"/>
        <v>#DIV/0!</v>
      </c>
      <c r="M237" s="145" t="e">
        <f t="shared" si="24"/>
        <v>#DIV/0!</v>
      </c>
      <c r="O237" s="13" t="e">
        <f t="shared" si="27"/>
        <v>#DIV/0!</v>
      </c>
      <c r="Q237" s="13" t="e">
        <f t="shared" si="26"/>
        <v>#DIV/0!</v>
      </c>
    </row>
    <row r="238" spans="9:17">
      <c r="I238" s="48" t="e">
        <f t="shared" si="25"/>
        <v>#DIV/0!</v>
      </c>
      <c r="J238" s="13" t="e">
        <f t="shared" si="23"/>
        <v>#DIV/0!</v>
      </c>
      <c r="M238" s="145" t="e">
        <f t="shared" ref="M238:M269" si="28">L238/I238</f>
        <v>#DIV/0!</v>
      </c>
      <c r="O238" s="13" t="e">
        <f t="shared" si="27"/>
        <v>#DIV/0!</v>
      </c>
      <c r="Q238" s="13" t="e">
        <f t="shared" si="26"/>
        <v>#DIV/0!</v>
      </c>
    </row>
    <row r="239" spans="9:17">
      <c r="I239" s="48" t="e">
        <f t="shared" si="25"/>
        <v>#DIV/0!</v>
      </c>
      <c r="J239" s="13" t="e">
        <f t="shared" si="23"/>
        <v>#DIV/0!</v>
      </c>
      <c r="M239" s="145" t="e">
        <f t="shared" si="28"/>
        <v>#DIV/0!</v>
      </c>
      <c r="O239" s="13" t="e">
        <f t="shared" si="27"/>
        <v>#DIV/0!</v>
      </c>
      <c r="Q239" s="13" t="e">
        <f t="shared" si="26"/>
        <v>#DIV/0!</v>
      </c>
    </row>
    <row r="240" spans="9:17">
      <c r="I240" s="48" t="e">
        <f t="shared" si="25"/>
        <v>#DIV/0!</v>
      </c>
      <c r="J240" s="13" t="e">
        <f t="shared" si="23"/>
        <v>#DIV/0!</v>
      </c>
      <c r="M240" s="145" t="e">
        <f t="shared" si="28"/>
        <v>#DIV/0!</v>
      </c>
      <c r="O240" s="13" t="e">
        <f t="shared" si="27"/>
        <v>#DIV/0!</v>
      </c>
      <c r="Q240" s="13" t="e">
        <f t="shared" si="26"/>
        <v>#DIV/0!</v>
      </c>
    </row>
    <row r="241" spans="9:17">
      <c r="I241" s="48" t="e">
        <f t="shared" si="25"/>
        <v>#DIV/0!</v>
      </c>
      <c r="J241" s="13" t="e">
        <f t="shared" si="23"/>
        <v>#DIV/0!</v>
      </c>
      <c r="M241" s="145" t="e">
        <f t="shared" si="28"/>
        <v>#DIV/0!</v>
      </c>
      <c r="O241" s="13" t="e">
        <f t="shared" si="27"/>
        <v>#DIV/0!</v>
      </c>
      <c r="Q241" s="13" t="e">
        <f t="shared" si="26"/>
        <v>#DIV/0!</v>
      </c>
    </row>
    <row r="242" spans="9:17">
      <c r="I242" s="48" t="e">
        <f t="shared" si="25"/>
        <v>#DIV/0!</v>
      </c>
      <c r="J242" s="13" t="e">
        <f t="shared" si="23"/>
        <v>#DIV/0!</v>
      </c>
      <c r="M242" s="145" t="e">
        <f t="shared" si="28"/>
        <v>#DIV/0!</v>
      </c>
      <c r="O242" s="13" t="e">
        <f t="shared" si="27"/>
        <v>#DIV/0!</v>
      </c>
      <c r="Q242" s="13" t="e">
        <f t="shared" si="26"/>
        <v>#DIV/0!</v>
      </c>
    </row>
    <row r="243" spans="9:17">
      <c r="I243" s="48" t="e">
        <f t="shared" si="25"/>
        <v>#DIV/0!</v>
      </c>
      <c r="J243" s="13" t="e">
        <f t="shared" si="23"/>
        <v>#DIV/0!</v>
      </c>
      <c r="M243" s="145" t="e">
        <f t="shared" si="28"/>
        <v>#DIV/0!</v>
      </c>
      <c r="O243" s="13" t="e">
        <f t="shared" si="27"/>
        <v>#DIV/0!</v>
      </c>
      <c r="Q243" s="13" t="e">
        <f t="shared" si="26"/>
        <v>#DIV/0!</v>
      </c>
    </row>
    <row r="244" spans="9:17">
      <c r="I244" s="48" t="e">
        <f t="shared" si="25"/>
        <v>#DIV/0!</v>
      </c>
      <c r="J244" s="13" t="e">
        <f t="shared" si="23"/>
        <v>#DIV/0!</v>
      </c>
      <c r="M244" s="145" t="e">
        <f t="shared" si="28"/>
        <v>#DIV/0!</v>
      </c>
      <c r="O244" s="13" t="e">
        <f t="shared" si="27"/>
        <v>#DIV/0!</v>
      </c>
      <c r="Q244" s="13" t="e">
        <f t="shared" si="26"/>
        <v>#DIV/0!</v>
      </c>
    </row>
    <row r="245" spans="9:17">
      <c r="I245" s="48" t="e">
        <f t="shared" si="25"/>
        <v>#DIV/0!</v>
      </c>
      <c r="J245" s="13" t="e">
        <f t="shared" si="23"/>
        <v>#DIV/0!</v>
      </c>
      <c r="M245" s="145" t="e">
        <f t="shared" si="28"/>
        <v>#DIV/0!</v>
      </c>
      <c r="O245" s="13" t="e">
        <f t="shared" si="27"/>
        <v>#DIV/0!</v>
      </c>
      <c r="Q245" s="13" t="e">
        <f t="shared" si="26"/>
        <v>#DIV/0!</v>
      </c>
    </row>
    <row r="246" spans="9:17">
      <c r="I246" s="48" t="e">
        <f t="shared" si="25"/>
        <v>#DIV/0!</v>
      </c>
      <c r="J246" s="13" t="e">
        <f t="shared" si="23"/>
        <v>#DIV/0!</v>
      </c>
      <c r="M246" s="145" t="e">
        <f t="shared" si="28"/>
        <v>#DIV/0!</v>
      </c>
      <c r="O246" s="13" t="e">
        <f t="shared" si="27"/>
        <v>#DIV/0!</v>
      </c>
      <c r="Q246" s="13" t="e">
        <f t="shared" si="26"/>
        <v>#DIV/0!</v>
      </c>
    </row>
    <row r="247" spans="9:17">
      <c r="I247" s="48" t="e">
        <f t="shared" si="25"/>
        <v>#DIV/0!</v>
      </c>
      <c r="J247" s="13" t="e">
        <f t="shared" si="23"/>
        <v>#DIV/0!</v>
      </c>
      <c r="M247" s="145" t="e">
        <f t="shared" si="28"/>
        <v>#DIV/0!</v>
      </c>
      <c r="O247" s="13" t="e">
        <f t="shared" si="27"/>
        <v>#DIV/0!</v>
      </c>
      <c r="Q247" s="13" t="e">
        <f t="shared" si="26"/>
        <v>#DIV/0!</v>
      </c>
    </row>
    <row r="248" spans="9:17">
      <c r="I248" s="48" t="e">
        <f t="shared" si="25"/>
        <v>#DIV/0!</v>
      </c>
      <c r="J248" s="13" t="e">
        <f t="shared" si="23"/>
        <v>#DIV/0!</v>
      </c>
      <c r="M248" s="145" t="e">
        <f t="shared" si="28"/>
        <v>#DIV/0!</v>
      </c>
      <c r="O248" s="13" t="e">
        <f t="shared" si="27"/>
        <v>#DIV/0!</v>
      </c>
      <c r="Q248" s="13" t="e">
        <f t="shared" si="26"/>
        <v>#DIV/0!</v>
      </c>
    </row>
    <row r="249" spans="9:17">
      <c r="I249" s="48" t="e">
        <f t="shared" si="25"/>
        <v>#DIV/0!</v>
      </c>
      <c r="J249" s="13" t="e">
        <f t="shared" si="23"/>
        <v>#DIV/0!</v>
      </c>
      <c r="M249" s="145" t="e">
        <f t="shared" si="28"/>
        <v>#DIV/0!</v>
      </c>
      <c r="O249" s="13" t="e">
        <f t="shared" si="27"/>
        <v>#DIV/0!</v>
      </c>
      <c r="Q249" s="13" t="e">
        <f t="shared" si="26"/>
        <v>#DIV/0!</v>
      </c>
    </row>
    <row r="250" spans="9:17">
      <c r="I250" s="48" t="e">
        <f t="shared" si="25"/>
        <v>#DIV/0!</v>
      </c>
      <c r="J250" s="13" t="e">
        <f t="shared" si="23"/>
        <v>#DIV/0!</v>
      </c>
      <c r="M250" s="145" t="e">
        <f t="shared" si="28"/>
        <v>#DIV/0!</v>
      </c>
      <c r="O250" s="13" t="e">
        <f t="shared" si="27"/>
        <v>#DIV/0!</v>
      </c>
      <c r="Q250" s="13" t="e">
        <f t="shared" si="26"/>
        <v>#DIV/0!</v>
      </c>
    </row>
    <row r="251" spans="9:17">
      <c r="I251" s="48" t="e">
        <f t="shared" si="25"/>
        <v>#DIV/0!</v>
      </c>
      <c r="J251" s="13" t="e">
        <f t="shared" si="23"/>
        <v>#DIV/0!</v>
      </c>
      <c r="M251" s="145" t="e">
        <f t="shared" si="28"/>
        <v>#DIV/0!</v>
      </c>
      <c r="O251" s="13" t="e">
        <f t="shared" si="27"/>
        <v>#DIV/0!</v>
      </c>
      <c r="Q251" s="13" t="e">
        <f t="shared" si="26"/>
        <v>#DIV/0!</v>
      </c>
    </row>
    <row r="252" spans="9:17">
      <c r="I252" s="48" t="e">
        <f t="shared" si="25"/>
        <v>#DIV/0!</v>
      </c>
      <c r="J252" s="13" t="e">
        <f t="shared" si="23"/>
        <v>#DIV/0!</v>
      </c>
      <c r="M252" s="145" t="e">
        <f t="shared" si="28"/>
        <v>#DIV/0!</v>
      </c>
      <c r="O252" s="13" t="e">
        <f t="shared" si="27"/>
        <v>#DIV/0!</v>
      </c>
      <c r="Q252" s="13" t="e">
        <f t="shared" si="26"/>
        <v>#DIV/0!</v>
      </c>
    </row>
    <row r="253" spans="9:17">
      <c r="I253" s="48" t="e">
        <f t="shared" si="25"/>
        <v>#DIV/0!</v>
      </c>
      <c r="J253" s="13" t="e">
        <f t="shared" si="23"/>
        <v>#DIV/0!</v>
      </c>
      <c r="M253" s="145" t="e">
        <f t="shared" si="28"/>
        <v>#DIV/0!</v>
      </c>
      <c r="O253" s="13" t="e">
        <f t="shared" si="27"/>
        <v>#DIV/0!</v>
      </c>
      <c r="Q253" s="13" t="e">
        <f t="shared" si="26"/>
        <v>#DIV/0!</v>
      </c>
    </row>
    <row r="254" spans="9:17">
      <c r="I254" s="48" t="e">
        <f t="shared" si="25"/>
        <v>#DIV/0!</v>
      </c>
      <c r="J254" s="13" t="e">
        <f t="shared" si="23"/>
        <v>#DIV/0!</v>
      </c>
      <c r="M254" s="145" t="e">
        <f t="shared" si="28"/>
        <v>#DIV/0!</v>
      </c>
      <c r="O254" s="13" t="e">
        <f t="shared" si="27"/>
        <v>#DIV/0!</v>
      </c>
      <c r="Q254" s="13" t="e">
        <f t="shared" si="26"/>
        <v>#DIV/0!</v>
      </c>
    </row>
    <row r="255" spans="9:17">
      <c r="I255" s="48" t="e">
        <f t="shared" ref="I255:I286" si="29">AVERAGE(F255:H255)/D255</f>
        <v>#DIV/0!</v>
      </c>
      <c r="J255" s="13" t="e">
        <f t="shared" si="23"/>
        <v>#DIV/0!</v>
      </c>
      <c r="M255" s="145" t="e">
        <f t="shared" si="28"/>
        <v>#DIV/0!</v>
      </c>
      <c r="O255" s="13" t="e">
        <f t="shared" si="27"/>
        <v>#DIV/0!</v>
      </c>
      <c r="Q255" s="13" t="e">
        <f t="shared" ref="Q255:Q286" si="30">J255-O255</f>
        <v>#DIV/0!</v>
      </c>
    </row>
    <row r="256" spans="9:17">
      <c r="I256" s="48" t="e">
        <f t="shared" si="29"/>
        <v>#DIV/0!</v>
      </c>
      <c r="J256" s="13" t="e">
        <f t="shared" si="23"/>
        <v>#DIV/0!</v>
      </c>
      <c r="M256" s="145" t="e">
        <f t="shared" si="28"/>
        <v>#DIV/0!</v>
      </c>
      <c r="O256" s="13" t="e">
        <f t="shared" si="27"/>
        <v>#DIV/0!</v>
      </c>
      <c r="Q256" s="13" t="e">
        <f t="shared" si="30"/>
        <v>#DIV/0!</v>
      </c>
    </row>
    <row r="257" spans="9:17">
      <c r="I257" s="48" t="e">
        <f t="shared" si="29"/>
        <v>#DIV/0!</v>
      </c>
      <c r="J257" s="13" t="e">
        <f t="shared" si="23"/>
        <v>#DIV/0!</v>
      </c>
      <c r="M257" s="145" t="e">
        <f t="shared" si="28"/>
        <v>#DIV/0!</v>
      </c>
      <c r="O257" s="13" t="e">
        <f t="shared" si="27"/>
        <v>#DIV/0!</v>
      </c>
      <c r="Q257" s="13" t="e">
        <f t="shared" si="30"/>
        <v>#DIV/0!</v>
      </c>
    </row>
    <row r="258" spans="9:17">
      <c r="I258" s="48" t="e">
        <f t="shared" si="29"/>
        <v>#DIV/0!</v>
      </c>
      <c r="J258" s="13" t="e">
        <f t="shared" ref="J258:J302" si="31">I258*E258</f>
        <v>#DIV/0!</v>
      </c>
      <c r="M258" s="145" t="e">
        <f t="shared" si="28"/>
        <v>#DIV/0!</v>
      </c>
      <c r="O258" s="13" t="e">
        <f t="shared" si="27"/>
        <v>#DIV/0!</v>
      </c>
      <c r="Q258" s="13" t="e">
        <f t="shared" si="30"/>
        <v>#DIV/0!</v>
      </c>
    </row>
    <row r="259" spans="9:17">
      <c r="I259" s="48" t="e">
        <f t="shared" si="29"/>
        <v>#DIV/0!</v>
      </c>
      <c r="J259" s="13" t="e">
        <f t="shared" si="31"/>
        <v>#DIV/0!</v>
      </c>
      <c r="M259" s="145" t="e">
        <f t="shared" si="28"/>
        <v>#DIV/0!</v>
      </c>
      <c r="O259" s="13" t="e">
        <f t="shared" si="27"/>
        <v>#DIV/0!</v>
      </c>
      <c r="Q259" s="13" t="e">
        <f t="shared" si="30"/>
        <v>#DIV/0!</v>
      </c>
    </row>
    <row r="260" spans="9:17">
      <c r="I260" s="48" t="e">
        <f t="shared" si="29"/>
        <v>#DIV/0!</v>
      </c>
      <c r="J260" s="13" t="e">
        <f t="shared" si="31"/>
        <v>#DIV/0!</v>
      </c>
      <c r="M260" s="145" t="e">
        <f t="shared" si="28"/>
        <v>#DIV/0!</v>
      </c>
      <c r="O260" s="13" t="e">
        <f t="shared" si="27"/>
        <v>#DIV/0!</v>
      </c>
      <c r="Q260" s="13" t="e">
        <f t="shared" si="30"/>
        <v>#DIV/0!</v>
      </c>
    </row>
    <row r="261" spans="9:17">
      <c r="I261" s="48" t="e">
        <f t="shared" si="29"/>
        <v>#DIV/0!</v>
      </c>
      <c r="J261" s="13" t="e">
        <f t="shared" si="31"/>
        <v>#DIV/0!</v>
      </c>
      <c r="M261" s="145" t="e">
        <f t="shared" si="28"/>
        <v>#DIV/0!</v>
      </c>
      <c r="O261" s="13" t="e">
        <f t="shared" si="27"/>
        <v>#DIV/0!</v>
      </c>
      <c r="Q261" s="13" t="e">
        <f t="shared" si="30"/>
        <v>#DIV/0!</v>
      </c>
    </row>
    <row r="262" spans="9:17">
      <c r="I262" s="48" t="e">
        <f t="shared" si="29"/>
        <v>#DIV/0!</v>
      </c>
      <c r="J262" s="13" t="e">
        <f t="shared" si="31"/>
        <v>#DIV/0!</v>
      </c>
      <c r="M262" s="145" t="e">
        <f t="shared" si="28"/>
        <v>#DIV/0!</v>
      </c>
      <c r="O262" s="13" t="e">
        <f t="shared" si="27"/>
        <v>#DIV/0!</v>
      </c>
      <c r="Q262" s="13" t="e">
        <f t="shared" si="30"/>
        <v>#DIV/0!</v>
      </c>
    </row>
    <row r="263" spans="9:17">
      <c r="I263" s="48" t="e">
        <f t="shared" si="29"/>
        <v>#DIV/0!</v>
      </c>
      <c r="J263" s="13" t="e">
        <f t="shared" si="31"/>
        <v>#DIV/0!</v>
      </c>
      <c r="M263" s="145" t="e">
        <f t="shared" si="28"/>
        <v>#DIV/0!</v>
      </c>
      <c r="O263" s="13" t="e">
        <f t="shared" si="27"/>
        <v>#DIV/0!</v>
      </c>
      <c r="Q263" s="13" t="e">
        <f t="shared" si="30"/>
        <v>#DIV/0!</v>
      </c>
    </row>
    <row r="264" spans="9:17">
      <c r="I264" s="48" t="e">
        <f t="shared" si="29"/>
        <v>#DIV/0!</v>
      </c>
      <c r="J264" s="13" t="e">
        <f t="shared" si="31"/>
        <v>#DIV/0!</v>
      </c>
      <c r="M264" s="145" t="e">
        <f t="shared" si="28"/>
        <v>#DIV/0!</v>
      </c>
      <c r="O264" s="13" t="e">
        <f t="shared" si="27"/>
        <v>#DIV/0!</v>
      </c>
      <c r="Q264" s="13" t="e">
        <f t="shared" si="30"/>
        <v>#DIV/0!</v>
      </c>
    </row>
    <row r="265" spans="9:17">
      <c r="I265" s="48" t="e">
        <f t="shared" si="29"/>
        <v>#DIV/0!</v>
      </c>
      <c r="J265" s="13" t="e">
        <f t="shared" si="31"/>
        <v>#DIV/0!</v>
      </c>
      <c r="M265" s="145" t="e">
        <f t="shared" si="28"/>
        <v>#DIV/0!</v>
      </c>
      <c r="O265" s="13" t="e">
        <f t="shared" si="27"/>
        <v>#DIV/0!</v>
      </c>
      <c r="Q265" s="13" t="e">
        <f t="shared" si="30"/>
        <v>#DIV/0!</v>
      </c>
    </row>
    <row r="266" spans="9:17">
      <c r="I266" s="48" t="e">
        <f t="shared" si="29"/>
        <v>#DIV/0!</v>
      </c>
      <c r="J266" s="13" t="e">
        <f t="shared" si="31"/>
        <v>#DIV/0!</v>
      </c>
      <c r="M266" s="145" t="e">
        <f t="shared" si="28"/>
        <v>#DIV/0!</v>
      </c>
      <c r="O266" s="13" t="e">
        <f t="shared" si="27"/>
        <v>#DIV/0!</v>
      </c>
      <c r="Q266" s="13" t="e">
        <f t="shared" si="30"/>
        <v>#DIV/0!</v>
      </c>
    </row>
    <row r="267" spans="9:17">
      <c r="I267" s="48" t="e">
        <f t="shared" si="29"/>
        <v>#DIV/0!</v>
      </c>
      <c r="J267" s="13" t="e">
        <f t="shared" si="31"/>
        <v>#DIV/0!</v>
      </c>
      <c r="M267" s="145" t="e">
        <f t="shared" si="28"/>
        <v>#DIV/0!</v>
      </c>
      <c r="O267" s="13" t="e">
        <f t="shared" si="27"/>
        <v>#DIV/0!</v>
      </c>
      <c r="Q267" s="13" t="e">
        <f t="shared" si="30"/>
        <v>#DIV/0!</v>
      </c>
    </row>
    <row r="268" spans="9:17">
      <c r="I268" s="48" t="e">
        <f t="shared" si="29"/>
        <v>#DIV/0!</v>
      </c>
      <c r="J268" s="13" t="e">
        <f t="shared" si="31"/>
        <v>#DIV/0!</v>
      </c>
      <c r="M268" s="145" t="e">
        <f t="shared" si="28"/>
        <v>#DIV/0!</v>
      </c>
      <c r="O268" s="13" t="e">
        <f t="shared" si="27"/>
        <v>#DIV/0!</v>
      </c>
      <c r="Q268" s="13" t="e">
        <f t="shared" si="30"/>
        <v>#DIV/0!</v>
      </c>
    </row>
    <row r="269" spans="9:17">
      <c r="I269" s="48" t="e">
        <f t="shared" si="29"/>
        <v>#DIV/0!</v>
      </c>
      <c r="J269" s="13" t="e">
        <f t="shared" si="31"/>
        <v>#DIV/0!</v>
      </c>
      <c r="M269" s="145" t="e">
        <f t="shared" si="28"/>
        <v>#DIV/0!</v>
      </c>
      <c r="O269" s="13" t="e">
        <f t="shared" si="27"/>
        <v>#DIV/0!</v>
      </c>
      <c r="Q269" s="13" t="e">
        <f t="shared" si="30"/>
        <v>#DIV/0!</v>
      </c>
    </row>
    <row r="270" spans="9:17">
      <c r="I270" s="48" t="e">
        <f t="shared" si="29"/>
        <v>#DIV/0!</v>
      </c>
      <c r="J270" s="13" t="e">
        <f t="shared" si="31"/>
        <v>#DIV/0!</v>
      </c>
      <c r="M270" s="145" t="e">
        <f t="shared" ref="M270:M301" si="32">L270/I270</f>
        <v>#DIV/0!</v>
      </c>
      <c r="O270" s="13" t="e">
        <f t="shared" si="27"/>
        <v>#DIV/0!</v>
      </c>
      <c r="Q270" s="13" t="e">
        <f t="shared" si="30"/>
        <v>#DIV/0!</v>
      </c>
    </row>
    <row r="271" spans="9:17">
      <c r="I271" s="48" t="e">
        <f t="shared" si="29"/>
        <v>#DIV/0!</v>
      </c>
      <c r="J271" s="13" t="e">
        <f t="shared" si="31"/>
        <v>#DIV/0!</v>
      </c>
      <c r="M271" s="145" t="e">
        <f t="shared" si="32"/>
        <v>#DIV/0!</v>
      </c>
      <c r="O271" s="13" t="e">
        <f t="shared" si="27"/>
        <v>#DIV/0!</v>
      </c>
      <c r="Q271" s="13" t="e">
        <f t="shared" si="30"/>
        <v>#DIV/0!</v>
      </c>
    </row>
    <row r="272" spans="9:17">
      <c r="I272" s="48" t="e">
        <f t="shared" si="29"/>
        <v>#DIV/0!</v>
      </c>
      <c r="J272" s="13" t="e">
        <f t="shared" si="31"/>
        <v>#DIV/0!</v>
      </c>
      <c r="M272" s="145" t="e">
        <f t="shared" si="32"/>
        <v>#DIV/0!</v>
      </c>
      <c r="O272" s="13" t="e">
        <f t="shared" si="27"/>
        <v>#DIV/0!</v>
      </c>
      <c r="Q272" s="13" t="e">
        <f t="shared" si="30"/>
        <v>#DIV/0!</v>
      </c>
    </row>
    <row r="273" spans="9:17">
      <c r="I273" s="48" t="e">
        <f t="shared" si="29"/>
        <v>#DIV/0!</v>
      </c>
      <c r="J273" s="13" t="e">
        <f t="shared" si="31"/>
        <v>#DIV/0!</v>
      </c>
      <c r="M273" s="145" t="e">
        <f t="shared" si="32"/>
        <v>#DIV/0!</v>
      </c>
      <c r="O273" s="13" t="e">
        <f t="shared" si="27"/>
        <v>#DIV/0!</v>
      </c>
      <c r="Q273" s="13" t="e">
        <f t="shared" si="30"/>
        <v>#DIV/0!</v>
      </c>
    </row>
    <row r="274" spans="9:17">
      <c r="I274" s="48" t="e">
        <f t="shared" si="29"/>
        <v>#DIV/0!</v>
      </c>
      <c r="J274" s="13" t="e">
        <f t="shared" si="31"/>
        <v>#DIV/0!</v>
      </c>
      <c r="M274" s="145" t="e">
        <f t="shared" si="32"/>
        <v>#DIV/0!</v>
      </c>
      <c r="O274" s="13" t="e">
        <f t="shared" si="27"/>
        <v>#DIV/0!</v>
      </c>
      <c r="Q274" s="13" t="e">
        <f t="shared" si="30"/>
        <v>#DIV/0!</v>
      </c>
    </row>
    <row r="275" spans="9:17">
      <c r="I275" s="48" t="e">
        <f t="shared" si="29"/>
        <v>#DIV/0!</v>
      </c>
      <c r="J275" s="13" t="e">
        <f t="shared" si="31"/>
        <v>#DIV/0!</v>
      </c>
      <c r="M275" s="145" t="e">
        <f t="shared" si="32"/>
        <v>#DIV/0!</v>
      </c>
      <c r="O275" s="13" t="e">
        <f t="shared" si="27"/>
        <v>#DIV/0!</v>
      </c>
      <c r="Q275" s="13" t="e">
        <f t="shared" si="30"/>
        <v>#DIV/0!</v>
      </c>
    </row>
    <row r="276" spans="9:17">
      <c r="I276" s="48" t="e">
        <f t="shared" si="29"/>
        <v>#DIV/0!</v>
      </c>
      <c r="J276" s="13" t="e">
        <f t="shared" si="31"/>
        <v>#DIV/0!</v>
      </c>
      <c r="M276" s="145" t="e">
        <f t="shared" si="32"/>
        <v>#DIV/0!</v>
      </c>
      <c r="O276" s="13" t="e">
        <f t="shared" si="27"/>
        <v>#DIV/0!</v>
      </c>
      <c r="Q276" s="13" t="e">
        <f t="shared" si="30"/>
        <v>#DIV/0!</v>
      </c>
    </row>
    <row r="277" spans="9:17">
      <c r="I277" s="48" t="e">
        <f t="shared" si="29"/>
        <v>#DIV/0!</v>
      </c>
      <c r="J277" s="13" t="e">
        <f t="shared" si="31"/>
        <v>#DIV/0!</v>
      </c>
      <c r="M277" s="145" t="e">
        <f t="shared" si="32"/>
        <v>#DIV/0!</v>
      </c>
      <c r="O277" s="13" t="e">
        <f t="shared" si="27"/>
        <v>#DIV/0!</v>
      </c>
      <c r="Q277" s="13" t="e">
        <f t="shared" si="30"/>
        <v>#DIV/0!</v>
      </c>
    </row>
    <row r="278" spans="9:17">
      <c r="I278" s="48" t="e">
        <f t="shared" si="29"/>
        <v>#DIV/0!</v>
      </c>
      <c r="J278" s="13" t="e">
        <f t="shared" si="31"/>
        <v>#DIV/0!</v>
      </c>
      <c r="M278" s="145" t="e">
        <f t="shared" si="32"/>
        <v>#DIV/0!</v>
      </c>
      <c r="O278" s="13" t="e">
        <f t="shared" si="27"/>
        <v>#DIV/0!</v>
      </c>
      <c r="Q278" s="13" t="e">
        <f t="shared" si="30"/>
        <v>#DIV/0!</v>
      </c>
    </row>
    <row r="279" spans="9:17">
      <c r="I279" s="48" t="e">
        <f t="shared" si="29"/>
        <v>#DIV/0!</v>
      </c>
      <c r="J279" s="13" t="e">
        <f t="shared" si="31"/>
        <v>#DIV/0!</v>
      </c>
      <c r="M279" s="145" t="e">
        <f t="shared" si="32"/>
        <v>#DIV/0!</v>
      </c>
      <c r="O279" s="13" t="e">
        <f t="shared" si="27"/>
        <v>#DIV/0!</v>
      </c>
      <c r="Q279" s="13" t="e">
        <f t="shared" si="30"/>
        <v>#DIV/0!</v>
      </c>
    </row>
    <row r="280" spans="9:17">
      <c r="I280" s="48" t="e">
        <f t="shared" si="29"/>
        <v>#DIV/0!</v>
      </c>
      <c r="J280" s="13" t="e">
        <f t="shared" si="31"/>
        <v>#DIV/0!</v>
      </c>
      <c r="M280" s="145" t="e">
        <f t="shared" si="32"/>
        <v>#DIV/0!</v>
      </c>
      <c r="O280" s="13" t="e">
        <f t="shared" si="27"/>
        <v>#DIV/0!</v>
      </c>
      <c r="Q280" s="13" t="e">
        <f t="shared" si="30"/>
        <v>#DIV/0!</v>
      </c>
    </row>
    <row r="281" spans="9:17">
      <c r="I281" s="48" t="e">
        <f t="shared" si="29"/>
        <v>#DIV/0!</v>
      </c>
      <c r="J281" s="13" t="e">
        <f t="shared" si="31"/>
        <v>#DIV/0!</v>
      </c>
      <c r="M281" s="145" t="e">
        <f t="shared" si="32"/>
        <v>#DIV/0!</v>
      </c>
      <c r="O281" s="13" t="e">
        <f t="shared" si="27"/>
        <v>#DIV/0!</v>
      </c>
      <c r="Q281" s="13" t="e">
        <f t="shared" si="30"/>
        <v>#DIV/0!</v>
      </c>
    </row>
    <row r="282" spans="9:17">
      <c r="I282" s="48" t="e">
        <f t="shared" si="29"/>
        <v>#DIV/0!</v>
      </c>
      <c r="J282" s="13" t="e">
        <f t="shared" si="31"/>
        <v>#DIV/0!</v>
      </c>
      <c r="M282" s="145" t="e">
        <f t="shared" si="32"/>
        <v>#DIV/0!</v>
      </c>
      <c r="O282" s="13" t="e">
        <f t="shared" si="27"/>
        <v>#DIV/0!</v>
      </c>
      <c r="Q282" s="13" t="e">
        <f t="shared" si="30"/>
        <v>#DIV/0!</v>
      </c>
    </row>
    <row r="283" spans="9:17">
      <c r="I283" s="48" t="e">
        <f t="shared" si="29"/>
        <v>#DIV/0!</v>
      </c>
      <c r="J283" s="13" t="e">
        <f t="shared" si="31"/>
        <v>#DIV/0!</v>
      </c>
      <c r="M283" s="145" t="e">
        <f t="shared" si="32"/>
        <v>#DIV/0!</v>
      </c>
      <c r="O283" s="13" t="e">
        <f t="shared" si="27"/>
        <v>#DIV/0!</v>
      </c>
      <c r="Q283" s="13" t="e">
        <f t="shared" si="30"/>
        <v>#DIV/0!</v>
      </c>
    </row>
    <row r="284" spans="9:17">
      <c r="I284" s="48" t="e">
        <f t="shared" si="29"/>
        <v>#DIV/0!</v>
      </c>
      <c r="J284" s="13" t="e">
        <f t="shared" si="31"/>
        <v>#DIV/0!</v>
      </c>
      <c r="M284" s="145" t="e">
        <f t="shared" si="32"/>
        <v>#DIV/0!</v>
      </c>
      <c r="O284" s="13" t="e">
        <f t="shared" si="27"/>
        <v>#DIV/0!</v>
      </c>
      <c r="Q284" s="13" t="e">
        <f t="shared" si="30"/>
        <v>#DIV/0!</v>
      </c>
    </row>
    <row r="285" spans="9:17">
      <c r="I285" s="48" t="e">
        <f t="shared" si="29"/>
        <v>#DIV/0!</v>
      </c>
      <c r="J285" s="13" t="e">
        <f t="shared" si="31"/>
        <v>#DIV/0!</v>
      </c>
      <c r="M285" s="145" t="e">
        <f t="shared" si="32"/>
        <v>#DIV/0!</v>
      </c>
      <c r="O285" s="13" t="e">
        <f t="shared" si="27"/>
        <v>#DIV/0!</v>
      </c>
      <c r="Q285" s="13" t="e">
        <f t="shared" si="30"/>
        <v>#DIV/0!</v>
      </c>
    </row>
    <row r="286" spans="9:17">
      <c r="I286" s="48" t="e">
        <f t="shared" si="29"/>
        <v>#DIV/0!</v>
      </c>
      <c r="J286" s="13" t="e">
        <f t="shared" si="31"/>
        <v>#DIV/0!</v>
      </c>
      <c r="M286" s="145" t="e">
        <f t="shared" si="32"/>
        <v>#DIV/0!</v>
      </c>
      <c r="O286" s="13" t="e">
        <f t="shared" si="27"/>
        <v>#DIV/0!</v>
      </c>
      <c r="Q286" s="13" t="e">
        <f t="shared" si="30"/>
        <v>#DIV/0!</v>
      </c>
    </row>
    <row r="287" spans="9:17">
      <c r="I287" s="48" t="e">
        <f t="shared" ref="I287:I302" si="33">AVERAGE(F287:H287)/D287</f>
        <v>#DIV/0!</v>
      </c>
      <c r="J287" s="13" t="e">
        <f t="shared" si="31"/>
        <v>#DIV/0!</v>
      </c>
      <c r="M287" s="145" t="e">
        <f t="shared" si="32"/>
        <v>#DIV/0!</v>
      </c>
      <c r="O287" s="13" t="e">
        <f t="shared" si="27"/>
        <v>#DIV/0!</v>
      </c>
      <c r="Q287" s="13" t="e">
        <f t="shared" ref="Q287:Q302" si="34">J287-O287</f>
        <v>#DIV/0!</v>
      </c>
    </row>
    <row r="288" spans="9:17">
      <c r="I288" s="48" t="e">
        <f t="shared" si="33"/>
        <v>#DIV/0!</v>
      </c>
      <c r="J288" s="13" t="e">
        <f t="shared" si="31"/>
        <v>#DIV/0!</v>
      </c>
      <c r="M288" s="145" t="e">
        <f t="shared" si="32"/>
        <v>#DIV/0!</v>
      </c>
      <c r="O288" s="13" t="e">
        <f t="shared" si="27"/>
        <v>#DIV/0!</v>
      </c>
      <c r="Q288" s="13" t="e">
        <f t="shared" si="34"/>
        <v>#DIV/0!</v>
      </c>
    </row>
    <row r="289" spans="9:17">
      <c r="I289" s="48" t="e">
        <f t="shared" si="33"/>
        <v>#DIV/0!</v>
      </c>
      <c r="J289" s="13" t="e">
        <f t="shared" si="31"/>
        <v>#DIV/0!</v>
      </c>
      <c r="M289" s="145" t="e">
        <f t="shared" si="32"/>
        <v>#DIV/0!</v>
      </c>
      <c r="O289" s="13" t="e">
        <f t="shared" ref="O289:O302" si="35">N289*I289</f>
        <v>#DIV/0!</v>
      </c>
      <c r="Q289" s="13" t="e">
        <f t="shared" si="34"/>
        <v>#DIV/0!</v>
      </c>
    </row>
    <row r="290" spans="9:17">
      <c r="I290" s="48" t="e">
        <f t="shared" si="33"/>
        <v>#DIV/0!</v>
      </c>
      <c r="J290" s="13" t="e">
        <f t="shared" si="31"/>
        <v>#DIV/0!</v>
      </c>
      <c r="M290" s="145" t="e">
        <f t="shared" si="32"/>
        <v>#DIV/0!</v>
      </c>
      <c r="O290" s="13" t="e">
        <f t="shared" si="35"/>
        <v>#DIV/0!</v>
      </c>
      <c r="Q290" s="13" t="e">
        <f t="shared" si="34"/>
        <v>#DIV/0!</v>
      </c>
    </row>
    <row r="291" spans="9:17">
      <c r="I291" s="48" t="e">
        <f t="shared" si="33"/>
        <v>#DIV/0!</v>
      </c>
      <c r="J291" s="13" t="e">
        <f t="shared" si="31"/>
        <v>#DIV/0!</v>
      </c>
      <c r="M291" s="145" t="e">
        <f t="shared" si="32"/>
        <v>#DIV/0!</v>
      </c>
      <c r="O291" s="13" t="e">
        <f t="shared" si="35"/>
        <v>#DIV/0!</v>
      </c>
      <c r="Q291" s="13" t="e">
        <f t="shared" si="34"/>
        <v>#DIV/0!</v>
      </c>
    </row>
    <row r="292" spans="9:17">
      <c r="I292" s="48" t="e">
        <f t="shared" si="33"/>
        <v>#DIV/0!</v>
      </c>
      <c r="J292" s="13" t="e">
        <f t="shared" si="31"/>
        <v>#DIV/0!</v>
      </c>
      <c r="M292" s="145" t="e">
        <f t="shared" si="32"/>
        <v>#DIV/0!</v>
      </c>
      <c r="O292" s="13" t="e">
        <f t="shared" si="35"/>
        <v>#DIV/0!</v>
      </c>
      <c r="Q292" s="13" t="e">
        <f t="shared" si="34"/>
        <v>#DIV/0!</v>
      </c>
    </row>
    <row r="293" spans="9:17">
      <c r="I293" s="48" t="e">
        <f t="shared" si="33"/>
        <v>#DIV/0!</v>
      </c>
      <c r="J293" s="13" t="e">
        <f t="shared" si="31"/>
        <v>#DIV/0!</v>
      </c>
      <c r="M293" s="145" t="e">
        <f t="shared" si="32"/>
        <v>#DIV/0!</v>
      </c>
      <c r="O293" s="13" t="e">
        <f t="shared" si="35"/>
        <v>#DIV/0!</v>
      </c>
      <c r="Q293" s="13" t="e">
        <f t="shared" si="34"/>
        <v>#DIV/0!</v>
      </c>
    </row>
    <row r="294" spans="9:17">
      <c r="I294" s="48" t="e">
        <f t="shared" si="33"/>
        <v>#DIV/0!</v>
      </c>
      <c r="J294" s="13" t="e">
        <f t="shared" si="31"/>
        <v>#DIV/0!</v>
      </c>
      <c r="M294" s="145" t="e">
        <f t="shared" si="32"/>
        <v>#DIV/0!</v>
      </c>
      <c r="O294" s="13" t="e">
        <f t="shared" si="35"/>
        <v>#DIV/0!</v>
      </c>
      <c r="Q294" s="13" t="e">
        <f t="shared" si="34"/>
        <v>#DIV/0!</v>
      </c>
    </row>
    <row r="295" spans="9:17">
      <c r="I295" s="48" t="e">
        <f t="shared" si="33"/>
        <v>#DIV/0!</v>
      </c>
      <c r="J295" s="13" t="e">
        <f t="shared" si="31"/>
        <v>#DIV/0!</v>
      </c>
      <c r="M295" s="145" t="e">
        <f t="shared" si="32"/>
        <v>#DIV/0!</v>
      </c>
      <c r="O295" s="13" t="e">
        <f t="shared" si="35"/>
        <v>#DIV/0!</v>
      </c>
      <c r="Q295" s="13" t="e">
        <f t="shared" si="34"/>
        <v>#DIV/0!</v>
      </c>
    </row>
    <row r="296" spans="9:17">
      <c r="I296" s="48" t="e">
        <f t="shared" si="33"/>
        <v>#DIV/0!</v>
      </c>
      <c r="J296" s="13" t="e">
        <f t="shared" si="31"/>
        <v>#DIV/0!</v>
      </c>
      <c r="M296" s="145" t="e">
        <f t="shared" si="32"/>
        <v>#DIV/0!</v>
      </c>
      <c r="O296" s="13" t="e">
        <f t="shared" si="35"/>
        <v>#DIV/0!</v>
      </c>
      <c r="Q296" s="13" t="e">
        <f t="shared" si="34"/>
        <v>#DIV/0!</v>
      </c>
    </row>
    <row r="297" spans="9:17">
      <c r="I297" s="48" t="e">
        <f t="shared" si="33"/>
        <v>#DIV/0!</v>
      </c>
      <c r="J297" s="13" t="e">
        <f t="shared" si="31"/>
        <v>#DIV/0!</v>
      </c>
      <c r="M297" s="145" t="e">
        <f t="shared" si="32"/>
        <v>#DIV/0!</v>
      </c>
      <c r="O297" s="13" t="e">
        <f t="shared" si="35"/>
        <v>#DIV/0!</v>
      </c>
      <c r="Q297" s="13" t="e">
        <f t="shared" si="34"/>
        <v>#DIV/0!</v>
      </c>
    </row>
    <row r="298" spans="9:17">
      <c r="I298" s="48" t="e">
        <f t="shared" si="33"/>
        <v>#DIV/0!</v>
      </c>
      <c r="J298" s="13" t="e">
        <f t="shared" si="31"/>
        <v>#DIV/0!</v>
      </c>
      <c r="M298" s="145" t="e">
        <f t="shared" si="32"/>
        <v>#DIV/0!</v>
      </c>
      <c r="O298" s="13" t="e">
        <f t="shared" si="35"/>
        <v>#DIV/0!</v>
      </c>
      <c r="Q298" s="13" t="e">
        <f t="shared" si="34"/>
        <v>#DIV/0!</v>
      </c>
    </row>
    <row r="299" spans="9:17">
      <c r="I299" s="48" t="e">
        <f t="shared" si="33"/>
        <v>#DIV/0!</v>
      </c>
      <c r="J299" s="13" t="e">
        <f t="shared" si="31"/>
        <v>#DIV/0!</v>
      </c>
      <c r="M299" s="145" t="e">
        <f t="shared" si="32"/>
        <v>#DIV/0!</v>
      </c>
      <c r="O299" s="13" t="e">
        <f t="shared" si="35"/>
        <v>#DIV/0!</v>
      </c>
      <c r="Q299" s="13" t="e">
        <f t="shared" si="34"/>
        <v>#DIV/0!</v>
      </c>
    </row>
    <row r="300" spans="9:17">
      <c r="I300" s="48" t="e">
        <f t="shared" si="33"/>
        <v>#DIV/0!</v>
      </c>
      <c r="J300" s="13" t="e">
        <f t="shared" si="31"/>
        <v>#DIV/0!</v>
      </c>
      <c r="M300" s="145" t="e">
        <f t="shared" si="32"/>
        <v>#DIV/0!</v>
      </c>
      <c r="O300" s="13" t="e">
        <f t="shared" si="35"/>
        <v>#DIV/0!</v>
      </c>
      <c r="Q300" s="13" t="e">
        <f t="shared" si="34"/>
        <v>#DIV/0!</v>
      </c>
    </row>
    <row r="301" spans="9:17">
      <c r="I301" s="48" t="e">
        <f t="shared" si="33"/>
        <v>#DIV/0!</v>
      </c>
      <c r="J301" s="13" t="e">
        <f t="shared" si="31"/>
        <v>#DIV/0!</v>
      </c>
      <c r="M301" s="145" t="e">
        <f t="shared" si="32"/>
        <v>#DIV/0!</v>
      </c>
      <c r="O301" s="13" t="e">
        <f t="shared" si="35"/>
        <v>#DIV/0!</v>
      </c>
      <c r="Q301" s="13" t="e">
        <f t="shared" si="34"/>
        <v>#DIV/0!</v>
      </c>
    </row>
    <row r="302" spans="9:17">
      <c r="I302" s="48" t="e">
        <f t="shared" si="33"/>
        <v>#DIV/0!</v>
      </c>
      <c r="J302" s="13" t="e">
        <f t="shared" si="31"/>
        <v>#DIV/0!</v>
      </c>
      <c r="M302" s="145" t="e">
        <f t="shared" ref="M302" si="36">L302/I302</f>
        <v>#DIV/0!</v>
      </c>
      <c r="O302" s="13" t="e">
        <f t="shared" si="35"/>
        <v>#DIV/0!</v>
      </c>
      <c r="Q302" s="13" t="e">
        <f t="shared" si="34"/>
        <v>#DIV/0!</v>
      </c>
    </row>
  </sheetData>
  <sortState ref="A2:U301">
    <sortCondition ref="A2:A301"/>
  </sortState>
  <dataValidations count="1">
    <dataValidation type="list" allowBlank="1" showInputMessage="1" showErrorMessage="1" promptTitle="Treatment Group" sqref="B1:B141">
      <formula1>$B$4:$B$27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reatment Group">
          <x14:formula1>
            <xm:f>'Total Larvae to Date'!$A$28:$A$51</xm:f>
          </x14:formula1>
          <xm:sqref>B143:B179 B183:B1048576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9"/>
  <sheetViews>
    <sheetView showRuler="0" zoomScale="90" zoomScaleNormal="90" zoomScalePageLayoutView="90" workbookViewId="0">
      <pane ySplit="1140" activePane="bottomLeft"/>
      <selection activeCell="J152" sqref="J152"/>
      <selection pane="bottomLeft" activeCell="J152" sqref="J152"/>
    </sheetView>
  </sheetViews>
  <sheetFormatPr baseColWidth="10" defaultRowHeight="15" x14ac:dyDescent="0"/>
  <cols>
    <col min="1" max="1" width="11.6640625" bestFit="1" customWidth="1"/>
    <col min="2" max="2" width="12.1640625" style="30" hidden="1" customWidth="1"/>
    <col min="3" max="3" width="26.6640625" style="30" hidden="1" customWidth="1"/>
    <col min="4" max="4" width="15.1640625" customWidth="1"/>
    <col min="5" max="5" width="10.83203125" hidden="1" customWidth="1"/>
    <col min="6" max="6" width="10.83203125" style="1" hidden="1" customWidth="1"/>
    <col min="7" max="7" width="13.33203125" hidden="1" customWidth="1"/>
    <col min="8" max="15" width="10.83203125" hidden="1" customWidth="1"/>
    <col min="16" max="17" width="16.33203125" style="17" customWidth="1"/>
    <col min="18" max="18" width="19.83203125" style="105" hidden="1" customWidth="1"/>
    <col min="19" max="19" width="16.33203125" style="104" hidden="1" customWidth="1"/>
    <col min="20" max="20" width="11.6640625" hidden="1" customWidth="1"/>
    <col min="21" max="21" width="22.1640625" hidden="1" customWidth="1"/>
    <col min="22" max="22" width="16.33203125" hidden="1" customWidth="1"/>
    <col min="23" max="23" width="26.1640625" hidden="1" customWidth="1"/>
    <col min="24" max="24" width="12" hidden="1" customWidth="1"/>
    <col min="25" max="25" width="13.1640625" style="1" customWidth="1"/>
    <col min="26" max="26" width="14.1640625" style="367" customWidth="1"/>
    <col min="27" max="27" width="15.6640625" style="17" customWidth="1"/>
    <col min="28" max="28" width="18.83203125" style="17" customWidth="1"/>
    <col min="29" max="29" width="16.1640625" customWidth="1"/>
  </cols>
  <sheetData>
    <row r="1" spans="1:31" s="15" customFormat="1" ht="50" customHeight="1" thickBot="1">
      <c r="A1" s="15" t="s">
        <v>80</v>
      </c>
      <c r="B1" s="15" t="s">
        <v>82</v>
      </c>
      <c r="C1" s="15" t="s">
        <v>160</v>
      </c>
      <c r="D1" s="15" t="s">
        <v>1</v>
      </c>
      <c r="E1" s="15" t="s">
        <v>2</v>
      </c>
      <c r="F1" s="15" t="s">
        <v>68</v>
      </c>
      <c r="G1" s="15" t="s">
        <v>204</v>
      </c>
      <c r="H1" s="15" t="s">
        <v>4</v>
      </c>
      <c r="I1" s="15" t="s">
        <v>141</v>
      </c>
      <c r="J1" s="15" t="s">
        <v>142</v>
      </c>
      <c r="K1" s="15" t="s">
        <v>143</v>
      </c>
      <c r="L1" s="15" t="s">
        <v>144</v>
      </c>
      <c r="M1" s="15" t="s">
        <v>145</v>
      </c>
      <c r="N1" s="15" t="s">
        <v>146</v>
      </c>
      <c r="P1" s="116" t="s">
        <v>162</v>
      </c>
      <c r="Q1" s="116" t="s">
        <v>214</v>
      </c>
      <c r="R1" s="166" t="s">
        <v>215</v>
      </c>
      <c r="S1" s="166" t="s">
        <v>219</v>
      </c>
      <c r="T1" s="15" t="s">
        <v>81</v>
      </c>
      <c r="U1" s="15" t="s">
        <v>205</v>
      </c>
      <c r="V1" s="15" t="s">
        <v>69</v>
      </c>
      <c r="W1" s="15" t="s">
        <v>356</v>
      </c>
      <c r="Y1" s="348" t="s">
        <v>1</v>
      </c>
      <c r="Z1" s="353" t="s">
        <v>367</v>
      </c>
      <c r="AA1" s="116" t="s">
        <v>368</v>
      </c>
      <c r="AB1" s="116" t="s">
        <v>398</v>
      </c>
      <c r="AC1" s="15" t="s">
        <v>366</v>
      </c>
      <c r="AD1" s="15" t="s">
        <v>369</v>
      </c>
    </row>
    <row r="2" spans="1:31" s="19" customFormat="1">
      <c r="A2" s="18">
        <v>42878</v>
      </c>
      <c r="B2" s="56"/>
      <c r="C2" s="56"/>
      <c r="D2" s="19" t="s">
        <v>46</v>
      </c>
      <c r="E2" s="19">
        <v>1</v>
      </c>
      <c r="F2" s="20">
        <v>140</v>
      </c>
      <c r="G2" s="19">
        <v>1</v>
      </c>
      <c r="H2" s="19">
        <v>100</v>
      </c>
      <c r="I2" s="19">
        <v>67</v>
      </c>
      <c r="K2" s="19">
        <v>55</v>
      </c>
      <c r="M2" s="19">
        <v>68</v>
      </c>
      <c r="P2" s="117">
        <f t="shared" ref="P2:P34" si="0">(AVERAGE(I2:M2)/G2)*H2</f>
        <v>6333.3333333333339</v>
      </c>
      <c r="Q2" s="117"/>
      <c r="R2" s="167"/>
      <c r="S2" s="176"/>
      <c r="U2" s="21">
        <f>SUM(P2:P4)</f>
        <v>55333.333333333343</v>
      </c>
      <c r="V2" s="21" t="e">
        <f>(200000-U2)/#REF!</f>
        <v>#REF!</v>
      </c>
      <c r="Y2" s="20" t="str">
        <f>D2</f>
        <v>K-6 Low</v>
      </c>
      <c r="Z2" s="354"/>
      <c r="AA2" s="117"/>
      <c r="AB2" s="117"/>
      <c r="AE2" s="386"/>
    </row>
    <row r="3" spans="1:31" s="23" customFormat="1">
      <c r="A3" s="22">
        <v>42878</v>
      </c>
      <c r="B3" s="57"/>
      <c r="C3" s="57"/>
      <c r="D3" s="23" t="s">
        <v>46</v>
      </c>
      <c r="E3" s="23">
        <v>1</v>
      </c>
      <c r="F3" s="24">
        <v>100</v>
      </c>
      <c r="G3" s="23">
        <v>1</v>
      </c>
      <c r="H3" s="23">
        <v>100</v>
      </c>
      <c r="I3" s="23">
        <v>28</v>
      </c>
      <c r="K3" s="23">
        <v>18</v>
      </c>
      <c r="M3" s="23">
        <v>24</v>
      </c>
      <c r="P3" s="118">
        <f t="shared" si="0"/>
        <v>2333.333333333333</v>
      </c>
      <c r="Q3" s="118"/>
      <c r="R3" s="168"/>
      <c r="S3" s="177"/>
      <c r="U3" s="25" t="s">
        <v>70</v>
      </c>
      <c r="V3" s="25" t="e">
        <f>(200000-U3)/#REF!</f>
        <v>#VALUE!</v>
      </c>
      <c r="Y3" s="24" t="str">
        <f t="shared" ref="Y3:Y17" si="1">D3</f>
        <v>K-6 Low</v>
      </c>
      <c r="Z3" s="355"/>
      <c r="AA3" s="118"/>
      <c r="AB3" s="118"/>
      <c r="AE3" s="387"/>
    </row>
    <row r="4" spans="1:31" s="23" customFormat="1">
      <c r="A4" s="22">
        <v>42878</v>
      </c>
      <c r="B4" s="57"/>
      <c r="C4" s="57"/>
      <c r="D4" s="23" t="s">
        <v>46</v>
      </c>
      <c r="E4" s="23">
        <v>1</v>
      </c>
      <c r="F4" s="24">
        <v>120</v>
      </c>
      <c r="G4" s="23">
        <v>0.5</v>
      </c>
      <c r="H4" s="23">
        <v>200</v>
      </c>
      <c r="I4" s="23">
        <v>111</v>
      </c>
      <c r="K4" s="23">
        <v>114</v>
      </c>
      <c r="M4" s="23">
        <v>125</v>
      </c>
      <c r="P4" s="118">
        <f t="shared" si="0"/>
        <v>46666.666666666672</v>
      </c>
      <c r="Q4" s="118"/>
      <c r="R4" s="168"/>
      <c r="S4" s="177"/>
      <c r="U4" s="25" t="s">
        <v>70</v>
      </c>
      <c r="V4" s="25" t="e">
        <f>(200000-U4)/#REF!</f>
        <v>#VALUE!</v>
      </c>
      <c r="Y4" s="24" t="str">
        <f t="shared" si="1"/>
        <v>K-6 Low</v>
      </c>
      <c r="Z4" s="355"/>
      <c r="AA4" s="118"/>
      <c r="AB4" s="118"/>
      <c r="AE4" s="387"/>
    </row>
    <row r="5" spans="1:31" s="23" customFormat="1">
      <c r="A5" s="22">
        <v>42878</v>
      </c>
      <c r="B5" s="57"/>
      <c r="C5" s="57"/>
      <c r="D5" s="23" t="s">
        <v>71</v>
      </c>
      <c r="E5" s="23">
        <v>1</v>
      </c>
      <c r="F5" s="24">
        <v>140</v>
      </c>
      <c r="G5" s="23">
        <v>0.5</v>
      </c>
      <c r="H5" s="23">
        <v>200</v>
      </c>
      <c r="I5" s="23">
        <v>118</v>
      </c>
      <c r="K5" s="23">
        <v>95</v>
      </c>
      <c r="M5" s="23">
        <v>88</v>
      </c>
      <c r="P5" s="118">
        <f t="shared" si="0"/>
        <v>40133.333333333328</v>
      </c>
      <c r="Q5" s="118"/>
      <c r="R5" s="168"/>
      <c r="S5" s="177"/>
      <c r="U5" s="25">
        <f>SUM(P5:P7)</f>
        <v>124133.33333333333</v>
      </c>
      <c r="V5" s="25" t="e">
        <f>(200000-U5)/#REF!</f>
        <v>#REF!</v>
      </c>
      <c r="Y5" s="24" t="str">
        <f t="shared" si="1"/>
        <v>K-10 Amb</v>
      </c>
      <c r="Z5" s="355"/>
      <c r="AA5" s="118"/>
      <c r="AB5" s="118"/>
      <c r="AE5" s="387"/>
    </row>
    <row r="6" spans="1:31" s="23" customFormat="1">
      <c r="A6" s="22">
        <v>42878</v>
      </c>
      <c r="B6" s="57"/>
      <c r="C6" s="57"/>
      <c r="D6" s="23" t="s">
        <v>71</v>
      </c>
      <c r="E6" s="23">
        <v>1</v>
      </c>
      <c r="F6" s="24">
        <v>120</v>
      </c>
      <c r="G6" s="23">
        <v>0.5</v>
      </c>
      <c r="H6" s="23">
        <v>200</v>
      </c>
      <c r="I6" s="23">
        <v>161</v>
      </c>
      <c r="K6" s="23">
        <v>153</v>
      </c>
      <c r="M6" s="23">
        <v>295</v>
      </c>
      <c r="P6" s="118">
        <f t="shared" si="0"/>
        <v>81200</v>
      </c>
      <c r="Q6" s="118"/>
      <c r="R6" s="168"/>
      <c r="S6" s="177"/>
      <c r="U6" s="25" t="s">
        <v>70</v>
      </c>
      <c r="V6" s="25" t="e">
        <f>(200000-U6)/#REF!</f>
        <v>#VALUE!</v>
      </c>
      <c r="Y6" s="24" t="str">
        <f t="shared" si="1"/>
        <v>K-10 Amb</v>
      </c>
      <c r="Z6" s="355"/>
      <c r="AA6" s="118"/>
      <c r="AB6" s="118"/>
      <c r="AE6" s="387"/>
    </row>
    <row r="7" spans="1:31" s="23" customFormat="1">
      <c r="A7" s="22">
        <v>42878</v>
      </c>
      <c r="B7" s="57"/>
      <c r="C7" s="57"/>
      <c r="D7" s="23" t="s">
        <v>71</v>
      </c>
      <c r="E7" s="23">
        <v>1</v>
      </c>
      <c r="F7" s="24">
        <v>100</v>
      </c>
      <c r="G7" s="23">
        <v>1</v>
      </c>
      <c r="H7" s="23">
        <v>200</v>
      </c>
      <c r="I7" s="23">
        <v>12</v>
      </c>
      <c r="K7" s="23">
        <v>18</v>
      </c>
      <c r="M7" s="23">
        <v>12</v>
      </c>
      <c r="P7" s="118">
        <f t="shared" si="0"/>
        <v>2800</v>
      </c>
      <c r="Q7" s="118"/>
      <c r="R7" s="168"/>
      <c r="S7" s="177"/>
      <c r="U7" s="25" t="s">
        <v>70</v>
      </c>
      <c r="V7" s="25" t="e">
        <f>(200000-U7)/#REF!</f>
        <v>#VALUE!</v>
      </c>
      <c r="Y7" s="24" t="str">
        <f t="shared" si="1"/>
        <v>K-10 Amb</v>
      </c>
      <c r="Z7" s="355"/>
      <c r="AA7" s="118"/>
      <c r="AB7" s="118"/>
      <c r="AE7" s="387"/>
    </row>
    <row r="8" spans="1:31" s="23" customFormat="1">
      <c r="A8" s="22">
        <v>42878</v>
      </c>
      <c r="B8" s="57">
        <v>16</v>
      </c>
      <c r="C8" s="57"/>
      <c r="D8" s="23" t="s">
        <v>72</v>
      </c>
      <c r="E8" s="23">
        <v>1</v>
      </c>
      <c r="F8" s="24">
        <v>140</v>
      </c>
      <c r="G8" s="23">
        <v>1</v>
      </c>
      <c r="H8" s="23">
        <v>200</v>
      </c>
      <c r="I8" s="23">
        <v>6</v>
      </c>
      <c r="K8" s="23">
        <v>4</v>
      </c>
      <c r="M8" s="23">
        <v>2</v>
      </c>
      <c r="P8" s="118">
        <f t="shared" si="0"/>
        <v>800</v>
      </c>
      <c r="Q8" s="118"/>
      <c r="R8" s="168"/>
      <c r="S8" s="177"/>
      <c r="U8" s="25">
        <f>SUM(P8:P10)</f>
        <v>35533.333333333336</v>
      </c>
      <c r="V8" s="25" t="e">
        <f>(200000-U8)/#REF!</f>
        <v>#REF!</v>
      </c>
      <c r="Y8" s="24" t="str">
        <f t="shared" si="1"/>
        <v>SN-6 Amb</v>
      </c>
      <c r="Z8" s="355"/>
      <c r="AA8" s="118"/>
      <c r="AB8" s="118"/>
      <c r="AE8" s="387"/>
    </row>
    <row r="9" spans="1:31" s="23" customFormat="1">
      <c r="A9" s="22">
        <v>42878</v>
      </c>
      <c r="B9" s="57"/>
      <c r="C9" s="57"/>
      <c r="D9" s="23" t="s">
        <v>72</v>
      </c>
      <c r="E9" s="23">
        <v>1</v>
      </c>
      <c r="F9" s="24">
        <v>120</v>
      </c>
      <c r="G9" s="23">
        <v>1</v>
      </c>
      <c r="H9" s="23">
        <v>200</v>
      </c>
      <c r="I9" s="23">
        <v>18</v>
      </c>
      <c r="K9" s="23">
        <v>32</v>
      </c>
      <c r="M9" s="23">
        <v>29</v>
      </c>
      <c r="P9" s="118">
        <f t="shared" si="0"/>
        <v>5266.6666666666661</v>
      </c>
      <c r="Q9" s="118"/>
      <c r="R9" s="168"/>
      <c r="S9" s="177"/>
      <c r="U9" s="25" t="s">
        <v>70</v>
      </c>
      <c r="V9" s="25" t="e">
        <f>(200000-U9)/#REF!</f>
        <v>#VALUE!</v>
      </c>
      <c r="Y9" s="24" t="str">
        <f t="shared" si="1"/>
        <v>SN-6 Amb</v>
      </c>
      <c r="Z9" s="355"/>
      <c r="AA9" s="118"/>
      <c r="AB9" s="118"/>
      <c r="AE9" s="387"/>
    </row>
    <row r="10" spans="1:31" s="23" customFormat="1">
      <c r="A10" s="22">
        <v>42878</v>
      </c>
      <c r="B10" s="57"/>
      <c r="C10" s="57"/>
      <c r="D10" s="23" t="s">
        <v>72</v>
      </c>
      <c r="E10" s="23">
        <v>1</v>
      </c>
      <c r="F10" s="24">
        <v>100</v>
      </c>
      <c r="G10" s="23">
        <v>0.5</v>
      </c>
      <c r="H10" s="23">
        <v>200</v>
      </c>
      <c r="I10" s="23">
        <v>79</v>
      </c>
      <c r="K10" s="23">
        <v>64</v>
      </c>
      <c r="M10" s="23">
        <v>78</v>
      </c>
      <c r="P10" s="118">
        <f t="shared" si="0"/>
        <v>29466.666666666668</v>
      </c>
      <c r="Q10" s="118"/>
      <c r="R10" s="168"/>
      <c r="S10" s="177"/>
      <c r="T10" s="23">
        <v>16</v>
      </c>
      <c r="U10" s="25" t="s">
        <v>70</v>
      </c>
      <c r="V10" s="25" t="e">
        <f>(200000-U10)/#REF!</f>
        <v>#VALUE!</v>
      </c>
      <c r="Y10" s="24" t="str">
        <f t="shared" si="1"/>
        <v>SN-6 Amb</v>
      </c>
      <c r="Z10" s="355"/>
      <c r="AA10" s="118"/>
      <c r="AB10" s="118"/>
      <c r="AE10" s="387"/>
    </row>
    <row r="11" spans="1:31" s="23" customFormat="1">
      <c r="A11" s="22">
        <v>42878</v>
      </c>
      <c r="B11" s="57">
        <v>5</v>
      </c>
      <c r="C11" s="57"/>
      <c r="D11" s="23" t="s">
        <v>73</v>
      </c>
      <c r="E11" s="23">
        <v>1</v>
      </c>
      <c r="F11" s="24">
        <v>100</v>
      </c>
      <c r="G11" s="23">
        <v>0.5</v>
      </c>
      <c r="H11" s="23">
        <v>800</v>
      </c>
      <c r="I11" s="23">
        <v>103</v>
      </c>
      <c r="K11" s="23">
        <v>88</v>
      </c>
      <c r="M11" s="23">
        <v>82</v>
      </c>
      <c r="P11" s="118">
        <f t="shared" si="0"/>
        <v>145600</v>
      </c>
      <c r="Q11" s="118"/>
      <c r="R11" s="168"/>
      <c r="S11" s="177"/>
      <c r="T11" s="23">
        <v>5</v>
      </c>
      <c r="U11" s="25">
        <f>P11</f>
        <v>145600</v>
      </c>
      <c r="V11" s="25" t="e">
        <f>(200000-U11)/#REF!</f>
        <v>#REF!</v>
      </c>
      <c r="Y11" s="24" t="str">
        <f t="shared" si="1"/>
        <v>SN-10 Amb</v>
      </c>
      <c r="Z11" s="355"/>
      <c r="AA11" s="118"/>
      <c r="AB11" s="118"/>
      <c r="AE11" s="387"/>
    </row>
    <row r="12" spans="1:31" s="23" customFormat="1">
      <c r="A12" s="22">
        <v>42878</v>
      </c>
      <c r="B12" s="57">
        <v>7</v>
      </c>
      <c r="C12" s="57"/>
      <c r="D12" s="23" t="s">
        <v>74</v>
      </c>
      <c r="E12" s="23">
        <v>1</v>
      </c>
      <c r="F12" s="24">
        <v>100</v>
      </c>
      <c r="G12" s="23">
        <v>0.5</v>
      </c>
      <c r="H12" s="23">
        <v>900</v>
      </c>
      <c r="I12" s="23">
        <v>108</v>
      </c>
      <c r="K12" s="23">
        <v>86</v>
      </c>
      <c r="M12" s="23">
        <v>121</v>
      </c>
      <c r="P12" s="118">
        <f t="shared" si="0"/>
        <v>189000</v>
      </c>
      <c r="Q12" s="118"/>
      <c r="R12" s="168"/>
      <c r="S12" s="177"/>
      <c r="T12" s="23">
        <v>7</v>
      </c>
      <c r="U12" s="25">
        <f>P12</f>
        <v>189000</v>
      </c>
      <c r="V12" s="25" t="e">
        <f>(200000-U12)/#REF!</f>
        <v>#REF!</v>
      </c>
      <c r="Y12" s="24" t="str">
        <f t="shared" si="1"/>
        <v>SN-10 Low</v>
      </c>
      <c r="Z12" s="355"/>
      <c r="AA12" s="118"/>
      <c r="AB12" s="118"/>
      <c r="AE12" s="387"/>
    </row>
    <row r="13" spans="1:31" s="23" customFormat="1">
      <c r="A13" s="22">
        <v>42878</v>
      </c>
      <c r="B13" s="57">
        <v>12</v>
      </c>
      <c r="C13" s="57"/>
      <c r="D13" s="23" t="s">
        <v>76</v>
      </c>
      <c r="E13" s="23">
        <v>1</v>
      </c>
      <c r="F13" s="24">
        <v>100</v>
      </c>
      <c r="G13" s="23">
        <v>0.5</v>
      </c>
      <c r="H13" s="23">
        <v>800</v>
      </c>
      <c r="I13" s="23">
        <v>20</v>
      </c>
      <c r="K13" s="23">
        <v>31</v>
      </c>
      <c r="M13" s="23">
        <v>42</v>
      </c>
      <c r="P13" s="118">
        <f t="shared" si="0"/>
        <v>49600</v>
      </c>
      <c r="Q13" s="118"/>
      <c r="R13" s="168"/>
      <c r="S13" s="177"/>
      <c r="T13" s="23">
        <v>12</v>
      </c>
      <c r="U13" s="25">
        <f>P13</f>
        <v>49600</v>
      </c>
      <c r="V13" s="25" t="e">
        <f>(200000-U13)/#REF!</f>
        <v>#REF!</v>
      </c>
      <c r="Y13" s="24" t="str">
        <f t="shared" si="1"/>
        <v xml:space="preserve">NF-10 Low </v>
      </c>
      <c r="Z13" s="355"/>
      <c r="AA13" s="118"/>
      <c r="AB13" s="118"/>
      <c r="AE13" s="387"/>
    </row>
    <row r="14" spans="1:31" s="23" customFormat="1">
      <c r="A14" s="22">
        <v>42878</v>
      </c>
      <c r="B14" s="57">
        <v>13</v>
      </c>
      <c r="C14" s="57"/>
      <c r="D14" s="23" t="s">
        <v>77</v>
      </c>
      <c r="E14" s="23">
        <v>1</v>
      </c>
      <c r="F14" s="24">
        <v>100</v>
      </c>
      <c r="G14" s="23">
        <v>0.5</v>
      </c>
      <c r="H14" s="23">
        <v>700</v>
      </c>
      <c r="I14" s="23">
        <v>90</v>
      </c>
      <c r="K14" s="23">
        <v>95</v>
      </c>
      <c r="M14" s="23">
        <v>106</v>
      </c>
      <c r="P14" s="118">
        <f t="shared" si="0"/>
        <v>135800</v>
      </c>
      <c r="Q14" s="118"/>
      <c r="R14" s="168"/>
      <c r="S14" s="177"/>
      <c r="T14" s="23">
        <v>13</v>
      </c>
      <c r="U14" s="25">
        <f>P14+U15</f>
        <v>135800</v>
      </c>
      <c r="V14" s="25" t="e">
        <f>(200000-U14)/#REF!</f>
        <v>#REF!</v>
      </c>
      <c r="Y14" s="24" t="str">
        <f t="shared" si="1"/>
        <v>SN-6 Low</v>
      </c>
      <c r="Z14" s="355"/>
      <c r="AA14" s="118"/>
      <c r="AB14" s="118"/>
      <c r="AE14" s="387"/>
    </row>
    <row r="15" spans="1:31" s="23" customFormat="1">
      <c r="A15" s="22">
        <v>42878</v>
      </c>
      <c r="B15" s="57">
        <v>3</v>
      </c>
      <c r="C15" s="57"/>
      <c r="D15" s="23" t="s">
        <v>77</v>
      </c>
      <c r="E15" s="23">
        <v>1</v>
      </c>
      <c r="F15" s="24">
        <v>100</v>
      </c>
      <c r="G15" s="23">
        <v>0.5</v>
      </c>
      <c r="H15" s="23">
        <v>300</v>
      </c>
      <c r="I15" s="23">
        <v>23</v>
      </c>
      <c r="K15" s="23">
        <v>12</v>
      </c>
      <c r="M15" s="23">
        <v>15</v>
      </c>
      <c r="P15" s="118">
        <f t="shared" si="0"/>
        <v>10000</v>
      </c>
      <c r="Q15" s="118"/>
      <c r="R15" s="168"/>
      <c r="S15" s="177"/>
      <c r="T15" s="23">
        <v>13</v>
      </c>
      <c r="U15" s="25"/>
      <c r="V15" s="25"/>
      <c r="Y15" s="24" t="str">
        <f t="shared" si="1"/>
        <v>SN-6 Low</v>
      </c>
      <c r="Z15" s="355"/>
      <c r="AA15" s="118"/>
      <c r="AB15" s="118"/>
      <c r="AE15" s="387"/>
    </row>
    <row r="16" spans="1:31" s="23" customFormat="1">
      <c r="A16" s="22">
        <v>42878</v>
      </c>
      <c r="B16" s="57">
        <v>11</v>
      </c>
      <c r="C16" s="57"/>
      <c r="D16" s="23" t="s">
        <v>78</v>
      </c>
      <c r="E16" s="23">
        <v>1</v>
      </c>
      <c r="F16" s="24">
        <v>100</v>
      </c>
      <c r="G16" s="23">
        <v>0.5</v>
      </c>
      <c r="H16" s="23">
        <v>500</v>
      </c>
      <c r="I16" s="23">
        <v>110</v>
      </c>
      <c r="K16" s="23">
        <v>135</v>
      </c>
      <c r="M16" s="23">
        <v>120</v>
      </c>
      <c r="P16" s="118">
        <f t="shared" si="0"/>
        <v>121666.66666666667</v>
      </c>
      <c r="Q16" s="118"/>
      <c r="R16" s="168"/>
      <c r="S16" s="177"/>
      <c r="T16" s="23">
        <v>11</v>
      </c>
      <c r="U16" s="25">
        <f>P16</f>
        <v>121666.66666666667</v>
      </c>
      <c r="V16" s="25" t="e">
        <f>(200000-U16)/#REF!</f>
        <v>#REF!</v>
      </c>
      <c r="Y16" s="24" t="str">
        <f t="shared" si="1"/>
        <v xml:space="preserve">SN-10 Amb </v>
      </c>
      <c r="Z16" s="355"/>
      <c r="AA16" s="118"/>
      <c r="AB16" s="118"/>
      <c r="AE16" s="387"/>
    </row>
    <row r="17" spans="1:31" s="23" customFormat="1">
      <c r="A17" s="22">
        <v>42878</v>
      </c>
      <c r="B17" s="57"/>
      <c r="C17" s="57"/>
      <c r="D17" s="23" t="s">
        <v>20</v>
      </c>
      <c r="E17" s="23">
        <v>3</v>
      </c>
      <c r="F17" s="24">
        <v>100</v>
      </c>
      <c r="G17" s="23">
        <v>0.5</v>
      </c>
      <c r="H17" s="23">
        <v>300</v>
      </c>
      <c r="I17" s="23">
        <v>26</v>
      </c>
      <c r="K17" s="23">
        <v>25</v>
      </c>
      <c r="M17" s="23">
        <v>26</v>
      </c>
      <c r="P17" s="118">
        <f t="shared" si="0"/>
        <v>15400</v>
      </c>
      <c r="Q17" s="118"/>
      <c r="R17" s="168"/>
      <c r="S17" s="177"/>
      <c r="U17" s="25">
        <f>P17</f>
        <v>15400</v>
      </c>
      <c r="V17" s="25" t="e">
        <f>(200000-U17)/#REF!</f>
        <v>#REF!</v>
      </c>
      <c r="Y17" s="24" t="str">
        <f t="shared" si="1"/>
        <v>K-10 Low</v>
      </c>
      <c r="Z17" s="355"/>
      <c r="AA17" s="118"/>
      <c r="AB17" s="118"/>
      <c r="AE17" s="387"/>
    </row>
    <row r="18" spans="1:31" s="23" customFormat="1">
      <c r="A18" s="22">
        <v>42878</v>
      </c>
      <c r="B18" s="57"/>
      <c r="C18" s="57"/>
      <c r="D18" s="23" t="s">
        <v>79</v>
      </c>
      <c r="E18" s="23">
        <v>3</v>
      </c>
      <c r="F18" s="24">
        <v>100</v>
      </c>
      <c r="G18" s="23">
        <v>0.5</v>
      </c>
      <c r="H18" s="23">
        <v>500</v>
      </c>
      <c r="I18" s="23">
        <v>69</v>
      </c>
      <c r="K18" s="23">
        <v>108</v>
      </c>
      <c r="M18" s="23">
        <v>70</v>
      </c>
      <c r="P18" s="118">
        <f t="shared" si="0"/>
        <v>82333.333333333328</v>
      </c>
      <c r="Q18" s="118"/>
      <c r="R18" s="168"/>
      <c r="S18" s="177"/>
      <c r="U18" s="25">
        <f>P18</f>
        <v>82333.333333333328</v>
      </c>
      <c r="V18" s="25" t="e">
        <f>(200000-U18)/#REF!</f>
        <v>#REF!</v>
      </c>
      <c r="Y18" s="24" t="str">
        <f>D18</f>
        <v xml:space="preserve">K-6 Amb </v>
      </c>
      <c r="Z18" s="355"/>
      <c r="AA18" s="118"/>
      <c r="AB18" s="118"/>
      <c r="AE18" s="387"/>
    </row>
    <row r="19" spans="1:31" s="27" customFormat="1" ht="16" thickBot="1">
      <c r="A19" s="26">
        <v>42878</v>
      </c>
      <c r="B19" s="58">
        <v>8</v>
      </c>
      <c r="C19" s="58"/>
      <c r="D19" s="27" t="s">
        <v>100</v>
      </c>
      <c r="F19" s="28"/>
      <c r="I19" s="27">
        <v>0</v>
      </c>
      <c r="K19" s="27">
        <v>0</v>
      </c>
      <c r="M19" s="27">
        <v>0</v>
      </c>
      <c r="P19" s="119" t="e">
        <f>(AVERAGE(I19:M19)/G19)*H19</f>
        <v>#DIV/0!</v>
      </c>
      <c r="Q19" s="119"/>
      <c r="R19" s="169"/>
      <c r="S19" s="178"/>
      <c r="U19" s="29"/>
      <c r="V19" s="29"/>
      <c r="Y19" s="28" t="str">
        <f>D19</f>
        <v>NF-6 Amb</v>
      </c>
      <c r="Z19" s="356"/>
      <c r="AA19" s="119"/>
      <c r="AB19" s="119"/>
      <c r="AE19" s="388"/>
    </row>
    <row r="20" spans="1:31" s="19" customFormat="1">
      <c r="A20" s="18">
        <v>42881</v>
      </c>
      <c r="B20" s="56">
        <v>11</v>
      </c>
      <c r="C20" s="56"/>
      <c r="D20" s="19" t="s">
        <v>78</v>
      </c>
      <c r="E20" s="19">
        <v>3</v>
      </c>
      <c r="F20" s="20">
        <v>100</v>
      </c>
      <c r="G20" s="19">
        <v>0.5</v>
      </c>
      <c r="H20" s="19">
        <v>800</v>
      </c>
      <c r="I20" s="19">
        <v>83</v>
      </c>
      <c r="K20" s="19">
        <v>68</v>
      </c>
      <c r="M20" s="19">
        <v>71</v>
      </c>
      <c r="P20" s="117">
        <f t="shared" si="0"/>
        <v>118400</v>
      </c>
      <c r="Q20" s="117"/>
      <c r="R20" s="167"/>
      <c r="S20" s="176"/>
      <c r="T20" s="19">
        <v>11</v>
      </c>
      <c r="U20" s="21">
        <f t="shared" ref="U20:U25" si="2">P20</f>
        <v>118400</v>
      </c>
      <c r="V20" s="21">
        <f>(200000-U20)/4</f>
        <v>20400</v>
      </c>
      <c r="Y20" s="24" t="str">
        <f t="shared" ref="Y20:Y32" si="3">D20</f>
        <v xml:space="preserve">SN-10 Amb </v>
      </c>
      <c r="Z20" s="354"/>
      <c r="AA20" s="117"/>
      <c r="AB20" s="117"/>
      <c r="AE20" s="386"/>
    </row>
    <row r="21" spans="1:31" s="23" customFormat="1">
      <c r="A21" s="22">
        <v>42881</v>
      </c>
      <c r="B21" s="57">
        <v>8</v>
      </c>
      <c r="C21" s="57"/>
      <c r="D21" s="23" t="s">
        <v>102</v>
      </c>
      <c r="E21" s="23">
        <v>3</v>
      </c>
      <c r="F21" s="24">
        <v>100</v>
      </c>
      <c r="G21" s="23">
        <v>0.5</v>
      </c>
      <c r="H21" s="23">
        <v>300</v>
      </c>
      <c r="I21" s="23">
        <v>21</v>
      </c>
      <c r="K21" s="23">
        <v>20</v>
      </c>
      <c r="M21" s="23">
        <v>19</v>
      </c>
      <c r="P21" s="118">
        <f t="shared" si="0"/>
        <v>12000</v>
      </c>
      <c r="Q21" s="118"/>
      <c r="R21" s="168"/>
      <c r="S21" s="177"/>
      <c r="T21" s="23">
        <v>8</v>
      </c>
      <c r="U21" s="25">
        <f t="shared" si="2"/>
        <v>12000</v>
      </c>
      <c r="V21" s="25">
        <f>(200000-U21)/4</f>
        <v>47000</v>
      </c>
      <c r="Y21" s="24" t="str">
        <f t="shared" si="3"/>
        <v xml:space="preserve">NF-6 Amb </v>
      </c>
      <c r="Z21" s="355"/>
      <c r="AA21" s="118"/>
      <c r="AB21" s="118"/>
      <c r="AE21" s="387"/>
    </row>
    <row r="22" spans="1:31" s="23" customFormat="1">
      <c r="A22" s="22">
        <v>42881</v>
      </c>
      <c r="B22" s="57">
        <v>16</v>
      </c>
      <c r="C22" s="57"/>
      <c r="D22" s="23" t="s">
        <v>103</v>
      </c>
      <c r="E22" s="23">
        <v>3</v>
      </c>
      <c r="F22" s="24">
        <v>100</v>
      </c>
      <c r="G22" s="23">
        <v>0.5</v>
      </c>
      <c r="H22" s="23">
        <v>400</v>
      </c>
      <c r="I22" s="23">
        <v>113</v>
      </c>
      <c r="K22" s="23">
        <v>122</v>
      </c>
      <c r="M22" s="23">
        <v>131</v>
      </c>
      <c r="P22" s="118">
        <f t="shared" si="0"/>
        <v>97600</v>
      </c>
      <c r="Q22" s="118"/>
      <c r="R22" s="168"/>
      <c r="S22" s="177"/>
      <c r="T22" s="23">
        <v>16</v>
      </c>
      <c r="U22" s="25">
        <f t="shared" si="2"/>
        <v>97600</v>
      </c>
      <c r="V22" s="25">
        <f t="shared" ref="V22:V34" si="4">(200000-U22)/4</f>
        <v>25600</v>
      </c>
      <c r="Y22" s="24" t="str">
        <f t="shared" si="3"/>
        <v xml:space="preserve">SN-6 Amb </v>
      </c>
      <c r="Z22" s="355"/>
      <c r="AA22" s="118"/>
      <c r="AB22" s="118"/>
      <c r="AE22" s="387"/>
    </row>
    <row r="23" spans="1:31" s="23" customFormat="1">
      <c r="A23" s="22">
        <v>42881</v>
      </c>
      <c r="B23" s="57">
        <v>13</v>
      </c>
      <c r="C23" s="57"/>
      <c r="D23" s="23" t="s">
        <v>77</v>
      </c>
      <c r="E23" s="23">
        <v>3</v>
      </c>
      <c r="F23" s="24">
        <v>100</v>
      </c>
      <c r="G23" s="23">
        <v>0.5</v>
      </c>
      <c r="H23" s="23">
        <v>800</v>
      </c>
      <c r="I23" s="23">
        <v>63</v>
      </c>
      <c r="K23" s="23">
        <v>59</v>
      </c>
      <c r="M23" s="23">
        <v>61</v>
      </c>
      <c r="P23" s="118">
        <f t="shared" si="0"/>
        <v>97600</v>
      </c>
      <c r="Q23" s="118"/>
      <c r="R23" s="168"/>
      <c r="S23" s="177"/>
      <c r="T23" s="23">
        <v>13</v>
      </c>
      <c r="U23" s="25">
        <f t="shared" si="2"/>
        <v>97600</v>
      </c>
      <c r="V23" s="25">
        <f t="shared" si="4"/>
        <v>25600</v>
      </c>
      <c r="Y23" s="24" t="str">
        <f t="shared" si="3"/>
        <v>SN-6 Low</v>
      </c>
      <c r="Z23" s="355"/>
      <c r="AA23" s="118"/>
      <c r="AB23" s="118"/>
      <c r="AE23" s="387"/>
    </row>
    <row r="24" spans="1:31" s="23" customFormat="1">
      <c r="A24" s="22">
        <v>42881</v>
      </c>
      <c r="B24" s="57">
        <v>3</v>
      </c>
      <c r="C24" s="57"/>
      <c r="D24" s="23" t="s">
        <v>104</v>
      </c>
      <c r="E24" s="23">
        <v>3</v>
      </c>
      <c r="F24" s="24">
        <v>100</v>
      </c>
      <c r="G24" s="23">
        <v>0.5</v>
      </c>
      <c r="H24" s="23">
        <v>800</v>
      </c>
      <c r="I24" s="23">
        <v>41</v>
      </c>
      <c r="K24" s="23">
        <v>43</v>
      </c>
      <c r="M24" s="23">
        <v>47</v>
      </c>
      <c r="P24" s="118">
        <f t="shared" si="0"/>
        <v>69866.666666666657</v>
      </c>
      <c r="Q24" s="118"/>
      <c r="R24" s="168"/>
      <c r="S24" s="177"/>
      <c r="T24" s="23">
        <v>3</v>
      </c>
      <c r="U24" s="25">
        <f t="shared" si="2"/>
        <v>69866.666666666657</v>
      </c>
      <c r="V24" s="25">
        <f t="shared" si="4"/>
        <v>32533.333333333336</v>
      </c>
      <c r="Y24" s="24" t="str">
        <f t="shared" si="3"/>
        <v>NF-10 Amb</v>
      </c>
      <c r="Z24" s="355"/>
      <c r="AA24" s="118"/>
      <c r="AB24" s="118"/>
      <c r="AE24" s="387"/>
    </row>
    <row r="25" spans="1:31" s="23" customFormat="1">
      <c r="A25" s="22">
        <v>42881</v>
      </c>
      <c r="B25" s="57">
        <v>5</v>
      </c>
      <c r="C25" s="57"/>
      <c r="D25" s="23" t="s">
        <v>73</v>
      </c>
      <c r="E25" s="23">
        <v>3</v>
      </c>
      <c r="F25" s="24">
        <v>100</v>
      </c>
      <c r="G25" s="23">
        <v>0.5</v>
      </c>
      <c r="H25" s="23">
        <v>800</v>
      </c>
      <c r="I25" s="23">
        <v>70</v>
      </c>
      <c r="K25" s="23">
        <v>67</v>
      </c>
      <c r="M25" s="23">
        <v>73</v>
      </c>
      <c r="P25" s="118">
        <f t="shared" si="0"/>
        <v>112000</v>
      </c>
      <c r="Q25" s="118"/>
      <c r="R25" s="168"/>
      <c r="S25" s="177"/>
      <c r="T25" s="23">
        <v>5</v>
      </c>
      <c r="U25" s="25">
        <f t="shared" si="2"/>
        <v>112000</v>
      </c>
      <c r="V25" s="25">
        <f t="shared" si="4"/>
        <v>22000</v>
      </c>
      <c r="Y25" s="24" t="str">
        <f t="shared" si="3"/>
        <v>SN-10 Amb</v>
      </c>
      <c r="Z25" s="355"/>
      <c r="AA25" s="118"/>
      <c r="AB25" s="118"/>
      <c r="AE25" s="387"/>
    </row>
    <row r="26" spans="1:31" s="23" customFormat="1">
      <c r="A26" s="22">
        <v>42881</v>
      </c>
      <c r="B26" s="57">
        <v>12</v>
      </c>
      <c r="C26" s="57"/>
      <c r="D26" s="23" t="s">
        <v>83</v>
      </c>
      <c r="E26" s="23">
        <v>3</v>
      </c>
      <c r="F26" s="24">
        <v>100</v>
      </c>
      <c r="G26" s="23">
        <v>0.5</v>
      </c>
      <c r="H26" s="23">
        <v>800</v>
      </c>
      <c r="I26" s="23">
        <v>64</v>
      </c>
      <c r="K26" s="23">
        <v>50</v>
      </c>
      <c r="M26" s="23">
        <v>51</v>
      </c>
      <c r="P26" s="118">
        <f t="shared" si="0"/>
        <v>88000</v>
      </c>
      <c r="Q26" s="118"/>
      <c r="R26" s="168"/>
      <c r="S26" s="177"/>
      <c r="T26" s="23">
        <v>12</v>
      </c>
      <c r="U26" s="25">
        <f>P26+P28</f>
        <v>150666.66666666666</v>
      </c>
      <c r="V26" s="25">
        <f t="shared" si="4"/>
        <v>12333.333333333336</v>
      </c>
      <c r="Y26" s="24" t="str">
        <f t="shared" si="3"/>
        <v>NF-10 Low</v>
      </c>
      <c r="Z26" s="355"/>
      <c r="AA26" s="118"/>
      <c r="AB26" s="118"/>
      <c r="AE26" s="387"/>
    </row>
    <row r="27" spans="1:31" s="23" customFormat="1">
      <c r="A27" s="22">
        <v>42881</v>
      </c>
      <c r="B27" s="57">
        <v>7</v>
      </c>
      <c r="C27" s="57"/>
      <c r="D27" s="23" t="s">
        <v>74</v>
      </c>
      <c r="E27" s="23">
        <v>3</v>
      </c>
      <c r="F27" s="24">
        <v>100</v>
      </c>
      <c r="G27" s="23">
        <v>0.5</v>
      </c>
      <c r="H27" s="23">
        <v>900</v>
      </c>
      <c r="I27" s="23">
        <v>111</v>
      </c>
      <c r="K27" s="23">
        <v>76</v>
      </c>
      <c r="M27" s="23">
        <v>112</v>
      </c>
      <c r="P27" s="118">
        <f t="shared" si="0"/>
        <v>179400</v>
      </c>
      <c r="Q27" s="118"/>
      <c r="R27" s="168"/>
      <c r="S27" s="177"/>
      <c r="T27" s="23">
        <v>7</v>
      </c>
      <c r="U27" s="25">
        <f>P27</f>
        <v>179400</v>
      </c>
      <c r="V27" s="25">
        <f t="shared" si="4"/>
        <v>5150</v>
      </c>
      <c r="Y27" s="24" t="str">
        <f t="shared" si="3"/>
        <v>SN-10 Low</v>
      </c>
      <c r="Z27" s="355"/>
      <c r="AA27" s="118"/>
      <c r="AB27" s="118"/>
      <c r="AE27" s="387"/>
    </row>
    <row r="28" spans="1:31" s="23" customFormat="1">
      <c r="A28" s="22">
        <v>42881</v>
      </c>
      <c r="B28" s="57">
        <v>9</v>
      </c>
      <c r="C28" s="57"/>
      <c r="D28" s="23" t="s">
        <v>83</v>
      </c>
      <c r="E28" s="23">
        <v>4</v>
      </c>
      <c r="F28" s="24">
        <v>100</v>
      </c>
      <c r="G28" s="23">
        <v>0.5</v>
      </c>
      <c r="H28" s="23">
        <v>500</v>
      </c>
      <c r="I28" s="23">
        <v>61</v>
      </c>
      <c r="K28" s="23">
        <v>61</v>
      </c>
      <c r="M28" s="23">
        <v>66</v>
      </c>
      <c r="P28" s="118">
        <f t="shared" si="0"/>
        <v>62666.666666666664</v>
      </c>
      <c r="Q28" s="118"/>
      <c r="R28" s="168"/>
      <c r="S28" s="177"/>
      <c r="T28" s="23">
        <v>12</v>
      </c>
      <c r="U28" s="25"/>
      <c r="V28" s="25"/>
      <c r="Y28" s="24" t="str">
        <f t="shared" si="3"/>
        <v>NF-10 Low</v>
      </c>
      <c r="Z28" s="355"/>
      <c r="AA28" s="118"/>
      <c r="AB28" s="118"/>
      <c r="AE28" s="387"/>
    </row>
    <row r="29" spans="1:31" s="23" customFormat="1">
      <c r="A29" s="22">
        <v>42881</v>
      </c>
      <c r="B29" s="57">
        <v>10</v>
      </c>
      <c r="C29" s="57"/>
      <c r="D29" s="23" t="s">
        <v>105</v>
      </c>
      <c r="E29" s="23">
        <v>4</v>
      </c>
      <c r="F29" s="24">
        <v>100</v>
      </c>
      <c r="G29" s="23">
        <v>0.5</v>
      </c>
      <c r="H29" s="23">
        <v>650</v>
      </c>
      <c r="I29" s="23">
        <v>82</v>
      </c>
      <c r="K29" s="23">
        <v>80</v>
      </c>
      <c r="M29" s="23">
        <v>69</v>
      </c>
      <c r="P29" s="118">
        <f t="shared" si="0"/>
        <v>100100</v>
      </c>
      <c r="Q29" s="118"/>
      <c r="R29" s="168"/>
      <c r="S29" s="177"/>
      <c r="T29" s="23">
        <v>10</v>
      </c>
      <c r="U29" s="25">
        <f t="shared" ref="U29:U34" si="5">P29</f>
        <v>100100</v>
      </c>
      <c r="V29" s="25">
        <f t="shared" si="4"/>
        <v>24975</v>
      </c>
      <c r="Y29" s="24" t="str">
        <f t="shared" si="3"/>
        <v>NF-6 Low</v>
      </c>
      <c r="Z29" s="355"/>
      <c r="AA29" s="118"/>
      <c r="AB29" s="118"/>
      <c r="AE29" s="387"/>
    </row>
    <row r="30" spans="1:31" s="23" customFormat="1">
      <c r="A30" s="22">
        <v>42881</v>
      </c>
      <c r="B30" s="57">
        <v>17</v>
      </c>
      <c r="C30" s="57"/>
      <c r="D30" s="23" t="s">
        <v>106</v>
      </c>
      <c r="E30" s="23">
        <v>4</v>
      </c>
      <c r="F30" s="24">
        <v>100</v>
      </c>
      <c r="G30" s="23">
        <v>0.5</v>
      </c>
      <c r="H30" s="23">
        <v>500</v>
      </c>
      <c r="I30" s="23">
        <v>26</v>
      </c>
      <c r="K30" s="23">
        <v>22</v>
      </c>
      <c r="M30" s="23">
        <v>14</v>
      </c>
      <c r="P30" s="118">
        <f t="shared" si="0"/>
        <v>20666.666666666668</v>
      </c>
      <c r="Q30" s="118"/>
      <c r="R30" s="168"/>
      <c r="S30" s="177"/>
      <c r="T30" s="23">
        <v>17</v>
      </c>
      <c r="U30" s="25">
        <f t="shared" si="5"/>
        <v>20666.666666666668</v>
      </c>
      <c r="V30" s="25">
        <f t="shared" si="4"/>
        <v>44833.333333333336</v>
      </c>
      <c r="Y30" s="24" t="str">
        <f t="shared" si="3"/>
        <v>K-6 Amb</v>
      </c>
      <c r="Z30" s="355"/>
      <c r="AA30" s="118"/>
      <c r="AB30" s="118"/>
      <c r="AE30" s="387"/>
    </row>
    <row r="31" spans="1:31" s="23" customFormat="1">
      <c r="A31" s="22">
        <v>42881</v>
      </c>
      <c r="B31" s="57">
        <v>18</v>
      </c>
      <c r="C31" s="57"/>
      <c r="D31" s="23" t="s">
        <v>20</v>
      </c>
      <c r="E31" s="23">
        <v>4</v>
      </c>
      <c r="F31" s="24">
        <v>100</v>
      </c>
      <c r="G31" s="23">
        <v>0.5</v>
      </c>
      <c r="H31" s="23">
        <v>800</v>
      </c>
      <c r="I31" s="23">
        <v>53</v>
      </c>
      <c r="K31" s="23">
        <v>54</v>
      </c>
      <c r="M31" s="23">
        <v>43</v>
      </c>
      <c r="P31" s="118">
        <f t="shared" si="0"/>
        <v>80000</v>
      </c>
      <c r="Q31" s="118"/>
      <c r="R31" s="168"/>
      <c r="S31" s="177"/>
      <c r="T31" s="23">
        <v>18</v>
      </c>
      <c r="U31" s="25">
        <f t="shared" si="5"/>
        <v>80000</v>
      </c>
      <c r="V31" s="25">
        <f t="shared" si="4"/>
        <v>30000</v>
      </c>
      <c r="Y31" s="24" t="str">
        <f t="shared" si="3"/>
        <v>K-10 Low</v>
      </c>
      <c r="Z31" s="355"/>
      <c r="AA31" s="118"/>
      <c r="AB31" s="118"/>
      <c r="AE31" s="387"/>
    </row>
    <row r="32" spans="1:31" s="23" customFormat="1">
      <c r="A32" s="22">
        <v>42881</v>
      </c>
      <c r="B32" s="57">
        <v>19</v>
      </c>
      <c r="C32" s="57"/>
      <c r="D32" s="23" t="s">
        <v>107</v>
      </c>
      <c r="E32" s="23">
        <v>4</v>
      </c>
      <c r="F32" s="24">
        <v>100</v>
      </c>
      <c r="G32" s="23">
        <v>0.5</v>
      </c>
      <c r="H32" s="23">
        <v>800</v>
      </c>
      <c r="I32" s="23">
        <v>47</v>
      </c>
      <c r="K32" s="23">
        <v>40</v>
      </c>
      <c r="M32" s="23">
        <v>47</v>
      </c>
      <c r="P32" s="118">
        <f t="shared" si="0"/>
        <v>71466.666666666657</v>
      </c>
      <c r="Q32" s="118"/>
      <c r="R32" s="168"/>
      <c r="S32" s="177"/>
      <c r="T32" s="23">
        <v>19</v>
      </c>
      <c r="U32" s="25">
        <f t="shared" si="5"/>
        <v>71466.666666666657</v>
      </c>
      <c r="V32" s="25">
        <f t="shared" si="4"/>
        <v>32133.333333333336</v>
      </c>
      <c r="Y32" s="24" t="str">
        <f t="shared" si="3"/>
        <v>HL-10 Amb</v>
      </c>
      <c r="Z32" s="355"/>
      <c r="AA32" s="118"/>
      <c r="AB32" s="118"/>
      <c r="AE32" s="387"/>
    </row>
    <row r="33" spans="1:31" s="23" customFormat="1">
      <c r="A33" s="22">
        <v>42881</v>
      </c>
      <c r="B33" s="57">
        <v>20</v>
      </c>
      <c r="C33" s="57"/>
      <c r="D33" s="23" t="s">
        <v>30</v>
      </c>
      <c r="E33" s="23">
        <v>4</v>
      </c>
      <c r="F33" s="24">
        <v>100</v>
      </c>
      <c r="G33" s="23">
        <v>0.5</v>
      </c>
      <c r="H33" s="23">
        <v>700</v>
      </c>
      <c r="I33" s="23">
        <v>47</v>
      </c>
      <c r="K33" s="23">
        <v>55</v>
      </c>
      <c r="M33" s="23">
        <v>51</v>
      </c>
      <c r="P33" s="118">
        <f t="shared" si="0"/>
        <v>71400</v>
      </c>
      <c r="Q33" s="118"/>
      <c r="R33" s="168"/>
      <c r="S33" s="177"/>
      <c r="T33" s="23">
        <v>20</v>
      </c>
      <c r="U33" s="25">
        <f t="shared" si="5"/>
        <v>71400</v>
      </c>
      <c r="V33" s="25">
        <f t="shared" si="4"/>
        <v>32150</v>
      </c>
      <c r="Y33" s="24" t="str">
        <f>D33</f>
        <v xml:space="preserve">K-6 Low </v>
      </c>
      <c r="Z33" s="355"/>
      <c r="AA33" s="118"/>
      <c r="AB33" s="118"/>
      <c r="AE33" s="387"/>
    </row>
    <row r="34" spans="1:31" s="27" customFormat="1" ht="16" thickBot="1">
      <c r="A34" s="26">
        <v>42881</v>
      </c>
      <c r="B34" s="58">
        <v>22</v>
      </c>
      <c r="C34" s="58"/>
      <c r="D34" s="27" t="s">
        <v>71</v>
      </c>
      <c r="E34" s="27">
        <v>4</v>
      </c>
      <c r="F34" s="28">
        <v>100</v>
      </c>
      <c r="G34" s="27">
        <v>0.5</v>
      </c>
      <c r="H34" s="27">
        <v>800</v>
      </c>
      <c r="I34" s="27">
        <v>52</v>
      </c>
      <c r="K34" s="27">
        <v>62</v>
      </c>
      <c r="M34" s="27">
        <v>49</v>
      </c>
      <c r="P34" s="119">
        <f t="shared" si="0"/>
        <v>86933.333333333343</v>
      </c>
      <c r="Q34" s="119"/>
      <c r="R34" s="169"/>
      <c r="S34" s="178"/>
      <c r="T34" s="27">
        <v>22</v>
      </c>
      <c r="U34" s="29">
        <f t="shared" si="5"/>
        <v>86933.333333333343</v>
      </c>
      <c r="V34" s="29">
        <f t="shared" si="4"/>
        <v>28266.666666666664</v>
      </c>
      <c r="Y34" s="28" t="str">
        <f>D34</f>
        <v>K-10 Amb</v>
      </c>
      <c r="Z34" s="356"/>
      <c r="AA34" s="119"/>
      <c r="AB34" s="119"/>
      <c r="AE34" s="388"/>
    </row>
    <row r="35" spans="1:31" s="62" customFormat="1">
      <c r="A35" s="88">
        <v>42885</v>
      </c>
      <c r="B35" s="60">
        <v>3</v>
      </c>
      <c r="C35" s="60"/>
      <c r="D35" s="62" t="s">
        <v>84</v>
      </c>
      <c r="E35" s="62">
        <v>1</v>
      </c>
      <c r="F35" s="89">
        <v>180</v>
      </c>
      <c r="G35" s="62">
        <v>0.5</v>
      </c>
      <c r="H35" s="62">
        <v>800</v>
      </c>
      <c r="I35" s="62">
        <v>22</v>
      </c>
      <c r="J35" s="62">
        <v>11</v>
      </c>
      <c r="K35" s="62">
        <v>24</v>
      </c>
      <c r="L35" s="62">
        <v>19</v>
      </c>
      <c r="M35" s="62">
        <v>19</v>
      </c>
      <c r="N35" s="62">
        <v>24</v>
      </c>
      <c r="O35" s="106"/>
      <c r="P35" s="120">
        <f>(AVERAGE(I35,K35,M35)/G35)*H35</f>
        <v>34666.666666666672</v>
      </c>
      <c r="Q35" s="120">
        <f>(AVERAGE(J35,L35,N35)/G35)*H35</f>
        <v>28800</v>
      </c>
      <c r="R35" s="106">
        <f>P35/(P35+Q35)</f>
        <v>0.54621848739495804</v>
      </c>
      <c r="S35" s="179"/>
      <c r="T35" s="62">
        <v>3</v>
      </c>
      <c r="U35" s="65"/>
      <c r="V35" s="65"/>
      <c r="Y35" s="89" t="str">
        <f t="shared" ref="Y35:Y49" si="6">D35</f>
        <v>NF-10 Ambient</v>
      </c>
      <c r="Z35" s="357"/>
      <c r="AA35" s="120"/>
      <c r="AB35" s="120"/>
    </row>
    <row r="36" spans="1:31" s="62" customFormat="1">
      <c r="A36" s="88">
        <v>42885</v>
      </c>
      <c r="B36" s="60">
        <v>5</v>
      </c>
      <c r="C36" s="60"/>
      <c r="D36" s="62" t="s">
        <v>86</v>
      </c>
      <c r="E36" s="62">
        <v>2</v>
      </c>
      <c r="F36" s="89">
        <v>100</v>
      </c>
      <c r="G36" s="62">
        <v>0.5</v>
      </c>
      <c r="H36" s="62">
        <v>875</v>
      </c>
      <c r="I36" s="62">
        <v>19</v>
      </c>
      <c r="J36" s="62">
        <v>59</v>
      </c>
      <c r="K36" s="62">
        <v>20</v>
      </c>
      <c r="L36" s="62">
        <v>34</v>
      </c>
      <c r="M36" s="62">
        <v>17</v>
      </c>
      <c r="N36" s="62">
        <v>54</v>
      </c>
      <c r="O36" s="106"/>
      <c r="P36" s="120">
        <f t="shared" ref="P36:P49" si="7">(AVERAGE(I36,K36,M36)/G36)*H36</f>
        <v>32666.666666666668</v>
      </c>
      <c r="Q36" s="120">
        <f t="shared" ref="Q36:Q99" si="8">(AVERAGE(J36,L36,N36)/G36)*H36</f>
        <v>85750</v>
      </c>
      <c r="R36" s="106">
        <f t="shared" ref="R36:R99" si="9">P36/(P36+Q36)</f>
        <v>0.27586206896551724</v>
      </c>
      <c r="S36" s="179"/>
      <c r="T36" s="62">
        <v>5</v>
      </c>
      <c r="U36" s="65"/>
      <c r="V36" s="65"/>
      <c r="Y36" s="89" t="str">
        <f t="shared" si="6"/>
        <v>SN-10 Ambient</v>
      </c>
      <c r="Z36" s="357"/>
      <c r="AA36" s="120"/>
      <c r="AB36" s="120"/>
    </row>
    <row r="37" spans="1:31" s="62" customFormat="1">
      <c r="A37" s="88">
        <v>42885</v>
      </c>
      <c r="B37" s="60">
        <v>7</v>
      </c>
      <c r="C37" s="60"/>
      <c r="D37" s="62" t="s">
        <v>135</v>
      </c>
      <c r="E37" s="62">
        <v>2</v>
      </c>
      <c r="F37" s="89">
        <v>100</v>
      </c>
      <c r="G37" s="62">
        <v>0.5</v>
      </c>
      <c r="H37" s="62">
        <v>800</v>
      </c>
      <c r="I37" s="62">
        <v>34</v>
      </c>
      <c r="J37" s="62">
        <v>65</v>
      </c>
      <c r="K37" s="62">
        <v>18</v>
      </c>
      <c r="L37" s="62">
        <v>74</v>
      </c>
      <c r="M37" s="62">
        <v>19</v>
      </c>
      <c r="N37" s="62">
        <v>92</v>
      </c>
      <c r="O37" s="106"/>
      <c r="P37" s="120">
        <f t="shared" si="7"/>
        <v>37866.666666666672</v>
      </c>
      <c r="Q37" s="120">
        <f t="shared" si="8"/>
        <v>123200</v>
      </c>
      <c r="R37" s="106">
        <f t="shared" si="9"/>
        <v>0.23509933774834438</v>
      </c>
      <c r="S37" s="179"/>
      <c r="T37" s="62">
        <v>7</v>
      </c>
      <c r="U37" s="65"/>
      <c r="V37" s="65"/>
      <c r="Y37" s="89" t="str">
        <f t="shared" si="6"/>
        <v xml:space="preserve">SN-10 Low </v>
      </c>
      <c r="Z37" s="357"/>
      <c r="AA37" s="120"/>
      <c r="AB37" s="120"/>
    </row>
    <row r="38" spans="1:31" s="62" customFormat="1">
      <c r="A38" s="88">
        <v>42885</v>
      </c>
      <c r="B38" s="60">
        <v>8</v>
      </c>
      <c r="C38" s="60"/>
      <c r="D38" s="62" t="s">
        <v>85</v>
      </c>
      <c r="E38" s="62">
        <v>1</v>
      </c>
      <c r="F38" s="89">
        <v>100</v>
      </c>
      <c r="G38" s="62">
        <v>0.5</v>
      </c>
      <c r="H38" s="62">
        <v>800</v>
      </c>
      <c r="I38" s="62">
        <v>22</v>
      </c>
      <c r="J38" s="62">
        <v>10</v>
      </c>
      <c r="K38" s="62">
        <v>31</v>
      </c>
      <c r="L38" s="62">
        <v>22</v>
      </c>
      <c r="M38" s="62">
        <v>16</v>
      </c>
      <c r="N38" s="62">
        <v>17</v>
      </c>
      <c r="O38" s="106"/>
      <c r="P38" s="120">
        <f t="shared" si="7"/>
        <v>36800</v>
      </c>
      <c r="Q38" s="120">
        <f t="shared" si="8"/>
        <v>26133.333333333332</v>
      </c>
      <c r="R38" s="106">
        <f t="shared" si="9"/>
        <v>0.5847457627118644</v>
      </c>
      <c r="S38" s="179"/>
      <c r="T38" s="62">
        <v>8</v>
      </c>
      <c r="U38" s="65"/>
      <c r="V38" s="65"/>
      <c r="Y38" s="89" t="str">
        <f t="shared" si="6"/>
        <v>NF-6 Ambient</v>
      </c>
      <c r="Z38" s="357"/>
      <c r="AA38" s="120"/>
      <c r="AB38" s="120"/>
    </row>
    <row r="39" spans="1:31" s="62" customFormat="1">
      <c r="A39" s="88">
        <v>42885</v>
      </c>
      <c r="B39" s="60">
        <v>9</v>
      </c>
      <c r="C39" s="60"/>
      <c r="D39" s="62" t="s">
        <v>135</v>
      </c>
      <c r="E39" s="62">
        <v>2</v>
      </c>
      <c r="F39" s="89">
        <v>100</v>
      </c>
      <c r="G39" s="62">
        <v>0.5</v>
      </c>
      <c r="H39" s="62">
        <v>800</v>
      </c>
      <c r="I39" s="62">
        <v>46</v>
      </c>
      <c r="J39" s="62">
        <v>2</v>
      </c>
      <c r="K39" s="62">
        <v>54</v>
      </c>
      <c r="L39" s="62">
        <v>3</v>
      </c>
      <c r="M39" s="62">
        <v>45</v>
      </c>
      <c r="N39" s="62">
        <v>3</v>
      </c>
      <c r="O39" s="106"/>
      <c r="P39" s="120">
        <f t="shared" si="7"/>
        <v>77333.333333333343</v>
      </c>
      <c r="Q39" s="120">
        <f t="shared" si="8"/>
        <v>4266.6666666666661</v>
      </c>
      <c r="R39" s="106">
        <f t="shared" si="9"/>
        <v>0.94771241830065356</v>
      </c>
      <c r="S39" s="179"/>
      <c r="T39" s="62">
        <v>7</v>
      </c>
      <c r="U39" s="65"/>
      <c r="V39" s="65"/>
      <c r="Y39" s="89" t="str">
        <f t="shared" si="6"/>
        <v xml:space="preserve">SN-10 Low </v>
      </c>
      <c r="Z39" s="357"/>
      <c r="AA39" s="120"/>
      <c r="AB39" s="120"/>
    </row>
    <row r="40" spans="1:31" s="62" customFormat="1">
      <c r="A40" s="88">
        <v>42885</v>
      </c>
      <c r="B40" s="60">
        <v>10</v>
      </c>
      <c r="C40" s="60"/>
      <c r="D40" s="62" t="s">
        <v>105</v>
      </c>
      <c r="E40" s="62">
        <v>2</v>
      </c>
      <c r="F40" s="89">
        <v>100</v>
      </c>
      <c r="G40" s="62">
        <v>0.5</v>
      </c>
      <c r="H40" s="62">
        <v>800</v>
      </c>
      <c r="I40" s="62">
        <v>19</v>
      </c>
      <c r="J40" s="62">
        <v>47</v>
      </c>
      <c r="K40" s="62">
        <v>26</v>
      </c>
      <c r="L40" s="62">
        <v>44</v>
      </c>
      <c r="M40" s="62">
        <v>21</v>
      </c>
      <c r="N40" s="62">
        <v>52</v>
      </c>
      <c r="O40" s="106"/>
      <c r="P40" s="120">
        <f t="shared" si="7"/>
        <v>35200</v>
      </c>
      <c r="Q40" s="120">
        <f t="shared" si="8"/>
        <v>76266.666666666657</v>
      </c>
      <c r="R40" s="106">
        <f t="shared" si="9"/>
        <v>0.31578947368421056</v>
      </c>
      <c r="S40" s="179"/>
      <c r="T40" s="62">
        <v>10</v>
      </c>
      <c r="U40" s="65"/>
      <c r="V40" s="65"/>
      <c r="Y40" s="89" t="str">
        <f t="shared" si="6"/>
        <v>NF-6 Low</v>
      </c>
      <c r="Z40" s="357"/>
      <c r="AA40" s="120"/>
      <c r="AB40" s="120"/>
    </row>
    <row r="41" spans="1:31" s="62" customFormat="1">
      <c r="A41" s="88">
        <v>42885</v>
      </c>
      <c r="B41" s="60">
        <v>11</v>
      </c>
      <c r="C41" s="60"/>
      <c r="D41" s="62" t="s">
        <v>136</v>
      </c>
      <c r="F41" s="89">
        <v>100</v>
      </c>
      <c r="G41" s="62">
        <v>0.5</v>
      </c>
      <c r="H41" s="62">
        <v>800</v>
      </c>
      <c r="I41" s="62">
        <v>18</v>
      </c>
      <c r="J41" s="62">
        <v>79</v>
      </c>
      <c r="K41" s="62">
        <v>18</v>
      </c>
      <c r="L41" s="62">
        <v>52</v>
      </c>
      <c r="M41" s="62">
        <v>12</v>
      </c>
      <c r="N41" s="62">
        <v>59</v>
      </c>
      <c r="O41" s="106"/>
      <c r="P41" s="120">
        <f t="shared" si="7"/>
        <v>25600</v>
      </c>
      <c r="Q41" s="120">
        <f t="shared" si="8"/>
        <v>101333.33333333334</v>
      </c>
      <c r="R41" s="106">
        <f t="shared" si="9"/>
        <v>0.20168067226890754</v>
      </c>
      <c r="S41" s="179"/>
      <c r="T41" s="62">
        <v>5</v>
      </c>
      <c r="U41" s="65"/>
      <c r="V41" s="65"/>
      <c r="Y41" s="89" t="str">
        <f t="shared" si="6"/>
        <v>SN-10 Amnient</v>
      </c>
      <c r="Z41" s="357"/>
      <c r="AA41" s="120"/>
      <c r="AB41" s="120"/>
    </row>
    <row r="42" spans="1:31" s="62" customFormat="1">
      <c r="A42" s="88">
        <v>42885</v>
      </c>
      <c r="B42" s="60">
        <v>12</v>
      </c>
      <c r="C42" s="60"/>
      <c r="D42" s="62" t="s">
        <v>76</v>
      </c>
      <c r="E42" s="62">
        <v>1</v>
      </c>
      <c r="F42" s="89">
        <v>100</v>
      </c>
      <c r="G42" s="62">
        <v>0.5</v>
      </c>
      <c r="H42" s="62">
        <v>800</v>
      </c>
      <c r="I42" s="62">
        <v>37</v>
      </c>
      <c r="J42" s="62">
        <v>46</v>
      </c>
      <c r="K42" s="62">
        <v>37</v>
      </c>
      <c r="L42" s="62">
        <v>33</v>
      </c>
      <c r="M42" s="62">
        <v>29</v>
      </c>
      <c r="N42" s="62">
        <v>43</v>
      </c>
      <c r="O42" s="106"/>
      <c r="P42" s="120">
        <f t="shared" si="7"/>
        <v>54933.333333333336</v>
      </c>
      <c r="Q42" s="120">
        <f t="shared" si="8"/>
        <v>65066.666666666664</v>
      </c>
      <c r="R42" s="106">
        <f t="shared" si="9"/>
        <v>0.45777777777777778</v>
      </c>
      <c r="S42" s="179"/>
      <c r="T42" s="62">
        <v>12</v>
      </c>
      <c r="U42" s="65"/>
      <c r="V42" s="65"/>
      <c r="Y42" s="89" t="str">
        <f t="shared" si="6"/>
        <v xml:space="preserve">NF-10 Low </v>
      </c>
      <c r="Z42" s="357"/>
      <c r="AA42" s="120"/>
      <c r="AB42" s="120"/>
    </row>
    <row r="43" spans="1:31" s="62" customFormat="1">
      <c r="A43" s="88">
        <v>42885</v>
      </c>
      <c r="B43" s="60">
        <v>13</v>
      </c>
      <c r="C43" s="60"/>
      <c r="D43" s="61" t="s">
        <v>77</v>
      </c>
      <c r="E43" s="62">
        <v>1</v>
      </c>
      <c r="F43" s="89">
        <v>100</v>
      </c>
      <c r="G43" s="62">
        <v>0.5</v>
      </c>
      <c r="H43" s="62">
        <v>800</v>
      </c>
      <c r="I43" s="62">
        <v>65</v>
      </c>
      <c r="J43" s="62">
        <v>85</v>
      </c>
      <c r="K43" s="62">
        <v>63</v>
      </c>
      <c r="L43" s="62">
        <v>83</v>
      </c>
      <c r="M43" s="62">
        <v>57</v>
      </c>
      <c r="N43" s="62">
        <v>88</v>
      </c>
      <c r="O43" s="106"/>
      <c r="P43" s="120">
        <f t="shared" si="7"/>
        <v>98666.666666666657</v>
      </c>
      <c r="Q43" s="120">
        <f t="shared" si="8"/>
        <v>136533.33333333331</v>
      </c>
      <c r="R43" s="106">
        <f t="shared" si="9"/>
        <v>0.41950113378684806</v>
      </c>
      <c r="S43" s="179"/>
      <c r="T43" s="62">
        <v>13</v>
      </c>
      <c r="U43" s="65"/>
      <c r="V43" s="65"/>
      <c r="Y43" s="89" t="str">
        <f t="shared" si="6"/>
        <v>SN-6 Low</v>
      </c>
      <c r="Z43" s="357"/>
      <c r="AA43" s="120"/>
      <c r="AB43" s="120"/>
    </row>
    <row r="44" spans="1:31" s="62" customFormat="1">
      <c r="A44" s="59">
        <v>42885</v>
      </c>
      <c r="B44" s="60">
        <v>16</v>
      </c>
      <c r="C44" s="60"/>
      <c r="D44" s="62" t="s">
        <v>87</v>
      </c>
      <c r="E44" s="62">
        <v>1</v>
      </c>
      <c r="F44" s="89">
        <v>100</v>
      </c>
      <c r="G44" s="62">
        <v>0.5</v>
      </c>
      <c r="H44" s="62">
        <v>800</v>
      </c>
      <c r="I44" s="62">
        <v>10</v>
      </c>
      <c r="J44" s="62">
        <v>44</v>
      </c>
      <c r="K44" s="62">
        <v>12</v>
      </c>
      <c r="L44" s="62">
        <v>25</v>
      </c>
      <c r="M44" s="62">
        <v>15</v>
      </c>
      <c r="N44" s="62">
        <v>26</v>
      </c>
      <c r="O44" s="106"/>
      <c r="P44" s="120">
        <f t="shared" si="7"/>
        <v>19733.333333333336</v>
      </c>
      <c r="Q44" s="120">
        <f t="shared" si="8"/>
        <v>50666.666666666672</v>
      </c>
      <c r="R44" s="106">
        <f t="shared" si="9"/>
        <v>0.28030303030303033</v>
      </c>
      <c r="S44" s="179"/>
      <c r="T44" s="62">
        <v>16</v>
      </c>
      <c r="U44" s="65">
        <f>P44</f>
        <v>19733.333333333336</v>
      </c>
      <c r="V44" s="65"/>
      <c r="Y44" s="89" t="str">
        <f t="shared" si="6"/>
        <v>SN-6 Ambient</v>
      </c>
      <c r="Z44" s="357"/>
      <c r="AA44" s="120"/>
      <c r="AB44" s="120"/>
    </row>
    <row r="45" spans="1:31" s="62" customFormat="1">
      <c r="A45" s="59">
        <v>42885</v>
      </c>
      <c r="B45" s="60">
        <v>17</v>
      </c>
      <c r="C45" s="60"/>
      <c r="D45" s="62" t="s">
        <v>38</v>
      </c>
      <c r="E45" s="62">
        <v>2</v>
      </c>
      <c r="F45" s="89">
        <v>100</v>
      </c>
      <c r="G45" s="62">
        <v>0.5</v>
      </c>
      <c r="H45" s="62">
        <v>800</v>
      </c>
      <c r="I45" s="62">
        <v>5</v>
      </c>
      <c r="J45" s="62">
        <v>17</v>
      </c>
      <c r="K45" s="62">
        <v>13</v>
      </c>
      <c r="L45" s="62">
        <v>13</v>
      </c>
      <c r="M45" s="62">
        <v>15</v>
      </c>
      <c r="N45" s="62">
        <v>13</v>
      </c>
      <c r="O45" s="106"/>
      <c r="P45" s="120">
        <f t="shared" si="7"/>
        <v>17600</v>
      </c>
      <c r="Q45" s="120">
        <f t="shared" si="8"/>
        <v>22933.333333333336</v>
      </c>
      <c r="R45" s="106">
        <f t="shared" si="9"/>
        <v>0.43421052631578944</v>
      </c>
      <c r="S45" s="179"/>
      <c r="T45" s="62">
        <v>17</v>
      </c>
      <c r="U45" s="65"/>
      <c r="V45" s="65"/>
      <c r="Y45" s="89" t="str">
        <f t="shared" si="6"/>
        <v>K-6 Ambient</v>
      </c>
      <c r="Z45" s="357"/>
      <c r="AA45" s="120"/>
      <c r="AB45" s="120"/>
    </row>
    <row r="46" spans="1:31" s="62" customFormat="1">
      <c r="A46" s="59">
        <v>42885</v>
      </c>
      <c r="B46" s="60">
        <v>18</v>
      </c>
      <c r="C46" s="60"/>
      <c r="D46" s="62" t="s">
        <v>37</v>
      </c>
      <c r="E46" s="62">
        <v>3</v>
      </c>
      <c r="F46" s="89">
        <v>100</v>
      </c>
      <c r="G46" s="62">
        <v>0.5</v>
      </c>
      <c r="H46" s="62">
        <v>800</v>
      </c>
      <c r="I46" s="62">
        <v>38</v>
      </c>
      <c r="J46" s="62">
        <v>41</v>
      </c>
      <c r="K46" s="62">
        <v>37</v>
      </c>
      <c r="L46" s="62">
        <v>30</v>
      </c>
      <c r="M46" s="62">
        <v>56</v>
      </c>
      <c r="N46" s="62">
        <v>39</v>
      </c>
      <c r="O46" s="106"/>
      <c r="P46" s="120">
        <f t="shared" si="7"/>
        <v>69866.666666666657</v>
      </c>
      <c r="Q46" s="120">
        <f t="shared" si="8"/>
        <v>58666.666666666664</v>
      </c>
      <c r="R46" s="106">
        <f t="shared" si="9"/>
        <v>0.54356846473029041</v>
      </c>
      <c r="S46" s="179"/>
      <c r="T46" s="62">
        <v>18</v>
      </c>
      <c r="Y46" s="89" t="str">
        <f t="shared" si="6"/>
        <v xml:space="preserve">K-10 Low </v>
      </c>
      <c r="Z46" s="357"/>
      <c r="AA46" s="120"/>
      <c r="AB46" s="120"/>
    </row>
    <row r="47" spans="1:31" s="62" customFormat="1">
      <c r="A47" s="59">
        <v>42885</v>
      </c>
      <c r="B47" s="60">
        <v>19</v>
      </c>
      <c r="C47" s="60"/>
      <c r="D47" s="62" t="s">
        <v>88</v>
      </c>
      <c r="E47" s="62">
        <v>2</v>
      </c>
      <c r="F47" s="89">
        <v>100</v>
      </c>
      <c r="G47" s="62">
        <v>0.5</v>
      </c>
      <c r="H47" s="62">
        <v>800</v>
      </c>
      <c r="I47" s="62">
        <v>42</v>
      </c>
      <c r="J47" s="62">
        <v>2</v>
      </c>
      <c r="K47" s="62">
        <v>38</v>
      </c>
      <c r="L47" s="62">
        <v>6</v>
      </c>
      <c r="M47" s="62">
        <v>33</v>
      </c>
      <c r="N47" s="62">
        <v>4</v>
      </c>
      <c r="O47" s="106"/>
      <c r="P47" s="120">
        <f t="shared" si="7"/>
        <v>60266.666666666664</v>
      </c>
      <c r="Q47" s="120">
        <f t="shared" si="8"/>
        <v>6400</v>
      </c>
      <c r="R47" s="106">
        <f t="shared" si="9"/>
        <v>0.90400000000000014</v>
      </c>
      <c r="S47" s="179"/>
      <c r="T47" s="62">
        <v>19</v>
      </c>
      <c r="Y47" s="89" t="str">
        <f t="shared" si="6"/>
        <v>HL-10 Ambient</v>
      </c>
      <c r="Z47" s="357"/>
      <c r="AA47" s="120"/>
      <c r="AB47" s="120"/>
    </row>
    <row r="48" spans="1:31" s="62" customFormat="1">
      <c r="A48" s="59">
        <v>42885</v>
      </c>
      <c r="B48" s="60">
        <v>20</v>
      </c>
      <c r="C48" s="60"/>
      <c r="D48" s="61" t="s">
        <v>46</v>
      </c>
      <c r="E48" s="62">
        <v>2</v>
      </c>
      <c r="F48" s="89">
        <v>100</v>
      </c>
      <c r="G48" s="62">
        <v>0.5</v>
      </c>
      <c r="H48" s="62">
        <v>800</v>
      </c>
      <c r="I48" s="62">
        <v>46</v>
      </c>
      <c r="J48" s="62">
        <v>6</v>
      </c>
      <c r="K48" s="62">
        <v>54</v>
      </c>
      <c r="L48" s="62">
        <v>8</v>
      </c>
      <c r="M48" s="62">
        <v>56</v>
      </c>
      <c r="N48" s="62">
        <v>6</v>
      </c>
      <c r="O48" s="106"/>
      <c r="P48" s="120">
        <f t="shared" si="7"/>
        <v>83200</v>
      </c>
      <c r="Q48" s="120">
        <f t="shared" si="8"/>
        <v>10666.666666666668</v>
      </c>
      <c r="R48" s="106">
        <f t="shared" si="9"/>
        <v>0.88636363636363635</v>
      </c>
      <c r="S48" s="179"/>
      <c r="T48" s="62">
        <v>20</v>
      </c>
      <c r="Y48" s="89" t="str">
        <f t="shared" si="6"/>
        <v>K-6 Low</v>
      </c>
      <c r="Z48" s="357"/>
      <c r="AA48" s="120"/>
      <c r="AB48" s="120"/>
    </row>
    <row r="49" spans="1:28" s="62" customFormat="1">
      <c r="A49" s="59">
        <v>42885</v>
      </c>
      <c r="B49" s="60">
        <v>21</v>
      </c>
      <c r="C49" s="60"/>
      <c r="D49" s="62" t="s">
        <v>134</v>
      </c>
      <c r="E49" s="62">
        <v>3</v>
      </c>
      <c r="F49" s="89">
        <v>100</v>
      </c>
      <c r="G49" s="62">
        <v>0.5</v>
      </c>
      <c r="H49" s="62">
        <v>800</v>
      </c>
      <c r="I49" s="62">
        <v>53</v>
      </c>
      <c r="J49" s="62">
        <v>39</v>
      </c>
      <c r="K49" s="62">
        <v>45</v>
      </c>
      <c r="L49" s="62">
        <v>48</v>
      </c>
      <c r="M49" s="62">
        <v>83</v>
      </c>
      <c r="N49" s="62">
        <v>23</v>
      </c>
      <c r="O49" s="106"/>
      <c r="P49" s="120">
        <f t="shared" si="7"/>
        <v>96533.333333333343</v>
      </c>
      <c r="Q49" s="120">
        <f t="shared" si="8"/>
        <v>58666.666666666664</v>
      </c>
      <c r="R49" s="106">
        <f t="shared" si="9"/>
        <v>0.62199312714776633</v>
      </c>
      <c r="S49" s="179"/>
      <c r="T49" s="62">
        <v>21</v>
      </c>
      <c r="Y49" s="89" t="str">
        <f t="shared" si="6"/>
        <v xml:space="preserve">HL-10 Low </v>
      </c>
      <c r="Z49" s="357"/>
      <c r="AA49" s="120"/>
      <c r="AB49" s="120"/>
    </row>
    <row r="50" spans="1:28" s="62" customFormat="1">
      <c r="A50" s="59">
        <v>42885</v>
      </c>
      <c r="B50" s="60">
        <v>22</v>
      </c>
      <c r="C50" s="60"/>
      <c r="D50" s="62" t="s">
        <v>17</v>
      </c>
      <c r="E50" s="62">
        <v>2</v>
      </c>
      <c r="F50" s="89">
        <v>100</v>
      </c>
      <c r="G50" s="62">
        <v>0.5</v>
      </c>
      <c r="H50" s="62">
        <v>800</v>
      </c>
      <c r="I50" s="62">
        <v>47</v>
      </c>
      <c r="J50" s="62">
        <v>20</v>
      </c>
      <c r="K50" s="62">
        <v>51</v>
      </c>
      <c r="L50" s="62">
        <v>24</v>
      </c>
      <c r="M50" s="62">
        <v>41</v>
      </c>
      <c r="N50" s="62">
        <v>20</v>
      </c>
      <c r="O50" s="106"/>
      <c r="P50" s="120">
        <f>(AVERAGE(I50,K50,M50)/G50)*H50</f>
        <v>74133.333333333343</v>
      </c>
      <c r="Q50" s="120">
        <f t="shared" si="8"/>
        <v>34133.333333333328</v>
      </c>
      <c r="R50" s="106">
        <f t="shared" si="9"/>
        <v>0.68472906403940892</v>
      </c>
      <c r="S50" s="179"/>
      <c r="T50" s="65">
        <v>22</v>
      </c>
      <c r="Y50" s="89" t="str">
        <f>D50</f>
        <v>K-10 Ambient</v>
      </c>
      <c r="Z50" s="357"/>
      <c r="AA50" s="120"/>
      <c r="AB50" s="120"/>
    </row>
    <row r="51" spans="1:28" s="110" customFormat="1">
      <c r="A51" s="108">
        <v>42886</v>
      </c>
      <c r="B51" s="109">
        <v>3</v>
      </c>
      <c r="C51" s="109">
        <v>5</v>
      </c>
      <c r="D51" s="110" t="s">
        <v>84</v>
      </c>
      <c r="F51" s="111">
        <v>180</v>
      </c>
      <c r="G51" s="114">
        <v>1</v>
      </c>
      <c r="H51" s="110">
        <v>800</v>
      </c>
      <c r="I51" s="110">
        <v>5</v>
      </c>
      <c r="J51" s="110">
        <v>68</v>
      </c>
      <c r="O51" s="112"/>
      <c r="P51" s="121">
        <f>(AVERAGE(I51,K51,M51)/G51)*H51</f>
        <v>4000</v>
      </c>
      <c r="Q51" s="121">
        <f t="shared" si="8"/>
        <v>54400</v>
      </c>
      <c r="R51" s="112">
        <f t="shared" si="9"/>
        <v>6.8493150684931503E-2</v>
      </c>
      <c r="S51" s="115">
        <f>I51/(I51+I52)</f>
        <v>0.25</v>
      </c>
      <c r="T51" s="113"/>
      <c r="Y51" s="389" t="s">
        <v>134</v>
      </c>
      <c r="Z51" s="358"/>
      <c r="AA51" s="121"/>
      <c r="AB51" s="121"/>
    </row>
    <row r="52" spans="1:28" s="110" customFormat="1">
      <c r="A52" s="108">
        <v>42886</v>
      </c>
      <c r="B52" s="109">
        <v>3</v>
      </c>
      <c r="C52" s="109">
        <v>2</v>
      </c>
      <c r="F52" s="111"/>
      <c r="G52" s="114">
        <v>1</v>
      </c>
      <c r="H52" s="110">
        <v>800</v>
      </c>
      <c r="I52" s="110">
        <v>15</v>
      </c>
      <c r="J52" s="110">
        <v>0</v>
      </c>
      <c r="O52" s="112"/>
      <c r="P52" s="121">
        <f t="shared" ref="P52:P53" si="10">(AVERAGE(I52,K52,M52)/G52)*H52</f>
        <v>12000</v>
      </c>
      <c r="Q52" s="121">
        <f t="shared" si="8"/>
        <v>0</v>
      </c>
      <c r="R52" s="112">
        <f t="shared" si="9"/>
        <v>1</v>
      </c>
      <c r="S52" s="115">
        <f>I52/(I51+I52)</f>
        <v>0.75</v>
      </c>
      <c r="T52" s="113">
        <v>3</v>
      </c>
      <c r="Y52" s="111"/>
      <c r="Z52" s="358"/>
      <c r="AA52" s="121"/>
      <c r="AB52" s="121"/>
    </row>
    <row r="53" spans="1:28" s="110" customFormat="1">
      <c r="A53" s="108">
        <v>42886</v>
      </c>
      <c r="B53" s="109">
        <v>5</v>
      </c>
      <c r="C53" s="109">
        <v>5</v>
      </c>
      <c r="D53" s="110" t="s">
        <v>86</v>
      </c>
      <c r="F53" s="111">
        <v>100</v>
      </c>
      <c r="G53" s="114">
        <v>1</v>
      </c>
      <c r="H53" s="110">
        <v>800</v>
      </c>
      <c r="I53" s="110">
        <v>0</v>
      </c>
      <c r="J53" s="110">
        <v>124</v>
      </c>
      <c r="O53" s="112"/>
      <c r="P53" s="121">
        <f t="shared" si="10"/>
        <v>0</v>
      </c>
      <c r="Q53" s="121">
        <f t="shared" si="8"/>
        <v>99200</v>
      </c>
      <c r="R53" s="112">
        <f t="shared" si="9"/>
        <v>0</v>
      </c>
      <c r="S53" s="115">
        <f>I53/(I53+I54)</f>
        <v>0</v>
      </c>
      <c r="T53" s="113"/>
      <c r="Y53" s="389" t="s">
        <v>134</v>
      </c>
      <c r="Z53" s="358"/>
      <c r="AA53" s="121"/>
      <c r="AB53" s="121"/>
    </row>
    <row r="54" spans="1:28" s="110" customFormat="1">
      <c r="A54" s="108">
        <v>42886</v>
      </c>
      <c r="B54" s="109">
        <v>5</v>
      </c>
      <c r="C54" s="109">
        <v>2</v>
      </c>
      <c r="F54" s="111"/>
      <c r="G54" s="114">
        <v>1</v>
      </c>
      <c r="H54" s="110">
        <v>800</v>
      </c>
      <c r="I54" s="110">
        <v>2</v>
      </c>
      <c r="J54" s="110">
        <v>7</v>
      </c>
      <c r="O54" s="112"/>
      <c r="P54" s="121">
        <f>I54/G54*H54</f>
        <v>1600</v>
      </c>
      <c r="Q54" s="121">
        <f t="shared" si="8"/>
        <v>5600</v>
      </c>
      <c r="R54" s="112">
        <f t="shared" si="9"/>
        <v>0.22222222222222221</v>
      </c>
      <c r="S54" s="115">
        <f>I54/(I53+I54)</f>
        <v>1</v>
      </c>
      <c r="T54" s="113">
        <v>5</v>
      </c>
      <c r="Y54" s="111"/>
      <c r="Z54" s="358"/>
      <c r="AA54" s="121"/>
      <c r="AB54" s="121"/>
    </row>
    <row r="55" spans="1:28" s="110" customFormat="1">
      <c r="A55" s="108">
        <v>42886</v>
      </c>
      <c r="B55" s="109">
        <v>7</v>
      </c>
      <c r="C55" s="109">
        <v>5</v>
      </c>
      <c r="D55" s="110" t="s">
        <v>135</v>
      </c>
      <c r="F55" s="111">
        <v>100</v>
      </c>
      <c r="G55" s="114">
        <v>1</v>
      </c>
      <c r="H55" s="110">
        <v>800</v>
      </c>
      <c r="I55" s="110">
        <v>2</v>
      </c>
      <c r="J55" s="110">
        <v>177</v>
      </c>
      <c r="O55" s="112"/>
      <c r="P55" s="121">
        <f t="shared" ref="P55:P82" si="11">I55/G55*H55</f>
        <v>1600</v>
      </c>
      <c r="Q55" s="121">
        <f t="shared" si="8"/>
        <v>141600</v>
      </c>
      <c r="R55" s="112">
        <f t="shared" si="9"/>
        <v>1.11731843575419E-2</v>
      </c>
      <c r="S55" s="115">
        <f>I55/(I55+I56)</f>
        <v>0.15384615384615385</v>
      </c>
      <c r="Y55" s="389" t="s">
        <v>134</v>
      </c>
      <c r="Z55" s="358"/>
      <c r="AA55" s="121"/>
      <c r="AB55" s="121"/>
    </row>
    <row r="56" spans="1:28" s="110" customFormat="1">
      <c r="A56" s="108">
        <v>42886</v>
      </c>
      <c r="B56" s="109">
        <v>7</v>
      </c>
      <c r="C56" s="109">
        <v>2</v>
      </c>
      <c r="F56" s="111"/>
      <c r="G56" s="114">
        <v>1</v>
      </c>
      <c r="H56" s="110">
        <v>800</v>
      </c>
      <c r="I56" s="110">
        <v>11</v>
      </c>
      <c r="J56" s="110">
        <v>1</v>
      </c>
      <c r="O56" s="112"/>
      <c r="P56" s="121">
        <f t="shared" si="11"/>
        <v>8800</v>
      </c>
      <c r="Q56" s="121">
        <f t="shared" si="8"/>
        <v>800</v>
      </c>
      <c r="R56" s="112">
        <f t="shared" si="9"/>
        <v>0.91666666666666663</v>
      </c>
      <c r="S56" s="115">
        <f>I56/(I55+I56)</f>
        <v>0.84615384615384615</v>
      </c>
      <c r="T56" s="113">
        <v>7</v>
      </c>
      <c r="Y56" s="111"/>
      <c r="Z56" s="358"/>
      <c r="AA56" s="121"/>
      <c r="AB56" s="121"/>
    </row>
    <row r="57" spans="1:28" s="110" customFormat="1">
      <c r="A57" s="108">
        <v>42886</v>
      </c>
      <c r="B57" s="109">
        <v>8</v>
      </c>
      <c r="C57" s="109">
        <v>5</v>
      </c>
      <c r="D57" s="110" t="s">
        <v>85</v>
      </c>
      <c r="F57" s="111">
        <v>100</v>
      </c>
      <c r="G57" s="114">
        <v>1</v>
      </c>
      <c r="H57" s="110">
        <v>800</v>
      </c>
      <c r="I57" s="110">
        <v>4</v>
      </c>
      <c r="J57" s="110">
        <v>69</v>
      </c>
      <c r="O57" s="112"/>
      <c r="P57" s="121">
        <f t="shared" si="11"/>
        <v>3200</v>
      </c>
      <c r="Q57" s="121">
        <f t="shared" si="8"/>
        <v>55200</v>
      </c>
      <c r="R57" s="112">
        <f t="shared" si="9"/>
        <v>5.4794520547945202E-2</v>
      </c>
      <c r="S57" s="115">
        <f>I57/(I57+I58)</f>
        <v>4.7619047619047616E-2</v>
      </c>
      <c r="Y57" s="389" t="s">
        <v>134</v>
      </c>
      <c r="Z57" s="358"/>
      <c r="AA57" s="121"/>
      <c r="AB57" s="121"/>
    </row>
    <row r="58" spans="1:28" s="110" customFormat="1">
      <c r="A58" s="108">
        <v>42886</v>
      </c>
      <c r="B58" s="109">
        <v>8</v>
      </c>
      <c r="C58" s="109">
        <v>2</v>
      </c>
      <c r="F58" s="111"/>
      <c r="G58" s="114">
        <v>1</v>
      </c>
      <c r="H58" s="110">
        <v>800</v>
      </c>
      <c r="I58" s="110">
        <v>80</v>
      </c>
      <c r="J58" s="110">
        <v>6</v>
      </c>
      <c r="O58" s="112"/>
      <c r="P58" s="121">
        <f t="shared" si="11"/>
        <v>64000</v>
      </c>
      <c r="Q58" s="121">
        <f t="shared" si="8"/>
        <v>4800</v>
      </c>
      <c r="R58" s="112">
        <f t="shared" si="9"/>
        <v>0.93023255813953487</v>
      </c>
      <c r="S58" s="115">
        <f>I58/(I57+I58)</f>
        <v>0.95238095238095233</v>
      </c>
      <c r="T58" s="113">
        <v>8</v>
      </c>
      <c r="Y58" s="111"/>
      <c r="Z58" s="358"/>
      <c r="AA58" s="121"/>
      <c r="AB58" s="121"/>
    </row>
    <row r="59" spans="1:28" s="110" customFormat="1">
      <c r="A59" s="108">
        <v>42886</v>
      </c>
      <c r="B59" s="109">
        <v>9</v>
      </c>
      <c r="C59" s="109">
        <v>5</v>
      </c>
      <c r="D59" s="110" t="s">
        <v>135</v>
      </c>
      <c r="F59" s="111">
        <v>100</v>
      </c>
      <c r="G59" s="114">
        <v>1</v>
      </c>
      <c r="H59" s="110">
        <v>800</v>
      </c>
      <c r="I59" s="110">
        <v>20</v>
      </c>
      <c r="J59" s="110">
        <v>15</v>
      </c>
      <c r="O59" s="112"/>
      <c r="P59" s="121">
        <f t="shared" si="11"/>
        <v>16000</v>
      </c>
      <c r="Q59" s="121">
        <f t="shared" si="8"/>
        <v>12000</v>
      </c>
      <c r="R59" s="112">
        <f t="shared" si="9"/>
        <v>0.5714285714285714</v>
      </c>
      <c r="S59" s="115">
        <f>I59/(I59+I60)</f>
        <v>0.32786885245901637</v>
      </c>
      <c r="T59" s="110" t="s">
        <v>163</v>
      </c>
      <c r="Y59" s="389" t="s">
        <v>134</v>
      </c>
      <c r="Z59" s="358"/>
      <c r="AA59" s="121"/>
      <c r="AB59" s="121"/>
    </row>
    <row r="60" spans="1:28" s="110" customFormat="1">
      <c r="A60" s="108">
        <v>42886</v>
      </c>
      <c r="B60" s="109">
        <v>9</v>
      </c>
      <c r="C60" s="109">
        <v>2</v>
      </c>
      <c r="F60" s="111"/>
      <c r="G60" s="114">
        <v>1</v>
      </c>
      <c r="H60" s="110">
        <v>800</v>
      </c>
      <c r="I60" s="110">
        <v>41</v>
      </c>
      <c r="J60" s="110">
        <v>0</v>
      </c>
      <c r="O60" s="112"/>
      <c r="P60" s="121">
        <f t="shared" si="11"/>
        <v>32800</v>
      </c>
      <c r="Q60" s="121">
        <f t="shared" si="8"/>
        <v>0</v>
      </c>
      <c r="R60" s="112">
        <f t="shared" si="9"/>
        <v>1</v>
      </c>
      <c r="S60" s="115">
        <f>I60/(I59+I60)</f>
        <v>0.67213114754098358</v>
      </c>
      <c r="T60" s="113">
        <v>7</v>
      </c>
      <c r="Y60" s="111"/>
      <c r="Z60" s="358"/>
      <c r="AA60" s="121"/>
      <c r="AB60" s="121"/>
    </row>
    <row r="61" spans="1:28" s="110" customFormat="1">
      <c r="A61" s="108">
        <v>42886</v>
      </c>
      <c r="B61" s="109">
        <v>10</v>
      </c>
      <c r="C61" s="109">
        <v>5</v>
      </c>
      <c r="D61" s="110" t="s">
        <v>105</v>
      </c>
      <c r="F61" s="111">
        <v>100</v>
      </c>
      <c r="G61" s="114">
        <v>1</v>
      </c>
      <c r="H61" s="110">
        <v>800</v>
      </c>
      <c r="I61" s="110">
        <v>3</v>
      </c>
      <c r="J61" s="110">
        <v>89</v>
      </c>
      <c r="O61" s="112"/>
      <c r="P61" s="121">
        <f t="shared" si="11"/>
        <v>2400</v>
      </c>
      <c r="Q61" s="121">
        <f t="shared" si="8"/>
        <v>71200</v>
      </c>
      <c r="R61" s="112">
        <f t="shared" si="9"/>
        <v>3.2608695652173912E-2</v>
      </c>
      <c r="S61" s="115">
        <f>I61/(I61+I62)</f>
        <v>0.14285714285714285</v>
      </c>
      <c r="Y61" s="389" t="s">
        <v>134</v>
      </c>
      <c r="Z61" s="358"/>
      <c r="AA61" s="121"/>
      <c r="AB61" s="121"/>
    </row>
    <row r="62" spans="1:28" s="110" customFormat="1">
      <c r="A62" s="108">
        <v>42886</v>
      </c>
      <c r="B62" s="109">
        <v>10</v>
      </c>
      <c r="C62" s="109">
        <v>2</v>
      </c>
      <c r="F62" s="111"/>
      <c r="G62" s="114">
        <v>1</v>
      </c>
      <c r="H62" s="110">
        <v>800</v>
      </c>
      <c r="I62" s="110">
        <v>18</v>
      </c>
      <c r="J62" s="110">
        <v>8</v>
      </c>
      <c r="O62" s="112"/>
      <c r="P62" s="121">
        <f t="shared" si="11"/>
        <v>14400</v>
      </c>
      <c r="Q62" s="121">
        <f t="shared" si="8"/>
        <v>6400</v>
      </c>
      <c r="R62" s="112">
        <f t="shared" si="9"/>
        <v>0.69230769230769229</v>
      </c>
      <c r="S62" s="115">
        <f>I62/(I61+I62)</f>
        <v>0.8571428571428571</v>
      </c>
      <c r="T62" s="113">
        <v>10</v>
      </c>
      <c r="Y62" s="111"/>
      <c r="Z62" s="358"/>
      <c r="AA62" s="121"/>
      <c r="AB62" s="121"/>
    </row>
    <row r="63" spans="1:28" s="110" customFormat="1">
      <c r="A63" s="108">
        <v>42886</v>
      </c>
      <c r="B63" s="109">
        <v>11</v>
      </c>
      <c r="C63" s="109">
        <v>5</v>
      </c>
      <c r="D63" s="110" t="s">
        <v>136</v>
      </c>
      <c r="F63" s="111">
        <v>100</v>
      </c>
      <c r="G63" s="114">
        <v>1</v>
      </c>
      <c r="H63" s="110">
        <v>800</v>
      </c>
      <c r="I63" s="110">
        <v>1</v>
      </c>
      <c r="J63" s="110">
        <v>114</v>
      </c>
      <c r="O63" s="112"/>
      <c r="P63" s="121">
        <f t="shared" si="11"/>
        <v>800</v>
      </c>
      <c r="Q63" s="121">
        <f t="shared" si="8"/>
        <v>91200</v>
      </c>
      <c r="R63" s="112">
        <f t="shared" si="9"/>
        <v>8.6956521739130436E-3</v>
      </c>
      <c r="S63" s="115">
        <f>I63/(I63+I64)</f>
        <v>0.25</v>
      </c>
      <c r="Y63" s="389" t="s">
        <v>134</v>
      </c>
      <c r="Z63" s="358"/>
      <c r="AA63" s="121"/>
      <c r="AB63" s="121"/>
    </row>
    <row r="64" spans="1:28" s="110" customFormat="1">
      <c r="A64" s="108">
        <v>42886</v>
      </c>
      <c r="B64" s="109">
        <v>11</v>
      </c>
      <c r="C64" s="109">
        <v>2</v>
      </c>
      <c r="F64" s="111"/>
      <c r="G64" s="114">
        <v>1</v>
      </c>
      <c r="H64" s="110">
        <v>800</v>
      </c>
      <c r="I64" s="110">
        <v>3</v>
      </c>
      <c r="J64" s="110">
        <v>0</v>
      </c>
      <c r="O64" s="112"/>
      <c r="P64" s="121">
        <f t="shared" si="11"/>
        <v>2400</v>
      </c>
      <c r="Q64" s="121">
        <f t="shared" si="8"/>
        <v>0</v>
      </c>
      <c r="R64" s="112">
        <f t="shared" si="9"/>
        <v>1</v>
      </c>
      <c r="S64" s="115">
        <f>I64/(I63+I64)</f>
        <v>0.75</v>
      </c>
      <c r="T64" s="113">
        <v>5</v>
      </c>
      <c r="Y64" s="111"/>
      <c r="Z64" s="358"/>
      <c r="AA64" s="121"/>
      <c r="AB64" s="121"/>
    </row>
    <row r="65" spans="1:28" s="110" customFormat="1">
      <c r="A65" s="108">
        <v>42886</v>
      </c>
      <c r="B65" s="109">
        <v>12</v>
      </c>
      <c r="C65" s="109">
        <v>5</v>
      </c>
      <c r="D65" s="110" t="s">
        <v>76</v>
      </c>
      <c r="F65" s="111">
        <v>100</v>
      </c>
      <c r="G65" s="114">
        <v>1</v>
      </c>
      <c r="H65" s="110">
        <v>800</v>
      </c>
      <c r="I65" s="110">
        <v>10</v>
      </c>
      <c r="J65" s="110">
        <v>119</v>
      </c>
      <c r="O65" s="112"/>
      <c r="P65" s="121">
        <f t="shared" si="11"/>
        <v>8000</v>
      </c>
      <c r="Q65" s="121">
        <f t="shared" si="8"/>
        <v>95200</v>
      </c>
      <c r="R65" s="112">
        <f t="shared" si="9"/>
        <v>7.7519379844961239E-2</v>
      </c>
      <c r="S65" s="115">
        <f>I65/(I65+I66)</f>
        <v>0.58823529411764708</v>
      </c>
      <c r="Y65" s="389" t="s">
        <v>134</v>
      </c>
      <c r="Z65" s="358"/>
      <c r="AA65" s="121"/>
      <c r="AB65" s="121"/>
    </row>
    <row r="66" spans="1:28" s="110" customFormat="1">
      <c r="A66" s="108">
        <v>42886</v>
      </c>
      <c r="B66" s="109">
        <v>12</v>
      </c>
      <c r="C66" s="109">
        <v>2</v>
      </c>
      <c r="F66" s="111"/>
      <c r="G66" s="114">
        <v>1</v>
      </c>
      <c r="H66" s="110">
        <v>800</v>
      </c>
      <c r="I66" s="110">
        <v>7</v>
      </c>
      <c r="J66" s="110">
        <v>7</v>
      </c>
      <c r="O66" s="112"/>
      <c r="P66" s="121">
        <f t="shared" si="11"/>
        <v>5600</v>
      </c>
      <c r="Q66" s="121">
        <f t="shared" si="8"/>
        <v>5600</v>
      </c>
      <c r="R66" s="112">
        <f t="shared" si="9"/>
        <v>0.5</v>
      </c>
      <c r="S66" s="115">
        <f>I66/(I65+I66)</f>
        <v>0.41176470588235292</v>
      </c>
      <c r="T66" s="113">
        <v>12</v>
      </c>
      <c r="Y66" s="111"/>
      <c r="Z66" s="358"/>
      <c r="AA66" s="121"/>
      <c r="AB66" s="121"/>
    </row>
    <row r="67" spans="1:28" s="110" customFormat="1">
      <c r="A67" s="108">
        <v>42886</v>
      </c>
      <c r="B67" s="109">
        <v>13</v>
      </c>
      <c r="C67" s="109">
        <v>5</v>
      </c>
      <c r="D67" s="110" t="s">
        <v>77</v>
      </c>
      <c r="F67" s="111">
        <v>100</v>
      </c>
      <c r="G67" s="114">
        <v>1</v>
      </c>
      <c r="H67" s="110">
        <v>800</v>
      </c>
      <c r="I67" s="110">
        <v>13</v>
      </c>
      <c r="J67" s="110">
        <v>127</v>
      </c>
      <c r="O67" s="112"/>
      <c r="P67" s="121">
        <f>I67/G67*H67</f>
        <v>10400</v>
      </c>
      <c r="Q67" s="121">
        <f t="shared" si="8"/>
        <v>101600</v>
      </c>
      <c r="R67" s="112">
        <f t="shared" si="9"/>
        <v>9.285714285714286E-2</v>
      </c>
      <c r="S67" s="115" t="e">
        <f>I67/(I67+I68)</f>
        <v>#VALUE!</v>
      </c>
      <c r="Y67" s="389" t="s">
        <v>134</v>
      </c>
      <c r="Z67" s="358"/>
      <c r="AA67" s="121"/>
      <c r="AB67" s="121"/>
    </row>
    <row r="68" spans="1:28" s="110" customFormat="1">
      <c r="A68" s="108">
        <v>42886</v>
      </c>
      <c r="B68" s="109">
        <v>13</v>
      </c>
      <c r="C68" s="109">
        <v>2</v>
      </c>
      <c r="F68" s="111"/>
      <c r="G68" s="114">
        <v>1</v>
      </c>
      <c r="H68" s="110">
        <v>800</v>
      </c>
      <c r="I68" s="110" t="s">
        <v>161</v>
      </c>
      <c r="J68" s="110" t="s">
        <v>161</v>
      </c>
      <c r="O68" s="112"/>
      <c r="P68" s="121" t="e">
        <f t="shared" si="11"/>
        <v>#VALUE!</v>
      </c>
      <c r="Q68" s="121" t="e">
        <f t="shared" si="8"/>
        <v>#DIV/0!</v>
      </c>
      <c r="R68" s="112" t="e">
        <f t="shared" si="9"/>
        <v>#VALUE!</v>
      </c>
      <c r="S68" s="115" t="e">
        <f>I68/(I67+I68)</f>
        <v>#VALUE!</v>
      </c>
      <c r="T68" s="113">
        <v>13</v>
      </c>
      <c r="Y68" s="111"/>
      <c r="Z68" s="358"/>
      <c r="AA68" s="121"/>
      <c r="AB68" s="121"/>
    </row>
    <row r="69" spans="1:28" s="110" customFormat="1">
      <c r="A69" s="108">
        <v>42886</v>
      </c>
      <c r="B69" s="109">
        <v>16</v>
      </c>
      <c r="C69" s="109">
        <v>5</v>
      </c>
      <c r="D69" s="110" t="s">
        <v>87</v>
      </c>
      <c r="F69" s="111">
        <v>100</v>
      </c>
      <c r="G69" s="114">
        <v>1</v>
      </c>
      <c r="H69" s="110">
        <v>800</v>
      </c>
      <c r="I69" s="110">
        <v>0</v>
      </c>
      <c r="J69" s="110">
        <v>82</v>
      </c>
      <c r="O69" s="112"/>
      <c r="P69" s="121">
        <f t="shared" si="11"/>
        <v>0</v>
      </c>
      <c r="Q69" s="121">
        <f t="shared" si="8"/>
        <v>65600</v>
      </c>
      <c r="R69" s="112">
        <f t="shared" si="9"/>
        <v>0</v>
      </c>
      <c r="S69" s="115">
        <f>I69/(I69+I70)</f>
        <v>0</v>
      </c>
      <c r="Y69" s="111" t="str">
        <f>D69</f>
        <v>SN-6 Ambient</v>
      </c>
      <c r="Z69" s="358"/>
      <c r="AA69" s="121"/>
      <c r="AB69" s="121"/>
    </row>
    <row r="70" spans="1:28" s="110" customFormat="1">
      <c r="A70" s="108">
        <v>42886</v>
      </c>
      <c r="B70" s="109">
        <v>16</v>
      </c>
      <c r="C70" s="109">
        <v>2</v>
      </c>
      <c r="F70" s="111"/>
      <c r="G70" s="114">
        <v>1</v>
      </c>
      <c r="H70" s="110">
        <v>400</v>
      </c>
      <c r="I70" s="110">
        <v>1</v>
      </c>
      <c r="J70" s="110">
        <v>6</v>
      </c>
      <c r="O70" s="112"/>
      <c r="P70" s="121">
        <f t="shared" si="11"/>
        <v>400</v>
      </c>
      <c r="Q70" s="121">
        <f t="shared" si="8"/>
        <v>2400</v>
      </c>
      <c r="R70" s="112">
        <f t="shared" si="9"/>
        <v>0.14285714285714285</v>
      </c>
      <c r="S70" s="115">
        <f>I70/(I69+I70)</f>
        <v>1</v>
      </c>
      <c r="T70" s="113">
        <v>16</v>
      </c>
      <c r="Y70" s="111"/>
      <c r="Z70" s="358"/>
      <c r="AA70" s="121"/>
      <c r="AB70" s="121"/>
    </row>
    <row r="71" spans="1:28" s="110" customFormat="1">
      <c r="A71" s="108">
        <v>42886</v>
      </c>
      <c r="B71" s="109">
        <v>17</v>
      </c>
      <c r="C71" s="109">
        <v>5</v>
      </c>
      <c r="D71" s="110" t="s">
        <v>38</v>
      </c>
      <c r="F71" s="111">
        <v>100</v>
      </c>
      <c r="G71" s="114">
        <v>1</v>
      </c>
      <c r="H71" s="110">
        <v>800</v>
      </c>
      <c r="I71" s="110">
        <v>4</v>
      </c>
      <c r="J71" s="110">
        <v>40</v>
      </c>
      <c r="O71" s="112"/>
      <c r="P71" s="121">
        <f t="shared" si="11"/>
        <v>3200</v>
      </c>
      <c r="Q71" s="121">
        <f t="shared" si="8"/>
        <v>32000</v>
      </c>
      <c r="R71" s="112">
        <f t="shared" si="9"/>
        <v>9.0909090909090912E-2</v>
      </c>
      <c r="S71" s="115">
        <f>I71/(I71+I72)</f>
        <v>0.19047619047619047</v>
      </c>
      <c r="Y71" s="111" t="str">
        <f>D71</f>
        <v>K-6 Ambient</v>
      </c>
      <c r="Z71" s="358"/>
      <c r="AA71" s="121"/>
      <c r="AB71" s="121"/>
    </row>
    <row r="72" spans="1:28" s="110" customFormat="1">
      <c r="A72" s="108">
        <v>42886</v>
      </c>
      <c r="B72" s="109">
        <v>17</v>
      </c>
      <c r="C72" s="109">
        <v>2</v>
      </c>
      <c r="F72" s="111"/>
      <c r="G72" s="114">
        <v>1</v>
      </c>
      <c r="H72" s="110">
        <v>800</v>
      </c>
      <c r="I72" s="110">
        <v>17</v>
      </c>
      <c r="J72" s="110">
        <v>5</v>
      </c>
      <c r="O72" s="112"/>
      <c r="P72" s="121">
        <f t="shared" si="11"/>
        <v>13600</v>
      </c>
      <c r="Q72" s="121">
        <f t="shared" si="8"/>
        <v>4000</v>
      </c>
      <c r="R72" s="112">
        <f t="shared" si="9"/>
        <v>0.77272727272727271</v>
      </c>
      <c r="S72" s="115">
        <f>I72/(I71+I72)</f>
        <v>0.80952380952380953</v>
      </c>
      <c r="T72" s="113">
        <v>17</v>
      </c>
      <c r="Y72" s="111"/>
      <c r="Z72" s="358"/>
      <c r="AA72" s="121"/>
      <c r="AB72" s="121"/>
    </row>
    <row r="73" spans="1:28" s="110" customFormat="1">
      <c r="A73" s="108">
        <v>42886</v>
      </c>
      <c r="B73" s="109">
        <v>18</v>
      </c>
      <c r="C73" s="109">
        <v>5</v>
      </c>
      <c r="D73" s="110" t="s">
        <v>37</v>
      </c>
      <c r="F73" s="111">
        <v>100</v>
      </c>
      <c r="G73" s="114">
        <v>1</v>
      </c>
      <c r="H73" s="110">
        <v>800</v>
      </c>
      <c r="I73" s="110">
        <v>6</v>
      </c>
      <c r="J73" s="110">
        <v>35</v>
      </c>
      <c r="O73" s="112"/>
      <c r="P73" s="121">
        <f t="shared" si="11"/>
        <v>4800</v>
      </c>
      <c r="Q73" s="121">
        <f t="shared" si="8"/>
        <v>28000</v>
      </c>
      <c r="R73" s="112">
        <f t="shared" si="9"/>
        <v>0.14634146341463414</v>
      </c>
      <c r="S73" s="115">
        <f>I73/(I73+I74)</f>
        <v>8.9552238805970144E-2</v>
      </c>
      <c r="Y73" s="111" t="str">
        <f>D73</f>
        <v xml:space="preserve">K-10 Low </v>
      </c>
      <c r="Z73" s="358"/>
      <c r="AA73" s="121"/>
      <c r="AB73" s="121"/>
    </row>
    <row r="74" spans="1:28" s="110" customFormat="1">
      <c r="A74" s="108">
        <v>42886</v>
      </c>
      <c r="B74" s="109">
        <v>18</v>
      </c>
      <c r="C74" s="109">
        <v>2</v>
      </c>
      <c r="F74" s="111"/>
      <c r="G74" s="114">
        <v>1</v>
      </c>
      <c r="H74" s="110">
        <v>800</v>
      </c>
      <c r="I74" s="110">
        <v>61</v>
      </c>
      <c r="J74" s="110">
        <v>3</v>
      </c>
      <c r="O74" s="112"/>
      <c r="P74" s="121">
        <f t="shared" si="11"/>
        <v>48800</v>
      </c>
      <c r="Q74" s="121">
        <f t="shared" si="8"/>
        <v>2400</v>
      </c>
      <c r="R74" s="112">
        <f t="shared" si="9"/>
        <v>0.953125</v>
      </c>
      <c r="S74" s="115">
        <f>I74/(I73+I74)</f>
        <v>0.91044776119402981</v>
      </c>
      <c r="T74" s="113">
        <v>18</v>
      </c>
      <c r="Y74" s="111"/>
      <c r="Z74" s="358"/>
      <c r="AA74" s="121"/>
      <c r="AB74" s="121"/>
    </row>
    <row r="75" spans="1:28" s="110" customFormat="1">
      <c r="A75" s="108">
        <v>42886</v>
      </c>
      <c r="B75" s="109">
        <v>19</v>
      </c>
      <c r="C75" s="109">
        <v>5</v>
      </c>
      <c r="D75" s="110" t="s">
        <v>88</v>
      </c>
      <c r="F75" s="111">
        <v>100</v>
      </c>
      <c r="G75" s="114">
        <v>1</v>
      </c>
      <c r="H75" s="110">
        <v>800</v>
      </c>
      <c r="I75" s="110">
        <v>0</v>
      </c>
      <c r="J75" s="110">
        <v>4</v>
      </c>
      <c r="O75" s="112"/>
      <c r="P75" s="121">
        <f t="shared" si="11"/>
        <v>0</v>
      </c>
      <c r="Q75" s="121">
        <f t="shared" si="8"/>
        <v>3200</v>
      </c>
      <c r="R75" s="112">
        <f t="shared" si="9"/>
        <v>0</v>
      </c>
      <c r="S75" s="115" t="e">
        <f>I75/(I75+I76)</f>
        <v>#VALUE!</v>
      </c>
      <c r="Y75" s="111" t="str">
        <f>D75</f>
        <v>HL-10 Ambient</v>
      </c>
      <c r="Z75" s="358"/>
      <c r="AA75" s="121"/>
      <c r="AB75" s="121"/>
    </row>
    <row r="76" spans="1:28" s="110" customFormat="1">
      <c r="A76" s="108">
        <v>42886</v>
      </c>
      <c r="B76" s="109">
        <v>19</v>
      </c>
      <c r="C76" s="109">
        <v>2</v>
      </c>
      <c r="F76" s="111"/>
      <c r="G76" s="114">
        <v>1</v>
      </c>
      <c r="H76" s="110">
        <v>800</v>
      </c>
      <c r="I76" s="110" t="s">
        <v>161</v>
      </c>
      <c r="J76" s="110" t="s">
        <v>161</v>
      </c>
      <c r="O76" s="112"/>
      <c r="P76" s="121" t="e">
        <f t="shared" si="11"/>
        <v>#VALUE!</v>
      </c>
      <c r="Q76" s="121" t="e">
        <f t="shared" si="8"/>
        <v>#DIV/0!</v>
      </c>
      <c r="R76" s="112" t="e">
        <f t="shared" si="9"/>
        <v>#VALUE!</v>
      </c>
      <c r="S76" s="115" t="e">
        <f>I76/(I75+I76)</f>
        <v>#VALUE!</v>
      </c>
      <c r="T76" s="113">
        <v>19</v>
      </c>
      <c r="Y76" s="111"/>
      <c r="Z76" s="358"/>
      <c r="AA76" s="121"/>
      <c r="AB76" s="121"/>
    </row>
    <row r="77" spans="1:28" s="110" customFormat="1">
      <c r="A77" s="108">
        <v>42886</v>
      </c>
      <c r="B77" s="109">
        <v>20</v>
      </c>
      <c r="C77" s="109">
        <v>5</v>
      </c>
      <c r="D77" s="110" t="s">
        <v>46</v>
      </c>
      <c r="F77" s="111">
        <v>100</v>
      </c>
      <c r="G77" s="114">
        <v>1</v>
      </c>
      <c r="H77" s="110">
        <v>800</v>
      </c>
      <c r="I77" s="110">
        <v>21</v>
      </c>
      <c r="J77" s="110">
        <v>24</v>
      </c>
      <c r="O77" s="112"/>
      <c r="P77" s="121">
        <f>I77/G77*H77</f>
        <v>16800</v>
      </c>
      <c r="Q77" s="121">
        <f t="shared" si="8"/>
        <v>19200</v>
      </c>
      <c r="R77" s="112">
        <f t="shared" si="9"/>
        <v>0.46666666666666667</v>
      </c>
      <c r="S77" s="115">
        <f>I77/(I77+I78)</f>
        <v>0.80769230769230771</v>
      </c>
      <c r="T77" s="110" t="s">
        <v>163</v>
      </c>
      <c r="Y77" s="111" t="str">
        <f>D77</f>
        <v>K-6 Low</v>
      </c>
      <c r="Z77" s="358"/>
      <c r="AA77" s="121"/>
      <c r="AB77" s="121"/>
    </row>
    <row r="78" spans="1:28" s="110" customFormat="1">
      <c r="A78" s="108">
        <v>42886</v>
      </c>
      <c r="B78" s="109">
        <v>20</v>
      </c>
      <c r="C78" s="109">
        <v>2</v>
      </c>
      <c r="F78" s="111"/>
      <c r="G78" s="114">
        <v>1</v>
      </c>
      <c r="H78" s="110">
        <v>800</v>
      </c>
      <c r="I78" s="110">
        <v>5</v>
      </c>
      <c r="J78" s="110">
        <v>1</v>
      </c>
      <c r="O78" s="112"/>
      <c r="P78" s="121">
        <f t="shared" si="11"/>
        <v>4000</v>
      </c>
      <c r="Q78" s="121">
        <f t="shared" si="8"/>
        <v>800</v>
      </c>
      <c r="R78" s="112">
        <f t="shared" si="9"/>
        <v>0.83333333333333337</v>
      </c>
      <c r="S78" s="115">
        <f>I78/(I77+I78)</f>
        <v>0.19230769230769232</v>
      </c>
      <c r="T78" s="113">
        <v>20</v>
      </c>
      <c r="Y78" s="111"/>
      <c r="Z78" s="358"/>
      <c r="AA78" s="121"/>
      <c r="AB78" s="121"/>
    </row>
    <row r="79" spans="1:28" s="110" customFormat="1">
      <c r="A79" s="108">
        <v>42886</v>
      </c>
      <c r="B79" s="109">
        <v>21</v>
      </c>
      <c r="C79" s="109">
        <v>5</v>
      </c>
      <c r="D79" s="110" t="s">
        <v>134</v>
      </c>
      <c r="F79" s="111">
        <v>100</v>
      </c>
      <c r="G79" s="114">
        <v>1</v>
      </c>
      <c r="H79" s="110">
        <v>800</v>
      </c>
      <c r="I79" s="110">
        <v>1</v>
      </c>
      <c r="J79" s="110">
        <v>177</v>
      </c>
      <c r="O79" s="112"/>
      <c r="P79" s="121">
        <f t="shared" si="11"/>
        <v>800</v>
      </c>
      <c r="Q79" s="121">
        <f t="shared" si="8"/>
        <v>141600</v>
      </c>
      <c r="R79" s="112">
        <f t="shared" si="9"/>
        <v>5.6179775280898875E-3</v>
      </c>
      <c r="S79" s="115">
        <f>I79/(I79+I80)</f>
        <v>1.5873015873015872E-2</v>
      </c>
      <c r="Y79" s="111" t="str">
        <f>D79</f>
        <v xml:space="preserve">HL-10 Low </v>
      </c>
      <c r="Z79" s="358"/>
      <c r="AA79" s="121"/>
      <c r="AB79" s="121"/>
    </row>
    <row r="80" spans="1:28" s="110" customFormat="1">
      <c r="A80" s="108">
        <v>42886</v>
      </c>
      <c r="B80" s="109">
        <v>21</v>
      </c>
      <c r="C80" s="109">
        <v>2</v>
      </c>
      <c r="F80" s="111"/>
      <c r="G80" s="114">
        <v>1</v>
      </c>
      <c r="H80" s="110">
        <v>800</v>
      </c>
      <c r="I80" s="110">
        <v>62</v>
      </c>
      <c r="J80" s="110">
        <v>0</v>
      </c>
      <c r="O80" s="112"/>
      <c r="P80" s="121">
        <f t="shared" si="11"/>
        <v>49600</v>
      </c>
      <c r="Q80" s="121">
        <f t="shared" si="8"/>
        <v>0</v>
      </c>
      <c r="R80" s="112">
        <f t="shared" si="9"/>
        <v>1</v>
      </c>
      <c r="S80" s="115">
        <f>I80/(I79+I80)</f>
        <v>0.98412698412698407</v>
      </c>
      <c r="T80" s="113">
        <v>21</v>
      </c>
      <c r="Y80" s="111"/>
      <c r="Z80" s="358"/>
      <c r="AA80" s="121"/>
      <c r="AB80" s="121"/>
    </row>
    <row r="81" spans="1:28" s="110" customFormat="1">
      <c r="A81" s="108">
        <v>42886</v>
      </c>
      <c r="B81" s="109">
        <v>22</v>
      </c>
      <c r="C81" s="109">
        <v>5</v>
      </c>
      <c r="F81" s="111"/>
      <c r="G81" s="114">
        <v>1</v>
      </c>
      <c r="H81" s="110">
        <v>800</v>
      </c>
      <c r="I81" s="110">
        <v>5</v>
      </c>
      <c r="J81" s="110">
        <v>58</v>
      </c>
      <c r="O81" s="112"/>
      <c r="P81" s="121">
        <f t="shared" si="11"/>
        <v>4000</v>
      </c>
      <c r="Q81" s="121">
        <f t="shared" si="8"/>
        <v>46400</v>
      </c>
      <c r="R81" s="112">
        <f t="shared" si="9"/>
        <v>7.9365079365079361E-2</v>
      </c>
      <c r="S81" s="115">
        <f>I81/(I81+I82)</f>
        <v>5.5555555555555552E-2</v>
      </c>
      <c r="T81" s="113"/>
      <c r="Y81" s="111"/>
      <c r="Z81" s="358"/>
      <c r="AA81" s="121"/>
      <c r="AB81" s="121"/>
    </row>
    <row r="82" spans="1:28" s="127" customFormat="1" ht="16" thickBot="1">
      <c r="A82" s="125">
        <v>42886</v>
      </c>
      <c r="B82" s="126">
        <v>22</v>
      </c>
      <c r="C82" s="126">
        <v>2</v>
      </c>
      <c r="D82" s="127" t="s">
        <v>17</v>
      </c>
      <c r="F82" s="128">
        <v>100</v>
      </c>
      <c r="G82" s="129">
        <v>1</v>
      </c>
      <c r="H82" s="127">
        <v>800</v>
      </c>
      <c r="I82" s="127">
        <v>85</v>
      </c>
      <c r="J82" s="127">
        <v>2</v>
      </c>
      <c r="O82" s="130"/>
      <c r="P82" s="131">
        <f t="shared" si="11"/>
        <v>68000</v>
      </c>
      <c r="Q82" s="131">
        <f t="shared" si="8"/>
        <v>1600</v>
      </c>
      <c r="R82" s="130">
        <f t="shared" si="9"/>
        <v>0.97701149425287359</v>
      </c>
      <c r="S82" s="132">
        <f>I82/(I81+I82)</f>
        <v>0.94444444444444442</v>
      </c>
      <c r="T82" s="133">
        <v>22</v>
      </c>
      <c r="Y82" s="128" t="str">
        <f>D82</f>
        <v>K-10 Ambient</v>
      </c>
      <c r="Z82" s="359"/>
      <c r="AA82" s="131"/>
      <c r="AB82" s="131"/>
    </row>
    <row r="83" spans="1:28" s="75" customFormat="1">
      <c r="A83" s="72">
        <v>42891</v>
      </c>
      <c r="B83" s="73">
        <v>7</v>
      </c>
      <c r="C83" s="73"/>
      <c r="D83" s="74" t="s">
        <v>135</v>
      </c>
      <c r="E83" s="75">
        <v>1</v>
      </c>
      <c r="F83" s="86">
        <v>224</v>
      </c>
      <c r="G83" s="86">
        <v>2</v>
      </c>
      <c r="H83" s="75">
        <v>695</v>
      </c>
      <c r="I83" s="75">
        <v>0</v>
      </c>
      <c r="J83" s="75">
        <v>0</v>
      </c>
      <c r="K83" s="75">
        <v>1</v>
      </c>
      <c r="L83" s="75">
        <v>0</v>
      </c>
      <c r="M83" s="75">
        <v>0</v>
      </c>
      <c r="N83" s="75">
        <v>0</v>
      </c>
      <c r="P83" s="350">
        <f>(AVERAGE(I83,K83,M83)/G83)*H83</f>
        <v>115.83333333333333</v>
      </c>
      <c r="Q83" s="122">
        <f t="shared" si="8"/>
        <v>0</v>
      </c>
      <c r="R83" s="160">
        <f t="shared" si="9"/>
        <v>1</v>
      </c>
      <c r="S83" s="173" t="str">
        <f>D83</f>
        <v xml:space="preserve">SN-10 Low </v>
      </c>
      <c r="T83" s="76"/>
      <c r="U83" s="76"/>
      <c r="V83" s="76"/>
      <c r="W83" s="75" t="s">
        <v>211</v>
      </c>
      <c r="Y83" s="87" t="str">
        <f>D83</f>
        <v xml:space="preserve">SN-10 Low </v>
      </c>
      <c r="Z83" s="360"/>
      <c r="AA83" s="122"/>
      <c r="AB83" s="122"/>
    </row>
    <row r="84" spans="1:28" s="80" customFormat="1">
      <c r="A84" s="77">
        <v>42891</v>
      </c>
      <c r="B84" s="78">
        <v>7</v>
      </c>
      <c r="C84" s="78"/>
      <c r="D84" s="79" t="s">
        <v>135</v>
      </c>
      <c r="E84" s="80">
        <v>1</v>
      </c>
      <c r="F84" s="87">
        <v>180</v>
      </c>
      <c r="G84" s="87">
        <v>1</v>
      </c>
      <c r="H84" s="80">
        <v>660</v>
      </c>
      <c r="I84" s="80">
        <v>5</v>
      </c>
      <c r="J84" s="80">
        <v>0</v>
      </c>
      <c r="K84" s="80">
        <v>1</v>
      </c>
      <c r="L84" s="80">
        <v>0</v>
      </c>
      <c r="M84" s="80">
        <v>2</v>
      </c>
      <c r="N84" s="80">
        <v>0</v>
      </c>
      <c r="P84" s="124">
        <f t="shared" ref="P84:P132" si="12">(AVERAGE(I84,K84,M84)/G84)*H84</f>
        <v>1760</v>
      </c>
      <c r="Q84" s="124">
        <f t="shared" si="8"/>
        <v>0</v>
      </c>
      <c r="R84" s="161">
        <f t="shared" si="9"/>
        <v>1</v>
      </c>
      <c r="S84" s="174">
        <f>(P83+P84+P85)/(P83+P84+P85+Q83+Q84+Q85)</f>
        <v>0.87502557140466053</v>
      </c>
      <c r="T84" s="81"/>
      <c r="U84" s="81"/>
      <c r="V84" s="81"/>
      <c r="Y84" s="87"/>
      <c r="Z84" s="361"/>
      <c r="AA84" s="124"/>
      <c r="AB84" s="124"/>
    </row>
    <row r="85" spans="1:28" s="80" customFormat="1">
      <c r="A85" s="77">
        <v>42891</v>
      </c>
      <c r="B85" s="78">
        <v>7</v>
      </c>
      <c r="C85" s="78"/>
      <c r="D85" s="79" t="s">
        <v>135</v>
      </c>
      <c r="E85" s="80">
        <v>1</v>
      </c>
      <c r="F85" s="87">
        <v>100</v>
      </c>
      <c r="G85" s="87">
        <v>1</v>
      </c>
      <c r="H85" s="80">
        <v>800</v>
      </c>
      <c r="I85" s="80">
        <v>40</v>
      </c>
      <c r="J85" s="80">
        <v>7</v>
      </c>
      <c r="K85" s="80">
        <v>41</v>
      </c>
      <c r="L85" s="80">
        <v>7</v>
      </c>
      <c r="M85" s="80">
        <v>59</v>
      </c>
      <c r="N85" s="80">
        <v>7</v>
      </c>
      <c r="P85" s="124">
        <f t="shared" si="12"/>
        <v>37333.333333333328</v>
      </c>
      <c r="Q85" s="124">
        <f t="shared" si="8"/>
        <v>5600</v>
      </c>
      <c r="R85" s="161">
        <f t="shared" si="9"/>
        <v>0.86956521739130432</v>
      </c>
      <c r="S85" s="174"/>
      <c r="T85" s="81"/>
      <c r="U85" s="81"/>
      <c r="V85" s="81"/>
      <c r="Y85" s="87"/>
      <c r="Z85" s="361"/>
      <c r="AA85" s="124"/>
      <c r="AB85" s="124"/>
    </row>
    <row r="86" spans="1:28" s="80" customFormat="1">
      <c r="A86" s="77">
        <v>42891</v>
      </c>
      <c r="B86" s="78">
        <v>10</v>
      </c>
      <c r="C86" s="78"/>
      <c r="D86" s="80" t="s">
        <v>105</v>
      </c>
      <c r="E86" s="80">
        <v>1</v>
      </c>
      <c r="F86" s="87">
        <v>224</v>
      </c>
      <c r="G86" s="87">
        <v>3</v>
      </c>
      <c r="H86" s="80">
        <v>350</v>
      </c>
      <c r="I86" s="80">
        <v>0</v>
      </c>
      <c r="J86" s="80">
        <v>0</v>
      </c>
      <c r="K86" s="80">
        <v>1</v>
      </c>
      <c r="L86" s="80">
        <v>0</v>
      </c>
      <c r="M86" s="80">
        <v>0</v>
      </c>
      <c r="N86" s="80">
        <v>0</v>
      </c>
      <c r="P86" s="124">
        <f t="shared" si="12"/>
        <v>38.888888888888886</v>
      </c>
      <c r="Q86" s="124">
        <f t="shared" si="8"/>
        <v>0</v>
      </c>
      <c r="R86" s="161">
        <f t="shared" si="9"/>
        <v>1</v>
      </c>
      <c r="S86" s="174" t="str">
        <f>D86</f>
        <v>NF-6 Low</v>
      </c>
      <c r="T86" s="81"/>
      <c r="U86" s="81"/>
      <c r="V86" s="81"/>
      <c r="Y86" s="87" t="str">
        <f>D86</f>
        <v>NF-6 Low</v>
      </c>
      <c r="Z86" s="361"/>
      <c r="AA86" s="124"/>
      <c r="AB86" s="124"/>
    </row>
    <row r="87" spans="1:28" s="80" customFormat="1">
      <c r="A87" s="77">
        <v>42891</v>
      </c>
      <c r="B87" s="78">
        <v>10</v>
      </c>
      <c r="C87" s="78"/>
      <c r="D87" s="80" t="s">
        <v>105</v>
      </c>
      <c r="E87" s="80">
        <v>1</v>
      </c>
      <c r="F87" s="87">
        <v>180</v>
      </c>
      <c r="G87" s="87">
        <v>2</v>
      </c>
      <c r="H87" s="80">
        <v>420</v>
      </c>
      <c r="I87" s="80">
        <v>0</v>
      </c>
      <c r="J87" s="80">
        <v>0</v>
      </c>
      <c r="K87" s="80">
        <v>0</v>
      </c>
      <c r="L87" s="80">
        <v>0</v>
      </c>
      <c r="M87" s="80">
        <v>1</v>
      </c>
      <c r="N87" s="80">
        <v>0</v>
      </c>
      <c r="P87" s="124">
        <f t="shared" si="12"/>
        <v>70</v>
      </c>
      <c r="Q87" s="124">
        <f t="shared" si="8"/>
        <v>0</v>
      </c>
      <c r="R87" s="161">
        <f t="shared" si="9"/>
        <v>1</v>
      </c>
      <c r="S87" s="174">
        <f>(P86+P87+P88)/(P86+P87+P88+Q86+Q87+Q88)</f>
        <v>0.44459712679575258</v>
      </c>
      <c r="T87" s="81"/>
      <c r="U87" s="81"/>
      <c r="V87" s="81"/>
      <c r="Y87" s="87"/>
      <c r="Z87" s="361"/>
      <c r="AA87" s="124"/>
      <c r="AB87" s="124"/>
    </row>
    <row r="88" spans="1:28" s="80" customFormat="1">
      <c r="A88" s="77">
        <v>42891</v>
      </c>
      <c r="B88" s="78">
        <v>10</v>
      </c>
      <c r="C88" s="78"/>
      <c r="D88" s="80" t="s">
        <v>105</v>
      </c>
      <c r="E88" s="80">
        <v>1</v>
      </c>
      <c r="F88" s="87">
        <v>100</v>
      </c>
      <c r="G88" s="87">
        <v>0.5</v>
      </c>
      <c r="H88" s="80">
        <v>780</v>
      </c>
      <c r="I88" s="80">
        <v>5</v>
      </c>
      <c r="J88" s="80">
        <v>9</v>
      </c>
      <c r="K88" s="80">
        <v>4</v>
      </c>
      <c r="L88" s="80">
        <v>5</v>
      </c>
      <c r="M88" s="80">
        <v>6</v>
      </c>
      <c r="N88" s="80">
        <v>5</v>
      </c>
      <c r="P88" s="124">
        <f t="shared" si="12"/>
        <v>7800</v>
      </c>
      <c r="Q88" s="124">
        <f t="shared" si="8"/>
        <v>9880</v>
      </c>
      <c r="R88" s="161">
        <f t="shared" si="9"/>
        <v>0.44117647058823528</v>
      </c>
      <c r="S88" s="174"/>
      <c r="T88" s="81"/>
      <c r="U88" s="81"/>
      <c r="V88" s="81"/>
      <c r="Y88" s="87"/>
      <c r="Z88" s="361"/>
      <c r="AA88" s="124"/>
      <c r="AB88" s="124"/>
    </row>
    <row r="89" spans="1:28" s="80" customFormat="1">
      <c r="A89" s="77">
        <v>42891</v>
      </c>
      <c r="B89" s="78">
        <v>5</v>
      </c>
      <c r="C89" s="78"/>
      <c r="D89" s="80" t="s">
        <v>86</v>
      </c>
      <c r="E89" s="80">
        <v>1</v>
      </c>
      <c r="F89" s="87">
        <v>224</v>
      </c>
      <c r="G89" s="87">
        <v>3</v>
      </c>
      <c r="H89" s="80">
        <v>470</v>
      </c>
      <c r="I89" s="80">
        <v>0</v>
      </c>
      <c r="J89" s="80">
        <v>0</v>
      </c>
      <c r="K89" s="80">
        <v>0</v>
      </c>
      <c r="L89" s="80">
        <v>0</v>
      </c>
      <c r="M89" s="80">
        <v>0</v>
      </c>
      <c r="N89" s="80">
        <v>0</v>
      </c>
      <c r="P89" s="124">
        <f t="shared" si="12"/>
        <v>0</v>
      </c>
      <c r="Q89" s="124">
        <f t="shared" si="8"/>
        <v>0</v>
      </c>
      <c r="R89" s="161" t="e">
        <f t="shared" si="9"/>
        <v>#DIV/0!</v>
      </c>
      <c r="S89" s="174" t="str">
        <f>D89</f>
        <v>SN-10 Ambient</v>
      </c>
      <c r="T89" s="81"/>
      <c r="U89" s="81"/>
      <c r="V89" s="81"/>
      <c r="Y89" s="87" t="str">
        <f>D89</f>
        <v>SN-10 Ambient</v>
      </c>
      <c r="Z89" s="361"/>
      <c r="AA89" s="124"/>
      <c r="AB89" s="124"/>
    </row>
    <row r="90" spans="1:28" s="80" customFormat="1">
      <c r="A90" s="77">
        <v>42891</v>
      </c>
      <c r="B90" s="78">
        <v>5</v>
      </c>
      <c r="C90" s="78"/>
      <c r="D90" s="80" t="s">
        <v>86</v>
      </c>
      <c r="E90" s="80">
        <v>1</v>
      </c>
      <c r="F90" s="87">
        <v>180</v>
      </c>
      <c r="G90" s="87">
        <v>1</v>
      </c>
      <c r="H90" s="80">
        <v>590</v>
      </c>
      <c r="I90" s="80">
        <v>1</v>
      </c>
      <c r="J90" s="80">
        <v>1</v>
      </c>
      <c r="K90" s="80">
        <v>1</v>
      </c>
      <c r="L90" s="80">
        <v>1</v>
      </c>
      <c r="M90" s="80">
        <v>2</v>
      </c>
      <c r="N90" s="80">
        <v>0</v>
      </c>
      <c r="P90" s="124">
        <f t="shared" si="12"/>
        <v>786.66666666666663</v>
      </c>
      <c r="Q90" s="124">
        <f t="shared" si="8"/>
        <v>393.33333333333331</v>
      </c>
      <c r="R90" s="161">
        <f t="shared" si="9"/>
        <v>0.66666666666666663</v>
      </c>
      <c r="S90" s="174">
        <f>(P89+P90+P91)/(P89+P90+P91+Q89+Q90+Q91)</f>
        <v>0.81344419721278838</v>
      </c>
      <c r="T90" s="81"/>
      <c r="U90" s="81"/>
      <c r="V90" s="81"/>
      <c r="Y90" s="87"/>
      <c r="Z90" s="361"/>
      <c r="AA90" s="124"/>
      <c r="AB90" s="124"/>
    </row>
    <row r="91" spans="1:28" s="80" customFormat="1">
      <c r="A91" s="77">
        <v>42891</v>
      </c>
      <c r="B91" s="78">
        <v>5</v>
      </c>
      <c r="C91" s="78"/>
      <c r="D91" s="80" t="s">
        <v>86</v>
      </c>
      <c r="E91" s="80">
        <v>2</v>
      </c>
      <c r="F91" s="87">
        <v>100</v>
      </c>
      <c r="G91" s="87">
        <v>0.5</v>
      </c>
      <c r="H91" s="80">
        <v>800</v>
      </c>
      <c r="I91" s="80">
        <v>87</v>
      </c>
      <c r="J91" s="80">
        <v>16</v>
      </c>
      <c r="K91" s="80">
        <v>85</v>
      </c>
      <c r="L91" s="80">
        <v>22</v>
      </c>
      <c r="M91" s="80">
        <v>87</v>
      </c>
      <c r="N91" s="80">
        <v>21</v>
      </c>
      <c r="P91" s="124">
        <f t="shared" si="12"/>
        <v>138133.33333333331</v>
      </c>
      <c r="Q91" s="124">
        <f t="shared" si="8"/>
        <v>31466.666666666668</v>
      </c>
      <c r="R91" s="161">
        <f t="shared" si="9"/>
        <v>0.81446540880503149</v>
      </c>
      <c r="S91" s="174"/>
      <c r="T91" s="81"/>
      <c r="U91" s="81"/>
      <c r="V91" s="81"/>
      <c r="Y91" s="87"/>
      <c r="Z91" s="361"/>
      <c r="AA91" s="124"/>
      <c r="AB91" s="124"/>
    </row>
    <row r="92" spans="1:28" s="80" customFormat="1">
      <c r="A92" s="77">
        <v>42891</v>
      </c>
      <c r="B92" s="78">
        <v>12</v>
      </c>
      <c r="C92" s="78"/>
      <c r="D92" s="80" t="s">
        <v>83</v>
      </c>
      <c r="E92" s="80">
        <v>2</v>
      </c>
      <c r="F92" s="87">
        <v>224</v>
      </c>
      <c r="G92" s="87">
        <v>3</v>
      </c>
      <c r="H92" s="80">
        <v>270</v>
      </c>
      <c r="I92" s="80">
        <v>1</v>
      </c>
      <c r="J92" s="80">
        <v>0</v>
      </c>
      <c r="K92" s="80">
        <v>1</v>
      </c>
      <c r="L92" s="80">
        <v>0</v>
      </c>
      <c r="M92" s="80">
        <v>1</v>
      </c>
      <c r="N92" s="80">
        <v>0</v>
      </c>
      <c r="P92" s="124">
        <f t="shared" si="12"/>
        <v>90</v>
      </c>
      <c r="Q92" s="124">
        <f t="shared" si="8"/>
        <v>0</v>
      </c>
      <c r="R92" s="161">
        <f t="shared" si="9"/>
        <v>1</v>
      </c>
      <c r="S92" s="174" t="str">
        <f>D92</f>
        <v>NF-10 Low</v>
      </c>
      <c r="T92" s="81"/>
      <c r="U92" s="81"/>
      <c r="V92" s="81"/>
      <c r="Y92" s="87" t="str">
        <f>D92</f>
        <v>NF-10 Low</v>
      </c>
      <c r="Z92" s="361"/>
      <c r="AA92" s="124"/>
      <c r="AB92" s="124"/>
    </row>
    <row r="93" spans="1:28" s="80" customFormat="1">
      <c r="A93" s="77">
        <v>42891</v>
      </c>
      <c r="B93" s="78">
        <v>12</v>
      </c>
      <c r="C93" s="78"/>
      <c r="D93" s="80" t="s">
        <v>83</v>
      </c>
      <c r="E93" s="80">
        <v>2</v>
      </c>
      <c r="F93" s="87">
        <v>180</v>
      </c>
      <c r="G93" s="87">
        <v>1</v>
      </c>
      <c r="H93" s="80">
        <v>360</v>
      </c>
      <c r="I93" s="80">
        <v>4</v>
      </c>
      <c r="J93" s="80">
        <v>3</v>
      </c>
      <c r="K93" s="80">
        <v>2</v>
      </c>
      <c r="L93" s="80">
        <v>0</v>
      </c>
      <c r="M93" s="80">
        <v>1</v>
      </c>
      <c r="N93" s="80">
        <v>1</v>
      </c>
      <c r="P93" s="124">
        <f t="shared" si="12"/>
        <v>840</v>
      </c>
      <c r="Q93" s="124">
        <f t="shared" si="8"/>
        <v>480</v>
      </c>
      <c r="R93" s="161">
        <f t="shared" si="9"/>
        <v>0.63636363636363635</v>
      </c>
      <c r="S93" s="174">
        <f>(P92+P93+P94)/(P92+P93+P94+Q92+Q93+Q94)</f>
        <v>0.81850310665222603</v>
      </c>
      <c r="T93" s="81"/>
      <c r="U93" s="81"/>
      <c r="V93" s="81"/>
      <c r="Y93" s="87"/>
      <c r="Z93" s="361"/>
      <c r="AA93" s="124"/>
      <c r="AB93" s="124"/>
    </row>
    <row r="94" spans="1:28" s="80" customFormat="1">
      <c r="A94" s="77">
        <v>42891</v>
      </c>
      <c r="B94" s="78">
        <v>12</v>
      </c>
      <c r="C94" s="78"/>
      <c r="D94" s="80" t="s">
        <v>83</v>
      </c>
      <c r="E94" s="80">
        <v>2</v>
      </c>
      <c r="F94" s="87">
        <v>100</v>
      </c>
      <c r="G94" s="87">
        <v>0.5</v>
      </c>
      <c r="H94" s="80">
        <v>800</v>
      </c>
      <c r="I94" s="80">
        <v>30</v>
      </c>
      <c r="J94" s="80">
        <v>8</v>
      </c>
      <c r="K94" s="80">
        <v>23</v>
      </c>
      <c r="L94" s="80">
        <v>3</v>
      </c>
      <c r="M94" s="80">
        <v>35</v>
      </c>
      <c r="N94" s="80">
        <v>8</v>
      </c>
      <c r="P94" s="124">
        <f t="shared" si="12"/>
        <v>46933.333333333328</v>
      </c>
      <c r="Q94" s="124">
        <f t="shared" si="8"/>
        <v>10133.333333333332</v>
      </c>
      <c r="R94" s="161">
        <f t="shared" si="9"/>
        <v>0.82242990654205617</v>
      </c>
      <c r="S94" s="174"/>
      <c r="T94" s="81"/>
      <c r="U94" s="81"/>
      <c r="V94" s="81"/>
      <c r="Y94" s="87"/>
      <c r="Z94" s="361"/>
      <c r="AA94" s="124"/>
      <c r="AB94" s="124"/>
    </row>
    <row r="95" spans="1:28" s="80" customFormat="1">
      <c r="A95" s="77">
        <v>42891</v>
      </c>
      <c r="B95" s="78">
        <v>13</v>
      </c>
      <c r="C95" s="78"/>
      <c r="D95" s="79" t="s">
        <v>77</v>
      </c>
      <c r="E95" s="80">
        <v>2</v>
      </c>
      <c r="F95" s="87">
        <v>224</v>
      </c>
      <c r="G95" s="87">
        <v>3</v>
      </c>
      <c r="H95" s="80">
        <v>245</v>
      </c>
      <c r="I95" s="80">
        <v>0</v>
      </c>
      <c r="J95" s="80">
        <v>0</v>
      </c>
      <c r="K95" s="80">
        <v>1</v>
      </c>
      <c r="L95" s="80">
        <v>2</v>
      </c>
      <c r="M95" s="80">
        <v>0</v>
      </c>
      <c r="N95" s="80">
        <v>0</v>
      </c>
      <c r="P95" s="124">
        <f t="shared" si="12"/>
        <v>27.222222222222221</v>
      </c>
      <c r="Q95" s="124">
        <f t="shared" si="8"/>
        <v>54.444444444444443</v>
      </c>
      <c r="R95" s="161">
        <f t="shared" si="9"/>
        <v>0.33333333333333337</v>
      </c>
      <c r="S95" s="174" t="str">
        <f>D95</f>
        <v>SN-6 Low</v>
      </c>
      <c r="T95" s="81"/>
      <c r="U95" s="81"/>
      <c r="V95" s="81"/>
      <c r="Y95" s="87" t="str">
        <f>D95</f>
        <v>SN-6 Low</v>
      </c>
      <c r="Z95" s="361"/>
      <c r="AA95" s="124"/>
      <c r="AB95" s="124"/>
    </row>
    <row r="96" spans="1:28" s="80" customFormat="1">
      <c r="A96" s="77">
        <v>42891</v>
      </c>
      <c r="B96" s="78">
        <v>13</v>
      </c>
      <c r="C96" s="78"/>
      <c r="D96" s="79" t="s">
        <v>77</v>
      </c>
      <c r="E96" s="80">
        <v>2</v>
      </c>
      <c r="F96" s="87">
        <v>180</v>
      </c>
      <c r="G96" s="87">
        <v>1</v>
      </c>
      <c r="H96" s="80">
        <v>420</v>
      </c>
      <c r="I96" s="80">
        <v>4</v>
      </c>
      <c r="J96" s="80">
        <v>1</v>
      </c>
      <c r="K96" s="80">
        <v>6</v>
      </c>
      <c r="L96" s="80">
        <v>0</v>
      </c>
      <c r="M96" s="80">
        <v>3</v>
      </c>
      <c r="N96" s="80">
        <v>0</v>
      </c>
      <c r="P96" s="124">
        <f t="shared" si="12"/>
        <v>1819.9999999999998</v>
      </c>
      <c r="Q96" s="124">
        <f t="shared" si="8"/>
        <v>140</v>
      </c>
      <c r="R96" s="161">
        <f t="shared" si="9"/>
        <v>0.9285714285714286</v>
      </c>
      <c r="S96" s="174">
        <f>(P95+P96+P97)/(P95+P96+P97+Q95+Q96+Q97)</f>
        <v>0.83877037362852191</v>
      </c>
      <c r="T96" s="81"/>
      <c r="U96" s="81"/>
      <c r="V96" s="81"/>
      <c r="Y96" s="87"/>
      <c r="Z96" s="361"/>
      <c r="AA96" s="124"/>
      <c r="AB96" s="124"/>
    </row>
    <row r="97" spans="1:28" s="80" customFormat="1">
      <c r="A97" s="77">
        <v>42891</v>
      </c>
      <c r="B97" s="78">
        <v>13</v>
      </c>
      <c r="C97" s="78"/>
      <c r="D97" s="79" t="s">
        <v>77</v>
      </c>
      <c r="E97" s="80">
        <v>2</v>
      </c>
      <c r="F97" s="87">
        <v>100</v>
      </c>
      <c r="G97" s="87">
        <v>0.5</v>
      </c>
      <c r="H97" s="80">
        <v>850</v>
      </c>
      <c r="I97" s="80">
        <v>57</v>
      </c>
      <c r="J97" s="80">
        <v>12</v>
      </c>
      <c r="K97" s="80">
        <v>49</v>
      </c>
      <c r="L97" s="80">
        <v>11</v>
      </c>
      <c r="M97" s="80">
        <v>59</v>
      </c>
      <c r="N97" s="80">
        <v>9</v>
      </c>
      <c r="P97" s="124">
        <f t="shared" si="12"/>
        <v>93500</v>
      </c>
      <c r="Q97" s="124">
        <f t="shared" si="8"/>
        <v>18133.333333333332</v>
      </c>
      <c r="R97" s="161">
        <f t="shared" si="9"/>
        <v>0.83756345177664981</v>
      </c>
      <c r="S97" s="174"/>
      <c r="T97" s="81"/>
      <c r="U97" s="81"/>
      <c r="V97" s="81"/>
      <c r="Y97" s="87"/>
      <c r="Z97" s="361"/>
      <c r="AA97" s="124"/>
      <c r="AB97" s="124"/>
    </row>
    <row r="98" spans="1:28" s="80" customFormat="1">
      <c r="A98" s="77">
        <v>42891</v>
      </c>
      <c r="B98" s="78">
        <v>8</v>
      </c>
      <c r="C98" s="78"/>
      <c r="D98" s="80" t="s">
        <v>85</v>
      </c>
      <c r="E98" s="80">
        <v>2</v>
      </c>
      <c r="F98" s="87">
        <v>224</v>
      </c>
      <c r="G98" s="87">
        <v>2</v>
      </c>
      <c r="H98" s="80">
        <v>270</v>
      </c>
      <c r="I98" s="80">
        <v>0</v>
      </c>
      <c r="J98" s="80">
        <v>0</v>
      </c>
      <c r="K98" s="80">
        <v>1</v>
      </c>
      <c r="L98" s="80">
        <v>0</v>
      </c>
      <c r="M98" s="80">
        <v>1</v>
      </c>
      <c r="N98" s="80">
        <v>1</v>
      </c>
      <c r="P98" s="124">
        <f t="shared" si="12"/>
        <v>90</v>
      </c>
      <c r="Q98" s="124">
        <f t="shared" si="8"/>
        <v>45</v>
      </c>
      <c r="R98" s="161">
        <f t="shared" si="9"/>
        <v>0.66666666666666663</v>
      </c>
      <c r="S98" s="174" t="str">
        <f>D98</f>
        <v>NF-6 Ambient</v>
      </c>
      <c r="T98" s="81"/>
      <c r="U98" s="81"/>
      <c r="V98" s="81"/>
      <c r="Y98" s="87" t="str">
        <f>D98</f>
        <v>NF-6 Ambient</v>
      </c>
      <c r="Z98" s="361"/>
      <c r="AA98" s="124"/>
      <c r="AB98" s="124"/>
    </row>
    <row r="99" spans="1:28" s="80" customFormat="1">
      <c r="A99" s="77">
        <v>42891</v>
      </c>
      <c r="B99" s="78">
        <v>8</v>
      </c>
      <c r="C99" s="78"/>
      <c r="D99" s="80" t="s">
        <v>85</v>
      </c>
      <c r="E99" s="80">
        <v>3</v>
      </c>
      <c r="F99" s="87">
        <v>180</v>
      </c>
      <c r="G99" s="87">
        <v>1</v>
      </c>
      <c r="H99" s="80">
        <v>495</v>
      </c>
      <c r="I99" s="80">
        <v>3</v>
      </c>
      <c r="J99" s="80">
        <v>0</v>
      </c>
      <c r="K99" s="80">
        <v>2</v>
      </c>
      <c r="L99" s="80">
        <v>0</v>
      </c>
      <c r="M99" s="80">
        <v>4</v>
      </c>
      <c r="N99" s="80">
        <v>0</v>
      </c>
      <c r="P99" s="124">
        <f t="shared" si="12"/>
        <v>1485</v>
      </c>
      <c r="Q99" s="124">
        <f t="shared" si="8"/>
        <v>0</v>
      </c>
      <c r="R99" s="161">
        <f t="shared" si="9"/>
        <v>1</v>
      </c>
      <c r="S99" s="174">
        <f>(P98+P99+P100)/(P98+P99+P100+Q98+Q99+Q100)</f>
        <v>0.86138640525692123</v>
      </c>
      <c r="T99" s="81"/>
      <c r="Y99" s="87"/>
      <c r="Z99" s="361"/>
      <c r="AA99" s="124"/>
      <c r="AB99" s="124"/>
    </row>
    <row r="100" spans="1:28" s="80" customFormat="1">
      <c r="A100" s="77">
        <v>42891</v>
      </c>
      <c r="B100" s="78">
        <v>8</v>
      </c>
      <c r="C100" s="78"/>
      <c r="D100" s="80" t="s">
        <v>85</v>
      </c>
      <c r="E100" s="80">
        <v>3</v>
      </c>
      <c r="F100" s="87">
        <v>100</v>
      </c>
      <c r="G100" s="87">
        <v>0.5</v>
      </c>
      <c r="H100" s="80">
        <v>800</v>
      </c>
      <c r="I100" s="80">
        <v>24</v>
      </c>
      <c r="J100" s="80">
        <v>4</v>
      </c>
      <c r="K100" s="80">
        <v>31</v>
      </c>
      <c r="L100" s="80">
        <v>4</v>
      </c>
      <c r="M100" s="80">
        <v>42</v>
      </c>
      <c r="N100" s="80">
        <v>8</v>
      </c>
      <c r="P100" s="124">
        <f t="shared" si="12"/>
        <v>51733.333333333336</v>
      </c>
      <c r="Q100" s="124">
        <f t="shared" ref="Q100:Q163" si="13">(AVERAGE(J100,L100,N100)/G100)*H100</f>
        <v>8533.3333333333321</v>
      </c>
      <c r="R100" s="161">
        <f t="shared" ref="R100:R163" si="14">P100/(P100+Q100)</f>
        <v>0.8584070796460177</v>
      </c>
      <c r="S100" s="174"/>
      <c r="T100" s="81"/>
      <c r="Y100" s="87"/>
      <c r="Z100" s="361"/>
      <c r="AA100" s="124"/>
      <c r="AB100" s="124"/>
    </row>
    <row r="101" spans="1:28" s="80" customFormat="1">
      <c r="A101" s="77">
        <v>42891</v>
      </c>
      <c r="B101" s="78">
        <v>16</v>
      </c>
      <c r="C101" s="78"/>
      <c r="D101" s="79" t="s">
        <v>87</v>
      </c>
      <c r="E101" s="80">
        <v>3</v>
      </c>
      <c r="F101" s="87">
        <v>224</v>
      </c>
      <c r="G101" s="87">
        <v>3</v>
      </c>
      <c r="H101" s="80">
        <v>370</v>
      </c>
      <c r="I101" s="80">
        <v>3</v>
      </c>
      <c r="J101" s="80">
        <v>1</v>
      </c>
      <c r="K101" s="80">
        <v>0</v>
      </c>
      <c r="L101" s="80">
        <v>0</v>
      </c>
      <c r="M101" s="80">
        <v>0</v>
      </c>
      <c r="N101" s="80">
        <v>0</v>
      </c>
      <c r="P101" s="124">
        <f t="shared" si="12"/>
        <v>123.33333333333333</v>
      </c>
      <c r="Q101" s="124">
        <f t="shared" si="13"/>
        <v>41.111111111111107</v>
      </c>
      <c r="R101" s="161">
        <f t="shared" si="14"/>
        <v>0.75</v>
      </c>
      <c r="S101" s="174" t="str">
        <f>D101</f>
        <v>SN-6 Ambient</v>
      </c>
      <c r="T101" s="81"/>
      <c r="Y101" s="87" t="str">
        <f>D101</f>
        <v>SN-6 Ambient</v>
      </c>
      <c r="Z101" s="361"/>
      <c r="AA101" s="124"/>
      <c r="AB101" s="124"/>
    </row>
    <row r="102" spans="1:28" s="80" customFormat="1">
      <c r="A102" s="77">
        <v>42891</v>
      </c>
      <c r="B102" s="78">
        <v>16</v>
      </c>
      <c r="C102" s="78"/>
      <c r="D102" s="79" t="s">
        <v>87</v>
      </c>
      <c r="E102" s="80">
        <v>3</v>
      </c>
      <c r="F102" s="87">
        <v>180</v>
      </c>
      <c r="G102" s="87">
        <v>3</v>
      </c>
      <c r="H102" s="80">
        <v>260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P102" s="124">
        <f t="shared" si="12"/>
        <v>0</v>
      </c>
      <c r="Q102" s="124">
        <f t="shared" si="13"/>
        <v>0</v>
      </c>
      <c r="R102" s="161" t="e">
        <f t="shared" si="14"/>
        <v>#DIV/0!</v>
      </c>
      <c r="S102" s="174">
        <f>(P101+P102+P103)/(P101+P102+P103+Q101+Q102+Q103)</f>
        <v>0.75958466453674123</v>
      </c>
      <c r="T102" s="81"/>
      <c r="Y102" s="87"/>
      <c r="Z102" s="361"/>
      <c r="AA102" s="124"/>
      <c r="AB102" s="124"/>
    </row>
    <row r="103" spans="1:28" s="80" customFormat="1">
      <c r="A103" s="77">
        <v>42891</v>
      </c>
      <c r="B103" s="78">
        <v>16</v>
      </c>
      <c r="C103" s="78"/>
      <c r="D103" s="79" t="s">
        <v>87</v>
      </c>
      <c r="E103" s="80">
        <v>3</v>
      </c>
      <c r="F103" s="87">
        <v>100</v>
      </c>
      <c r="G103" s="87">
        <v>0.5</v>
      </c>
      <c r="H103" s="80">
        <v>740</v>
      </c>
      <c r="I103" s="80">
        <v>24</v>
      </c>
      <c r="J103" s="80">
        <v>9</v>
      </c>
      <c r="K103" s="80">
        <v>31</v>
      </c>
      <c r="L103" s="80">
        <v>8</v>
      </c>
      <c r="M103" s="80">
        <v>24</v>
      </c>
      <c r="N103" s="80">
        <v>8</v>
      </c>
      <c r="P103" s="124">
        <f t="shared" si="12"/>
        <v>38973.333333333328</v>
      </c>
      <c r="Q103" s="124">
        <f t="shared" si="13"/>
        <v>12333.333333333334</v>
      </c>
      <c r="R103" s="161">
        <f t="shared" si="14"/>
        <v>0.75961538461538458</v>
      </c>
      <c r="S103" s="174"/>
      <c r="T103" s="81"/>
      <c r="Y103" s="87"/>
      <c r="Z103" s="361"/>
      <c r="AA103" s="124"/>
      <c r="AB103" s="124"/>
    </row>
    <row r="104" spans="1:28" s="80" customFormat="1">
      <c r="A104" s="77">
        <v>42891</v>
      </c>
      <c r="B104" s="78">
        <v>3</v>
      </c>
      <c r="C104" s="78"/>
      <c r="D104" s="80" t="s">
        <v>84</v>
      </c>
      <c r="E104" s="80">
        <v>3</v>
      </c>
      <c r="F104" s="87">
        <v>224</v>
      </c>
      <c r="G104" s="80">
        <v>3</v>
      </c>
      <c r="H104" s="80">
        <v>550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P104" s="124">
        <f t="shared" si="12"/>
        <v>0</v>
      </c>
      <c r="Q104" s="124">
        <f t="shared" si="13"/>
        <v>0</v>
      </c>
      <c r="R104" s="161" t="e">
        <f t="shared" si="14"/>
        <v>#DIV/0!</v>
      </c>
      <c r="S104" s="174" t="str">
        <f>D104</f>
        <v>NF-10 Ambient</v>
      </c>
      <c r="Y104" s="87" t="str">
        <f>D104</f>
        <v>NF-10 Ambient</v>
      </c>
      <c r="Z104" s="361"/>
      <c r="AA104" s="124"/>
      <c r="AB104" s="124"/>
    </row>
    <row r="105" spans="1:28" s="80" customFormat="1">
      <c r="A105" s="77">
        <v>42891</v>
      </c>
      <c r="B105" s="78">
        <v>3</v>
      </c>
      <c r="C105" s="78"/>
      <c r="D105" s="80" t="s">
        <v>84</v>
      </c>
      <c r="E105" s="80">
        <v>3</v>
      </c>
      <c r="F105" s="87">
        <v>180</v>
      </c>
      <c r="G105" s="80">
        <v>1</v>
      </c>
      <c r="H105" s="80">
        <v>300</v>
      </c>
      <c r="I105" s="80">
        <v>3</v>
      </c>
      <c r="J105" s="80">
        <v>0</v>
      </c>
      <c r="K105" s="80">
        <v>7</v>
      </c>
      <c r="L105" s="80">
        <v>0</v>
      </c>
      <c r="M105" s="80">
        <v>4</v>
      </c>
      <c r="N105" s="80">
        <v>1</v>
      </c>
      <c r="P105" s="124">
        <f t="shared" si="12"/>
        <v>1400</v>
      </c>
      <c r="Q105" s="124">
        <f t="shared" si="13"/>
        <v>100</v>
      </c>
      <c r="R105" s="161">
        <f t="shared" si="14"/>
        <v>0.93333333333333335</v>
      </c>
      <c r="S105" s="174">
        <f>(P104+P105+P106)/(P104+P105+P106+Q104+Q105+Q106)</f>
        <v>0.8665880734846253</v>
      </c>
      <c r="Y105" s="87"/>
      <c r="Z105" s="361"/>
      <c r="AA105" s="124"/>
      <c r="AB105" s="124"/>
    </row>
    <row r="106" spans="1:28" s="80" customFormat="1">
      <c r="A106" s="77">
        <v>42891</v>
      </c>
      <c r="B106" s="78">
        <v>3</v>
      </c>
      <c r="C106" s="78"/>
      <c r="D106" s="80" t="s">
        <v>84</v>
      </c>
      <c r="E106" s="80">
        <v>3</v>
      </c>
      <c r="F106" s="87">
        <v>100</v>
      </c>
      <c r="G106" s="80">
        <v>0.5</v>
      </c>
      <c r="H106" s="80">
        <v>790</v>
      </c>
      <c r="I106" s="80">
        <v>36</v>
      </c>
      <c r="J106" s="80">
        <v>5</v>
      </c>
      <c r="K106" s="80">
        <v>44</v>
      </c>
      <c r="L106" s="80">
        <v>4</v>
      </c>
      <c r="M106" s="80">
        <v>29</v>
      </c>
      <c r="N106" s="80">
        <v>8</v>
      </c>
      <c r="P106" s="124">
        <f t="shared" si="12"/>
        <v>57406.666666666672</v>
      </c>
      <c r="Q106" s="124">
        <f t="shared" si="13"/>
        <v>8953.3333333333339</v>
      </c>
      <c r="R106" s="161">
        <f t="shared" si="14"/>
        <v>0.86507936507936511</v>
      </c>
      <c r="S106" s="174"/>
      <c r="Y106" s="87"/>
      <c r="Z106" s="361"/>
      <c r="AA106" s="124"/>
      <c r="AB106" s="124"/>
    </row>
    <row r="107" spans="1:28" s="80" customFormat="1">
      <c r="A107" s="77">
        <v>42891</v>
      </c>
      <c r="B107" s="78">
        <v>9</v>
      </c>
      <c r="C107" s="78"/>
      <c r="D107" s="79" t="s">
        <v>135</v>
      </c>
      <c r="E107" s="80">
        <v>4</v>
      </c>
      <c r="F107" s="87">
        <v>224</v>
      </c>
      <c r="G107" s="87">
        <v>3</v>
      </c>
      <c r="H107" s="80">
        <v>200</v>
      </c>
      <c r="I107" s="80">
        <v>2</v>
      </c>
      <c r="J107" s="80">
        <v>1</v>
      </c>
      <c r="K107" s="80">
        <v>4</v>
      </c>
      <c r="L107" s="80">
        <v>0</v>
      </c>
      <c r="M107" s="80">
        <v>1</v>
      </c>
      <c r="N107" s="80">
        <v>0</v>
      </c>
      <c r="P107" s="346">
        <f t="shared" si="12"/>
        <v>155.55555555555557</v>
      </c>
      <c r="Q107" s="124">
        <f t="shared" si="13"/>
        <v>22.222222222222221</v>
      </c>
      <c r="R107" s="161">
        <f t="shared" si="14"/>
        <v>0.875</v>
      </c>
      <c r="S107" s="174" t="str">
        <f>D107</f>
        <v xml:space="preserve">SN-10 Low </v>
      </c>
      <c r="T107" s="81"/>
      <c r="U107" s="81"/>
      <c r="V107" s="81"/>
      <c r="W107" s="80" t="s">
        <v>170</v>
      </c>
      <c r="Y107" s="87" t="str">
        <f>D107</f>
        <v xml:space="preserve">SN-10 Low </v>
      </c>
      <c r="Z107" s="361"/>
      <c r="AA107" s="124"/>
      <c r="AB107" s="124"/>
    </row>
    <row r="108" spans="1:28" s="80" customFormat="1">
      <c r="A108" s="77">
        <v>42891</v>
      </c>
      <c r="B108" s="78">
        <v>9</v>
      </c>
      <c r="C108" s="78"/>
      <c r="D108" s="79" t="s">
        <v>135</v>
      </c>
      <c r="E108" s="80">
        <v>4</v>
      </c>
      <c r="F108" s="87">
        <v>180</v>
      </c>
      <c r="G108" s="87">
        <v>1</v>
      </c>
      <c r="H108" s="80">
        <v>350</v>
      </c>
      <c r="I108" s="80">
        <v>4</v>
      </c>
      <c r="J108" s="80">
        <v>0</v>
      </c>
      <c r="K108" s="80">
        <v>2</v>
      </c>
      <c r="L108" s="80">
        <v>1</v>
      </c>
      <c r="M108" s="80">
        <v>2</v>
      </c>
      <c r="N108" s="80">
        <v>0</v>
      </c>
      <c r="P108" s="124">
        <f t="shared" si="12"/>
        <v>933.33333333333326</v>
      </c>
      <c r="Q108" s="124">
        <f t="shared" si="13"/>
        <v>116.66666666666666</v>
      </c>
      <c r="R108" s="161">
        <f t="shared" si="14"/>
        <v>0.88888888888888884</v>
      </c>
      <c r="S108" s="174">
        <f>(P107+P108+P109)/(P107+P108+P109+Q107+Q108+Q109)</f>
        <v>0.32666632564325543</v>
      </c>
      <c r="T108" s="81"/>
      <c r="U108" s="81"/>
      <c r="V108" s="81"/>
      <c r="Y108" s="87"/>
      <c r="Z108" s="361"/>
      <c r="AA108" s="124"/>
      <c r="AB108" s="124"/>
    </row>
    <row r="109" spans="1:28" s="80" customFormat="1">
      <c r="A109" s="77">
        <v>42891</v>
      </c>
      <c r="B109" s="78">
        <v>9</v>
      </c>
      <c r="C109" s="78"/>
      <c r="D109" s="79" t="s">
        <v>135</v>
      </c>
      <c r="E109" s="80">
        <v>4</v>
      </c>
      <c r="F109" s="87">
        <v>100</v>
      </c>
      <c r="G109" s="87">
        <v>0.5</v>
      </c>
      <c r="H109" s="80">
        <v>530</v>
      </c>
      <c r="I109" s="80">
        <v>5</v>
      </c>
      <c r="J109" s="80">
        <v>13</v>
      </c>
      <c r="K109" s="80">
        <v>7</v>
      </c>
      <c r="L109" s="80">
        <v>14</v>
      </c>
      <c r="M109" s="80">
        <v>5</v>
      </c>
      <c r="N109" s="80">
        <v>14</v>
      </c>
      <c r="P109" s="124">
        <f t="shared" si="12"/>
        <v>6006.666666666667</v>
      </c>
      <c r="Q109" s="124">
        <f t="shared" si="13"/>
        <v>14486.666666666666</v>
      </c>
      <c r="R109" s="161">
        <f t="shared" si="14"/>
        <v>0.2931034482758621</v>
      </c>
      <c r="S109" s="174"/>
      <c r="T109" s="81"/>
      <c r="U109" s="81"/>
      <c r="V109" s="81"/>
      <c r="Y109" s="87"/>
      <c r="Z109" s="361"/>
      <c r="AA109" s="124"/>
      <c r="AB109" s="124"/>
    </row>
    <row r="110" spans="1:28" s="80" customFormat="1">
      <c r="A110" s="77">
        <v>42891</v>
      </c>
      <c r="B110" s="78" t="s">
        <v>171</v>
      </c>
      <c r="C110" s="154" t="s">
        <v>212</v>
      </c>
      <c r="D110" s="80" t="s">
        <v>84</v>
      </c>
      <c r="E110" s="80">
        <v>4</v>
      </c>
      <c r="F110" s="87">
        <v>224</v>
      </c>
      <c r="G110" s="87">
        <v>3</v>
      </c>
      <c r="H110" s="80">
        <v>555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  <c r="N110" s="80">
        <v>0</v>
      </c>
      <c r="P110" s="124">
        <f t="shared" si="12"/>
        <v>0</v>
      </c>
      <c r="Q110" s="124">
        <f t="shared" si="13"/>
        <v>0</v>
      </c>
      <c r="R110" s="161" t="e">
        <f t="shared" si="14"/>
        <v>#DIV/0!</v>
      </c>
      <c r="S110" s="174" t="str">
        <f>D110</f>
        <v>NF-10 Ambient</v>
      </c>
      <c r="T110" s="81"/>
      <c r="U110" s="81"/>
      <c r="V110" s="81"/>
      <c r="Y110" s="87" t="str">
        <f>D110</f>
        <v>NF-10 Ambient</v>
      </c>
      <c r="Z110" s="361"/>
      <c r="AA110" s="124"/>
      <c r="AB110" s="124"/>
    </row>
    <row r="111" spans="1:28" s="80" customFormat="1">
      <c r="A111" s="77">
        <v>42891</v>
      </c>
      <c r="B111" s="78" t="s">
        <v>171</v>
      </c>
      <c r="C111" s="154" t="s">
        <v>212</v>
      </c>
      <c r="D111" s="80" t="s">
        <v>84</v>
      </c>
      <c r="E111" s="80">
        <v>4</v>
      </c>
      <c r="F111" s="87">
        <v>180</v>
      </c>
      <c r="G111" s="87">
        <v>1</v>
      </c>
      <c r="H111" s="80">
        <v>370</v>
      </c>
      <c r="I111" s="80">
        <v>6</v>
      </c>
      <c r="J111" s="80">
        <v>0</v>
      </c>
      <c r="K111" s="80">
        <v>3</v>
      </c>
      <c r="L111" s="80">
        <v>0</v>
      </c>
      <c r="M111" s="80">
        <v>4</v>
      </c>
      <c r="N111" s="80">
        <v>0</v>
      </c>
      <c r="P111" s="124">
        <f t="shared" si="12"/>
        <v>1603.3333333333333</v>
      </c>
      <c r="Q111" s="124">
        <f t="shared" si="13"/>
        <v>0</v>
      </c>
      <c r="R111" s="161">
        <f t="shared" si="14"/>
        <v>1</v>
      </c>
      <c r="S111" s="174"/>
      <c r="T111" s="81"/>
      <c r="U111" s="81"/>
      <c r="V111" s="81"/>
      <c r="Y111" s="87"/>
      <c r="Z111" s="361"/>
      <c r="AA111" s="124"/>
      <c r="AB111" s="124"/>
    </row>
    <row r="112" spans="1:28" s="80" customFormat="1">
      <c r="A112" s="77">
        <v>42891</v>
      </c>
      <c r="B112" s="78" t="s">
        <v>171</v>
      </c>
      <c r="C112" s="154" t="s">
        <v>212</v>
      </c>
      <c r="D112" s="80" t="s">
        <v>84</v>
      </c>
      <c r="E112" s="80">
        <v>4</v>
      </c>
      <c r="F112" s="87">
        <v>100</v>
      </c>
      <c r="G112" s="87">
        <v>0.5</v>
      </c>
      <c r="H112" s="80">
        <v>800</v>
      </c>
      <c r="I112" s="80">
        <v>36</v>
      </c>
      <c r="J112" s="80">
        <v>12</v>
      </c>
      <c r="K112" s="80">
        <v>31</v>
      </c>
      <c r="L112" s="80">
        <v>6</v>
      </c>
      <c r="M112" s="80">
        <v>24</v>
      </c>
      <c r="N112" s="80">
        <v>5</v>
      </c>
      <c r="P112" s="124">
        <f t="shared" si="12"/>
        <v>48533.333333333328</v>
      </c>
      <c r="Q112" s="124">
        <f t="shared" si="13"/>
        <v>12266.666666666668</v>
      </c>
      <c r="R112" s="161">
        <f t="shared" si="14"/>
        <v>0.79824561403508765</v>
      </c>
      <c r="S112" s="174"/>
      <c r="T112" s="81"/>
      <c r="U112" s="81"/>
      <c r="V112" s="81"/>
      <c r="Y112" s="87"/>
      <c r="Z112" s="361"/>
      <c r="AA112" s="124"/>
      <c r="AB112" s="124"/>
    </row>
    <row r="113" spans="1:28" s="80" customFormat="1">
      <c r="A113" s="77">
        <v>42891</v>
      </c>
      <c r="B113" s="78">
        <v>18</v>
      </c>
      <c r="C113" s="78"/>
      <c r="D113" s="80" t="s">
        <v>37</v>
      </c>
      <c r="E113" s="80">
        <v>4</v>
      </c>
      <c r="F113" s="87">
        <v>224</v>
      </c>
      <c r="G113" s="87">
        <v>3</v>
      </c>
      <c r="H113" s="80">
        <v>240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P113" s="124">
        <f t="shared" si="12"/>
        <v>0</v>
      </c>
      <c r="Q113" s="124">
        <f t="shared" si="13"/>
        <v>0</v>
      </c>
      <c r="R113" s="161" t="e">
        <f t="shared" si="14"/>
        <v>#DIV/0!</v>
      </c>
      <c r="S113" s="174" t="str">
        <f>D113</f>
        <v xml:space="preserve">K-10 Low </v>
      </c>
      <c r="T113" s="81"/>
      <c r="U113" s="81"/>
      <c r="V113" s="81"/>
      <c r="W113" s="80" t="s">
        <v>172</v>
      </c>
      <c r="Y113" s="87" t="str">
        <f>D113</f>
        <v xml:space="preserve">K-10 Low </v>
      </c>
      <c r="Z113" s="361"/>
      <c r="AA113" s="124"/>
      <c r="AB113" s="124"/>
    </row>
    <row r="114" spans="1:28" s="80" customFormat="1">
      <c r="A114" s="77">
        <v>42891</v>
      </c>
      <c r="B114" s="78">
        <v>18</v>
      </c>
      <c r="C114" s="78"/>
      <c r="D114" s="80" t="s">
        <v>37</v>
      </c>
      <c r="E114" s="80">
        <v>4</v>
      </c>
      <c r="F114" s="87">
        <v>180</v>
      </c>
      <c r="G114" s="87">
        <v>1</v>
      </c>
      <c r="H114" s="80">
        <v>400</v>
      </c>
      <c r="I114" s="80">
        <v>0</v>
      </c>
      <c r="J114" s="80">
        <v>1</v>
      </c>
      <c r="K114" s="80">
        <v>1</v>
      </c>
      <c r="L114" s="80">
        <v>0</v>
      </c>
      <c r="M114" s="80">
        <v>2</v>
      </c>
      <c r="N114" s="80">
        <v>0</v>
      </c>
      <c r="P114" s="124">
        <f t="shared" si="12"/>
        <v>400</v>
      </c>
      <c r="Q114" s="124">
        <f t="shared" si="13"/>
        <v>133.33333333333331</v>
      </c>
      <c r="R114" s="161">
        <f t="shared" si="14"/>
        <v>0.75000000000000011</v>
      </c>
      <c r="S114" s="174">
        <f>(P113+P114+P115)/(P113+P114+P115+Q113+Q114+Q115)</f>
        <v>9.2578305817003562E-3</v>
      </c>
      <c r="T114" s="81"/>
      <c r="U114" s="81"/>
      <c r="V114" s="81"/>
      <c r="Y114" s="87"/>
      <c r="Z114" s="361"/>
      <c r="AA114" s="124"/>
      <c r="AB114" s="124"/>
    </row>
    <row r="115" spans="1:28" s="80" customFormat="1">
      <c r="A115" s="77">
        <v>42891</v>
      </c>
      <c r="B115" s="78">
        <v>18</v>
      </c>
      <c r="C115" s="78"/>
      <c r="D115" s="80" t="s">
        <v>37</v>
      </c>
      <c r="E115" s="80">
        <v>5</v>
      </c>
      <c r="F115" s="87">
        <v>100</v>
      </c>
      <c r="G115" s="87">
        <v>0.5</v>
      </c>
      <c r="H115" s="80">
        <v>370</v>
      </c>
      <c r="I115" s="80">
        <v>0</v>
      </c>
      <c r="J115" s="80">
        <v>55</v>
      </c>
      <c r="K115" s="80">
        <v>0</v>
      </c>
      <c r="L115" s="80">
        <v>69</v>
      </c>
      <c r="M115" s="80">
        <v>0</v>
      </c>
      <c r="N115" s="80">
        <v>49</v>
      </c>
      <c r="P115" s="124">
        <f t="shared" si="12"/>
        <v>0</v>
      </c>
      <c r="Q115" s="124">
        <f t="shared" si="13"/>
        <v>42673.333333333328</v>
      </c>
      <c r="R115" s="161">
        <f t="shared" si="14"/>
        <v>0</v>
      </c>
      <c r="S115" s="174"/>
      <c r="T115" s="81"/>
      <c r="U115" s="81"/>
      <c r="V115" s="81"/>
      <c r="Y115" s="87"/>
      <c r="Z115" s="361"/>
      <c r="AA115" s="124"/>
      <c r="AB115" s="124"/>
    </row>
    <row r="116" spans="1:28" s="80" customFormat="1">
      <c r="A116" s="77">
        <v>42891</v>
      </c>
      <c r="B116" s="78">
        <v>21</v>
      </c>
      <c r="C116" s="78"/>
      <c r="D116" s="80" t="s">
        <v>134</v>
      </c>
      <c r="E116" s="80">
        <v>5</v>
      </c>
      <c r="F116" s="87">
        <v>224</v>
      </c>
      <c r="G116" s="87">
        <v>3</v>
      </c>
      <c r="H116" s="80">
        <v>270</v>
      </c>
      <c r="I116" s="80">
        <v>0</v>
      </c>
      <c r="J116" s="80">
        <v>0</v>
      </c>
      <c r="K116" s="80">
        <v>0</v>
      </c>
      <c r="L116" s="80">
        <v>0</v>
      </c>
      <c r="M116" s="80">
        <v>0</v>
      </c>
      <c r="N116" s="80">
        <v>0</v>
      </c>
      <c r="P116" s="124">
        <f t="shared" si="12"/>
        <v>0</v>
      </c>
      <c r="Q116" s="124">
        <f t="shared" si="13"/>
        <v>0</v>
      </c>
      <c r="R116" s="161" t="e">
        <f t="shared" si="14"/>
        <v>#DIV/0!</v>
      </c>
      <c r="S116" s="174" t="str">
        <f>D116</f>
        <v xml:space="preserve">HL-10 Low </v>
      </c>
      <c r="T116" s="81"/>
      <c r="U116" s="81"/>
      <c r="V116" s="81"/>
      <c r="Y116" s="87" t="str">
        <f>D116</f>
        <v xml:space="preserve">HL-10 Low </v>
      </c>
      <c r="Z116" s="361"/>
      <c r="AA116" s="124"/>
      <c r="AB116" s="124"/>
    </row>
    <row r="117" spans="1:28" s="80" customFormat="1">
      <c r="A117" s="77">
        <v>42891</v>
      </c>
      <c r="B117" s="78">
        <v>21</v>
      </c>
      <c r="C117" s="78"/>
      <c r="D117" s="80" t="s">
        <v>134</v>
      </c>
      <c r="E117" s="80">
        <v>5</v>
      </c>
      <c r="F117" s="87">
        <v>180</v>
      </c>
      <c r="G117" s="87">
        <v>2</v>
      </c>
      <c r="H117" s="80">
        <v>500</v>
      </c>
      <c r="I117" s="80">
        <v>1</v>
      </c>
      <c r="J117" s="80">
        <v>0</v>
      </c>
      <c r="K117" s="80">
        <v>2</v>
      </c>
      <c r="L117" s="80">
        <v>0</v>
      </c>
      <c r="M117" s="80">
        <v>0</v>
      </c>
      <c r="N117" s="80">
        <v>0</v>
      </c>
      <c r="P117" s="124">
        <f t="shared" si="12"/>
        <v>250</v>
      </c>
      <c r="Q117" s="124">
        <f t="shared" si="13"/>
        <v>0</v>
      </c>
      <c r="R117" s="161">
        <f t="shared" si="14"/>
        <v>1</v>
      </c>
      <c r="S117" s="174">
        <f>(P116+P117+P118)/(P116+P117+P118+Q116+Q117+Q118)</f>
        <v>0.90077017999234077</v>
      </c>
      <c r="T117" s="81"/>
      <c r="U117" s="81"/>
      <c r="V117" s="81"/>
      <c r="Y117" s="87"/>
      <c r="Z117" s="361"/>
      <c r="AA117" s="124"/>
      <c r="AB117" s="124"/>
    </row>
    <row r="118" spans="1:28" s="80" customFormat="1">
      <c r="A118" s="77">
        <v>42891</v>
      </c>
      <c r="B118" s="78">
        <v>21</v>
      </c>
      <c r="C118" s="78"/>
      <c r="D118" s="80" t="s">
        <v>134</v>
      </c>
      <c r="E118" s="80">
        <v>5</v>
      </c>
      <c r="F118" s="87">
        <v>100</v>
      </c>
      <c r="G118" s="87">
        <v>0.5</v>
      </c>
      <c r="H118" s="80">
        <v>530</v>
      </c>
      <c r="I118" s="80">
        <v>58</v>
      </c>
      <c r="J118" s="80">
        <v>5</v>
      </c>
      <c r="K118" s="80">
        <v>62</v>
      </c>
      <c r="L118" s="80">
        <v>5</v>
      </c>
      <c r="M118" s="80">
        <v>79</v>
      </c>
      <c r="N118" s="80">
        <v>12</v>
      </c>
      <c r="P118" s="124">
        <f t="shared" si="12"/>
        <v>70313.333333333328</v>
      </c>
      <c r="Q118" s="124">
        <f t="shared" si="13"/>
        <v>7773.333333333333</v>
      </c>
      <c r="R118" s="161">
        <f t="shared" si="14"/>
        <v>0.90045248868778283</v>
      </c>
      <c r="S118" s="174"/>
      <c r="T118" s="81"/>
      <c r="U118" s="81"/>
      <c r="V118" s="81"/>
      <c r="Y118" s="87"/>
      <c r="Z118" s="361"/>
      <c r="AA118" s="124"/>
      <c r="AB118" s="124"/>
    </row>
    <row r="119" spans="1:28" s="80" customFormat="1">
      <c r="A119" s="77">
        <v>42891</v>
      </c>
      <c r="B119" s="78">
        <v>18</v>
      </c>
      <c r="C119" s="78"/>
      <c r="D119" s="80" t="s">
        <v>37</v>
      </c>
      <c r="E119" s="80">
        <v>5</v>
      </c>
      <c r="F119" s="87">
        <v>224</v>
      </c>
      <c r="G119" s="87">
        <v>3</v>
      </c>
      <c r="H119" s="80">
        <v>470</v>
      </c>
      <c r="I119" s="80">
        <v>5</v>
      </c>
      <c r="J119" s="80">
        <v>2</v>
      </c>
      <c r="K119" s="80">
        <v>4</v>
      </c>
      <c r="L119" s="80">
        <v>0</v>
      </c>
      <c r="M119" s="80">
        <v>9</v>
      </c>
      <c r="N119" s="80">
        <v>2</v>
      </c>
      <c r="P119" s="124">
        <f t="shared" si="12"/>
        <v>940</v>
      </c>
      <c r="Q119" s="124">
        <f t="shared" si="13"/>
        <v>208.88888888888889</v>
      </c>
      <c r="R119" s="161">
        <f t="shared" si="14"/>
        <v>0.81818181818181812</v>
      </c>
      <c r="S119" s="174" t="str">
        <f>D119</f>
        <v xml:space="preserve">K-10 Low </v>
      </c>
      <c r="T119" s="81"/>
      <c r="U119" s="81"/>
      <c r="V119" s="81"/>
      <c r="Y119" s="87" t="str">
        <f>D119</f>
        <v xml:space="preserve">K-10 Low </v>
      </c>
      <c r="Z119" s="361"/>
      <c r="AA119" s="124"/>
      <c r="AB119" s="124"/>
    </row>
    <row r="120" spans="1:28" s="80" customFormat="1">
      <c r="A120" s="77">
        <v>42891</v>
      </c>
      <c r="B120" s="78">
        <v>18</v>
      </c>
      <c r="C120" s="78"/>
      <c r="D120" s="80" t="s">
        <v>37</v>
      </c>
      <c r="E120" s="80">
        <v>5</v>
      </c>
      <c r="F120" s="87">
        <v>180</v>
      </c>
      <c r="G120" s="87">
        <v>1</v>
      </c>
      <c r="H120" s="80">
        <v>460</v>
      </c>
      <c r="I120" s="80">
        <v>50</v>
      </c>
      <c r="J120" s="80">
        <v>3</v>
      </c>
      <c r="K120" s="80">
        <v>47</v>
      </c>
      <c r="L120" s="80">
        <v>0</v>
      </c>
      <c r="M120" s="80">
        <v>43</v>
      </c>
      <c r="N120" s="80">
        <v>1</v>
      </c>
      <c r="P120" s="124">
        <f t="shared" si="12"/>
        <v>21466.666666666664</v>
      </c>
      <c r="Q120" s="124">
        <f t="shared" si="13"/>
        <v>613.33333333333326</v>
      </c>
      <c r="R120" s="161">
        <f t="shared" si="14"/>
        <v>0.97222222222222232</v>
      </c>
      <c r="S120" s="174">
        <f>(P119+P120+P121)/(P119+P120+P121+Q119+Q120+Q121)</f>
        <v>0.89954659323823527</v>
      </c>
      <c r="T120" s="81"/>
      <c r="U120" s="81"/>
      <c r="V120" s="81"/>
      <c r="Y120" s="87"/>
      <c r="Z120" s="361"/>
      <c r="AA120" s="124"/>
      <c r="AB120" s="124"/>
    </row>
    <row r="121" spans="1:28" s="80" customFormat="1">
      <c r="A121" s="77">
        <v>42891</v>
      </c>
      <c r="B121" s="78">
        <v>18</v>
      </c>
      <c r="C121" s="78"/>
      <c r="D121" s="80" t="s">
        <v>37</v>
      </c>
      <c r="E121" s="80">
        <v>5</v>
      </c>
      <c r="F121" s="87">
        <v>100</v>
      </c>
      <c r="G121" s="87">
        <v>0.5</v>
      </c>
      <c r="H121" s="80">
        <v>830</v>
      </c>
      <c r="I121" s="80">
        <v>49</v>
      </c>
      <c r="J121" s="80">
        <v>5</v>
      </c>
      <c r="K121" s="80">
        <v>46</v>
      </c>
      <c r="L121" s="80">
        <v>5</v>
      </c>
      <c r="M121" s="80">
        <v>39</v>
      </c>
      <c r="N121" s="80">
        <v>8</v>
      </c>
      <c r="P121" s="124">
        <f t="shared" si="12"/>
        <v>74146.666666666657</v>
      </c>
      <c r="Q121" s="124">
        <f t="shared" si="13"/>
        <v>9960</v>
      </c>
      <c r="R121" s="161">
        <f t="shared" si="14"/>
        <v>0.88157894736842102</v>
      </c>
      <c r="S121" s="174"/>
      <c r="T121" s="81"/>
      <c r="U121" s="81"/>
      <c r="V121" s="81"/>
      <c r="Y121" s="87"/>
      <c r="Z121" s="361"/>
      <c r="AA121" s="124"/>
      <c r="AB121" s="124"/>
    </row>
    <row r="122" spans="1:28" s="80" customFormat="1">
      <c r="A122" s="77">
        <v>42891</v>
      </c>
      <c r="B122" s="78">
        <v>19</v>
      </c>
      <c r="C122" s="78"/>
      <c r="D122" s="80" t="s">
        <v>88</v>
      </c>
      <c r="E122" s="80">
        <v>6</v>
      </c>
      <c r="F122" s="87">
        <v>224</v>
      </c>
      <c r="G122" s="87">
        <v>3</v>
      </c>
      <c r="H122" s="80">
        <v>380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P122" s="124">
        <f t="shared" si="12"/>
        <v>0</v>
      </c>
      <c r="Q122" s="124">
        <f t="shared" si="13"/>
        <v>0</v>
      </c>
      <c r="R122" s="161" t="e">
        <f t="shared" si="14"/>
        <v>#DIV/0!</v>
      </c>
      <c r="S122" s="174" t="str">
        <f>D122</f>
        <v>HL-10 Ambient</v>
      </c>
      <c r="T122" s="81"/>
      <c r="U122" s="81"/>
      <c r="V122" s="81"/>
      <c r="Y122" s="87" t="str">
        <f>D122</f>
        <v>HL-10 Ambient</v>
      </c>
      <c r="Z122" s="361"/>
      <c r="AA122" s="124"/>
      <c r="AB122" s="124"/>
    </row>
    <row r="123" spans="1:28" s="80" customFormat="1">
      <c r="A123" s="77">
        <v>42891</v>
      </c>
      <c r="B123" s="78">
        <v>19</v>
      </c>
      <c r="C123" s="78"/>
      <c r="D123" s="80" t="s">
        <v>88</v>
      </c>
      <c r="E123" s="80">
        <v>6</v>
      </c>
      <c r="F123" s="87">
        <v>180</v>
      </c>
      <c r="G123" s="87">
        <v>0.5</v>
      </c>
      <c r="H123" s="80">
        <v>490</v>
      </c>
      <c r="I123" s="80">
        <v>2</v>
      </c>
      <c r="J123" s="80">
        <v>0</v>
      </c>
      <c r="K123" s="80">
        <v>4</v>
      </c>
      <c r="L123" s="80">
        <v>0</v>
      </c>
      <c r="M123" s="80">
        <v>4</v>
      </c>
      <c r="N123" s="80">
        <v>0</v>
      </c>
      <c r="P123" s="124">
        <f t="shared" si="12"/>
        <v>3266.666666666667</v>
      </c>
      <c r="Q123" s="124">
        <f t="shared" si="13"/>
        <v>0</v>
      </c>
      <c r="R123" s="161">
        <f t="shared" si="14"/>
        <v>1</v>
      </c>
      <c r="S123" s="174">
        <f>(P122+P123+P124)/(P122+P123+P124+Q122+Q123+Q124)</f>
        <v>0.95704367949088809</v>
      </c>
      <c r="T123" s="81"/>
      <c r="Y123" s="87"/>
      <c r="Z123" s="361"/>
      <c r="AA123" s="124"/>
      <c r="AB123" s="124"/>
    </row>
    <row r="124" spans="1:28" s="80" customFormat="1">
      <c r="A124" s="77">
        <v>42891</v>
      </c>
      <c r="B124" s="78">
        <v>19</v>
      </c>
      <c r="C124" s="78"/>
      <c r="D124" s="80" t="s">
        <v>88</v>
      </c>
      <c r="E124" s="80">
        <v>6</v>
      </c>
      <c r="F124" s="87">
        <v>100</v>
      </c>
      <c r="G124" s="87">
        <v>0.5</v>
      </c>
      <c r="H124" s="80">
        <v>540</v>
      </c>
      <c r="I124" s="80">
        <v>75</v>
      </c>
      <c r="J124" s="80">
        <v>4</v>
      </c>
      <c r="K124" s="80">
        <v>83</v>
      </c>
      <c r="L124" s="80">
        <v>3</v>
      </c>
      <c r="M124" s="80">
        <v>78</v>
      </c>
      <c r="N124" s="80">
        <v>4</v>
      </c>
      <c r="P124" s="124">
        <f t="shared" si="12"/>
        <v>84960</v>
      </c>
      <c r="Q124" s="124">
        <f t="shared" si="13"/>
        <v>3960</v>
      </c>
      <c r="R124" s="161">
        <f t="shared" si="14"/>
        <v>0.95546558704453444</v>
      </c>
      <c r="S124" s="174"/>
      <c r="T124" s="81"/>
      <c r="Y124" s="87"/>
      <c r="Z124" s="361"/>
      <c r="AA124" s="124"/>
      <c r="AB124" s="124"/>
    </row>
    <row r="125" spans="1:28" s="80" customFormat="1">
      <c r="A125" s="77">
        <v>42891</v>
      </c>
      <c r="B125" s="78">
        <v>17</v>
      </c>
      <c r="C125" s="78"/>
      <c r="D125" s="79" t="s">
        <v>38</v>
      </c>
      <c r="E125" s="80">
        <v>6</v>
      </c>
      <c r="F125" s="87">
        <v>224</v>
      </c>
      <c r="G125" s="87">
        <v>3</v>
      </c>
      <c r="H125" s="80">
        <v>250</v>
      </c>
      <c r="I125" s="80">
        <v>0</v>
      </c>
      <c r="J125" s="80">
        <v>0</v>
      </c>
      <c r="K125" s="80">
        <v>0</v>
      </c>
      <c r="L125" s="80">
        <v>0</v>
      </c>
      <c r="M125" s="80">
        <v>2</v>
      </c>
      <c r="N125" s="80">
        <v>0</v>
      </c>
      <c r="P125" s="124">
        <f t="shared" si="12"/>
        <v>55.55555555555555</v>
      </c>
      <c r="Q125" s="124">
        <f t="shared" si="13"/>
        <v>0</v>
      </c>
      <c r="R125" s="161">
        <f t="shared" si="14"/>
        <v>1</v>
      </c>
      <c r="S125" s="174" t="str">
        <f>D125</f>
        <v>K-6 Ambient</v>
      </c>
      <c r="T125" s="81"/>
      <c r="Y125" s="87" t="str">
        <f>D125</f>
        <v>K-6 Ambient</v>
      </c>
      <c r="Z125" s="361"/>
      <c r="AA125" s="124"/>
      <c r="AB125" s="124"/>
    </row>
    <row r="126" spans="1:28" s="80" customFormat="1">
      <c r="A126" s="77">
        <v>42891</v>
      </c>
      <c r="B126" s="78">
        <v>17</v>
      </c>
      <c r="C126" s="78"/>
      <c r="D126" s="79" t="s">
        <v>38</v>
      </c>
      <c r="E126" s="80">
        <v>6</v>
      </c>
      <c r="F126" s="87">
        <v>180</v>
      </c>
      <c r="G126" s="87">
        <v>1</v>
      </c>
      <c r="H126" s="80">
        <v>440</v>
      </c>
      <c r="I126" s="80">
        <v>7</v>
      </c>
      <c r="J126" s="80">
        <v>0</v>
      </c>
      <c r="K126" s="80">
        <v>9</v>
      </c>
      <c r="L126" s="80">
        <v>0</v>
      </c>
      <c r="M126" s="80">
        <v>10</v>
      </c>
      <c r="N126" s="80">
        <v>0</v>
      </c>
      <c r="P126" s="124">
        <f t="shared" si="12"/>
        <v>3813.333333333333</v>
      </c>
      <c r="Q126" s="124">
        <f t="shared" si="13"/>
        <v>0</v>
      </c>
      <c r="R126" s="161">
        <f t="shared" si="14"/>
        <v>1</v>
      </c>
      <c r="S126" s="174">
        <f>(P125+P126+P127)/(P125+P126+P127+Q125+Q126+Q127)</f>
        <v>0.88352628524299726</v>
      </c>
      <c r="T126" s="81"/>
      <c r="Y126" s="87"/>
      <c r="Z126" s="361"/>
      <c r="AA126" s="124"/>
      <c r="AB126" s="124"/>
    </row>
    <row r="127" spans="1:28" s="80" customFormat="1">
      <c r="A127" s="77">
        <v>42891</v>
      </c>
      <c r="B127" s="78">
        <v>17</v>
      </c>
      <c r="C127" s="78"/>
      <c r="D127" s="79" t="s">
        <v>38</v>
      </c>
      <c r="E127" s="80">
        <v>6</v>
      </c>
      <c r="F127" s="87">
        <v>100</v>
      </c>
      <c r="G127" s="87">
        <v>0.5</v>
      </c>
      <c r="H127" s="80">
        <v>410</v>
      </c>
      <c r="I127" s="80">
        <v>14</v>
      </c>
      <c r="J127" s="80">
        <v>15</v>
      </c>
      <c r="K127" s="80">
        <v>105</v>
      </c>
      <c r="L127" s="80">
        <v>9</v>
      </c>
      <c r="M127" s="80">
        <v>102</v>
      </c>
      <c r="N127" s="80">
        <v>7</v>
      </c>
      <c r="P127" s="124">
        <f t="shared" si="12"/>
        <v>60406.666666666672</v>
      </c>
      <c r="Q127" s="124">
        <f t="shared" si="13"/>
        <v>8473.3333333333339</v>
      </c>
      <c r="R127" s="161">
        <f t="shared" si="14"/>
        <v>0.87698412698412709</v>
      </c>
      <c r="S127" s="174"/>
      <c r="T127" s="81"/>
      <c r="Y127" s="87"/>
      <c r="Z127" s="361"/>
      <c r="AA127" s="124"/>
      <c r="AB127" s="124"/>
    </row>
    <row r="128" spans="1:28" s="80" customFormat="1">
      <c r="A128" s="77">
        <v>42891</v>
      </c>
      <c r="B128" s="78">
        <v>20</v>
      </c>
      <c r="C128" s="78"/>
      <c r="D128" s="80" t="s">
        <v>46</v>
      </c>
      <c r="E128" s="80">
        <v>6</v>
      </c>
      <c r="F128" s="87">
        <v>224</v>
      </c>
      <c r="G128" s="80">
        <v>3</v>
      </c>
      <c r="H128" s="80">
        <v>250</v>
      </c>
      <c r="I128" s="80">
        <v>0</v>
      </c>
      <c r="J128" s="80">
        <v>0</v>
      </c>
      <c r="K128" s="80">
        <v>0</v>
      </c>
      <c r="L128" s="80">
        <v>0</v>
      </c>
      <c r="M128" s="80">
        <v>0</v>
      </c>
      <c r="N128" s="80">
        <v>0</v>
      </c>
      <c r="P128" s="124">
        <f t="shared" ref="P128:P129" si="15">(AVERAGE(I128,K128,M128)/G128)*H128</f>
        <v>0</v>
      </c>
      <c r="Q128" s="124">
        <f t="shared" si="13"/>
        <v>0</v>
      </c>
      <c r="R128" s="161" t="e">
        <f t="shared" si="14"/>
        <v>#DIV/0!</v>
      </c>
      <c r="S128" s="174" t="str">
        <f>D128</f>
        <v>K-6 Low</v>
      </c>
      <c r="Y128" s="87" t="str">
        <f>D128</f>
        <v>K-6 Low</v>
      </c>
      <c r="Z128" s="361"/>
      <c r="AA128" s="124"/>
      <c r="AB128" s="124"/>
    </row>
    <row r="129" spans="1:29" s="80" customFormat="1">
      <c r="A129" s="77">
        <v>42891</v>
      </c>
      <c r="B129" s="78">
        <v>20</v>
      </c>
      <c r="C129" s="78"/>
      <c r="D129" s="80" t="s">
        <v>46</v>
      </c>
      <c r="E129" s="80">
        <v>6</v>
      </c>
      <c r="F129" s="87">
        <v>180</v>
      </c>
      <c r="G129" s="80">
        <v>2</v>
      </c>
      <c r="H129" s="80">
        <v>250</v>
      </c>
      <c r="I129" s="80">
        <v>3</v>
      </c>
      <c r="J129" s="80">
        <v>0</v>
      </c>
      <c r="K129" s="80">
        <v>5</v>
      </c>
      <c r="L129" s="80">
        <v>0</v>
      </c>
      <c r="M129" s="80">
        <v>1</v>
      </c>
      <c r="N129" s="80">
        <v>0</v>
      </c>
      <c r="P129" s="124">
        <f t="shared" si="15"/>
        <v>375</v>
      </c>
      <c r="Q129" s="124">
        <f t="shared" si="13"/>
        <v>0</v>
      </c>
      <c r="R129" s="161">
        <f t="shared" si="14"/>
        <v>1</v>
      </c>
      <c r="S129" s="174">
        <f>(P128+P129+P130)/(P128+P129+P130+Q128+Q129+Q130)</f>
        <v>0.91578947368421049</v>
      </c>
      <c r="Y129" s="87"/>
      <c r="Z129" s="361"/>
      <c r="AA129" s="124"/>
      <c r="AB129" s="124"/>
    </row>
    <row r="130" spans="1:29" s="80" customFormat="1">
      <c r="A130" s="77">
        <v>42891</v>
      </c>
      <c r="B130" s="78">
        <v>20</v>
      </c>
      <c r="C130" s="78"/>
      <c r="D130" s="80" t="s">
        <v>46</v>
      </c>
      <c r="E130" s="80">
        <v>6</v>
      </c>
      <c r="F130" s="87">
        <v>100</v>
      </c>
      <c r="G130" s="80">
        <v>0.5</v>
      </c>
      <c r="H130" s="80">
        <v>300</v>
      </c>
      <c r="I130" s="80">
        <v>4</v>
      </c>
      <c r="J130" s="80">
        <v>1</v>
      </c>
      <c r="K130" s="80">
        <v>5</v>
      </c>
      <c r="L130" s="80">
        <v>0</v>
      </c>
      <c r="M130" s="80">
        <v>0</v>
      </c>
      <c r="N130" s="80">
        <v>0</v>
      </c>
      <c r="P130" s="124">
        <f>(AVERAGE(I130,K130,M130)/G130)*H130</f>
        <v>1800</v>
      </c>
      <c r="Q130" s="124">
        <f t="shared" si="13"/>
        <v>200</v>
      </c>
      <c r="R130" s="161">
        <f t="shared" si="14"/>
        <v>0.9</v>
      </c>
      <c r="S130" s="174"/>
      <c r="Y130" s="87"/>
      <c r="Z130" s="361"/>
      <c r="AA130" s="124"/>
      <c r="AB130" s="124"/>
    </row>
    <row r="131" spans="1:29" s="80" customFormat="1">
      <c r="A131" s="77">
        <v>42891</v>
      </c>
      <c r="B131" s="78">
        <v>22</v>
      </c>
      <c r="C131" s="78"/>
      <c r="D131" s="80" t="s">
        <v>17</v>
      </c>
      <c r="E131" s="80">
        <v>7</v>
      </c>
      <c r="F131" s="87">
        <v>224</v>
      </c>
      <c r="G131" s="80">
        <v>3</v>
      </c>
      <c r="H131" s="80">
        <v>450</v>
      </c>
      <c r="I131" s="80">
        <v>1</v>
      </c>
      <c r="J131" s="80">
        <v>0</v>
      </c>
      <c r="K131" s="80">
        <v>2</v>
      </c>
      <c r="L131" s="80">
        <v>0</v>
      </c>
      <c r="M131" s="80">
        <v>1</v>
      </c>
      <c r="N131" s="80">
        <v>0</v>
      </c>
      <c r="P131" s="124">
        <f t="shared" si="12"/>
        <v>200</v>
      </c>
      <c r="Q131" s="124">
        <f t="shared" si="13"/>
        <v>0</v>
      </c>
      <c r="R131" s="161">
        <f t="shared" si="14"/>
        <v>1</v>
      </c>
      <c r="S131" s="174" t="str">
        <f>D131</f>
        <v>K-10 Ambient</v>
      </c>
      <c r="Y131" s="87" t="str">
        <f>D131</f>
        <v>K-10 Ambient</v>
      </c>
      <c r="Z131" s="361"/>
      <c r="AA131" s="124"/>
      <c r="AB131" s="124"/>
    </row>
    <row r="132" spans="1:29" s="80" customFormat="1">
      <c r="A132" s="77">
        <v>42891</v>
      </c>
      <c r="B132" s="78">
        <v>22</v>
      </c>
      <c r="C132" s="78"/>
      <c r="D132" s="80" t="s">
        <v>17</v>
      </c>
      <c r="E132" s="80">
        <v>7</v>
      </c>
      <c r="F132" s="87">
        <v>180</v>
      </c>
      <c r="G132" s="80">
        <v>1</v>
      </c>
      <c r="H132" s="80">
        <v>500</v>
      </c>
      <c r="I132" s="80">
        <v>47</v>
      </c>
      <c r="J132" s="80">
        <v>10</v>
      </c>
      <c r="K132" s="80">
        <v>34</v>
      </c>
      <c r="L132" s="80">
        <v>6</v>
      </c>
      <c r="M132" s="80">
        <v>26</v>
      </c>
      <c r="N132" s="80">
        <v>6</v>
      </c>
      <c r="P132" s="124">
        <f t="shared" si="12"/>
        <v>17833.333333333332</v>
      </c>
      <c r="Q132" s="124">
        <f t="shared" si="13"/>
        <v>3666.6666666666665</v>
      </c>
      <c r="R132" s="161">
        <f t="shared" si="14"/>
        <v>0.82945736434108519</v>
      </c>
      <c r="S132" s="174">
        <f>(P131+P132+P133)/(P131+P132+P133+Q131+Q132+Q133)</f>
        <v>0.762990335417851</v>
      </c>
      <c r="Y132" s="87"/>
      <c r="Z132" s="361"/>
      <c r="AA132" s="124"/>
      <c r="AB132" s="124"/>
    </row>
    <row r="133" spans="1:29" s="157" customFormat="1">
      <c r="A133" s="155">
        <v>42891</v>
      </c>
      <c r="B133" s="156">
        <v>22</v>
      </c>
      <c r="C133" s="156"/>
      <c r="D133" s="157" t="s">
        <v>17</v>
      </c>
      <c r="E133" s="157">
        <v>7</v>
      </c>
      <c r="F133" s="158">
        <v>100</v>
      </c>
      <c r="G133" s="157">
        <v>0.5</v>
      </c>
      <c r="H133" s="157">
        <v>470</v>
      </c>
      <c r="I133" s="157">
        <v>74</v>
      </c>
      <c r="J133" s="157">
        <v>20</v>
      </c>
      <c r="K133" s="157">
        <v>70</v>
      </c>
      <c r="L133" s="157">
        <v>34</v>
      </c>
      <c r="M133" s="157">
        <v>84</v>
      </c>
      <c r="N133" s="157">
        <v>23</v>
      </c>
      <c r="P133" s="124">
        <f>(AVERAGE(I133,K133,M133)/G133)*H133</f>
        <v>71440</v>
      </c>
      <c r="Q133" s="159">
        <f t="shared" si="13"/>
        <v>24126.666666666668</v>
      </c>
      <c r="R133" s="162">
        <f t="shared" si="14"/>
        <v>0.7475409836065573</v>
      </c>
      <c r="S133" s="174"/>
      <c r="Y133" s="158"/>
      <c r="Z133" s="362"/>
      <c r="AA133" s="159"/>
      <c r="AB133" s="159"/>
    </row>
    <row r="134" spans="1:29" s="85" customFormat="1" ht="16" thickBot="1">
      <c r="A134" s="82">
        <v>42891</v>
      </c>
      <c r="B134" s="83">
        <v>2</v>
      </c>
      <c r="C134" s="83" t="s">
        <v>213</v>
      </c>
      <c r="D134" s="157" t="s">
        <v>17</v>
      </c>
      <c r="F134" s="140">
        <v>100</v>
      </c>
      <c r="G134" s="85">
        <v>0.5</v>
      </c>
      <c r="H134" s="85">
        <v>520</v>
      </c>
      <c r="I134" s="85">
        <v>34</v>
      </c>
      <c r="J134" s="85">
        <v>0</v>
      </c>
      <c r="K134" s="85">
        <v>45</v>
      </c>
      <c r="L134" s="85">
        <v>0</v>
      </c>
      <c r="M134" s="85">
        <v>38</v>
      </c>
      <c r="N134" s="85">
        <v>0</v>
      </c>
      <c r="P134" s="141">
        <f>(AVERAGE(I134,K134,M134)/G134)*H134</f>
        <v>40560</v>
      </c>
      <c r="Q134" s="141">
        <f t="shared" si="13"/>
        <v>0</v>
      </c>
      <c r="R134" s="164">
        <f t="shared" si="14"/>
        <v>1</v>
      </c>
      <c r="S134" s="175"/>
      <c r="Y134" s="140"/>
      <c r="Z134" s="363"/>
      <c r="AA134" s="141"/>
      <c r="AB134" s="141"/>
    </row>
    <row r="135" spans="1:29" s="137" customFormat="1">
      <c r="A135" s="134">
        <v>42895</v>
      </c>
      <c r="B135" s="135"/>
      <c r="C135" s="135"/>
      <c r="D135" s="136" t="s">
        <v>77</v>
      </c>
      <c r="E135" s="137">
        <v>1</v>
      </c>
      <c r="F135" s="153">
        <v>224</v>
      </c>
      <c r="G135" s="138">
        <v>1</v>
      </c>
      <c r="H135" s="138">
        <v>375</v>
      </c>
      <c r="I135" s="138">
        <v>1</v>
      </c>
      <c r="J135" s="138">
        <v>0</v>
      </c>
      <c r="K135" s="138">
        <v>2</v>
      </c>
      <c r="L135" s="138">
        <v>0</v>
      </c>
      <c r="M135" s="138">
        <v>1</v>
      </c>
      <c r="N135" s="138">
        <v>0</v>
      </c>
      <c r="O135" s="138"/>
      <c r="P135" s="139">
        <f>(AVERAGE(I135,K135,M135)/G135)*H135</f>
        <v>500</v>
      </c>
      <c r="Q135" s="139">
        <f t="shared" si="13"/>
        <v>0</v>
      </c>
      <c r="R135" s="163">
        <f t="shared" si="14"/>
        <v>1</v>
      </c>
      <c r="S135" s="180" t="str">
        <f>D135</f>
        <v>SN-6 Low</v>
      </c>
      <c r="Y135" s="89" t="str">
        <f>D135</f>
        <v>SN-6 Low</v>
      </c>
      <c r="Z135" s="364"/>
      <c r="AA135" s="198"/>
      <c r="AB135" s="198"/>
    </row>
    <row r="136" spans="1:29" s="62" customFormat="1">
      <c r="A136" s="134">
        <v>42895</v>
      </c>
      <c r="B136" s="60"/>
      <c r="C136" s="60"/>
      <c r="D136" s="136" t="s">
        <v>77</v>
      </c>
      <c r="E136" s="137">
        <v>1</v>
      </c>
      <c r="F136" s="89">
        <v>180</v>
      </c>
      <c r="G136" s="64">
        <v>0.5</v>
      </c>
      <c r="H136" s="64">
        <v>800</v>
      </c>
      <c r="I136" s="64">
        <v>13</v>
      </c>
      <c r="J136" s="64">
        <v>0</v>
      </c>
      <c r="K136" s="64">
        <v>14</v>
      </c>
      <c r="L136" s="64">
        <v>1</v>
      </c>
      <c r="M136" s="64">
        <v>16</v>
      </c>
      <c r="N136" s="64">
        <v>0</v>
      </c>
      <c r="O136" s="64"/>
      <c r="P136" s="139">
        <f t="shared" ref="P136:P192" si="16">(AVERAGE(I136,K136,M136)/G136)*H136</f>
        <v>22933.333333333336</v>
      </c>
      <c r="Q136" s="139">
        <f t="shared" si="13"/>
        <v>533.33333333333326</v>
      </c>
      <c r="R136" s="163">
        <f t="shared" si="14"/>
        <v>0.97727272727272729</v>
      </c>
      <c r="S136" s="181">
        <f>(SUM(P135:P138)/(SUM(P135:Q138)))</f>
        <v>0.43924592973436166</v>
      </c>
      <c r="U136" s="65"/>
      <c r="V136" s="65"/>
      <c r="Y136" s="89"/>
      <c r="Z136" s="357"/>
      <c r="AA136" s="120"/>
      <c r="AB136" s="120"/>
    </row>
    <row r="137" spans="1:29" s="62" customFormat="1">
      <c r="A137" s="134">
        <v>42895</v>
      </c>
      <c r="B137" s="60"/>
      <c r="C137" s="60"/>
      <c r="D137" s="136" t="s">
        <v>77</v>
      </c>
      <c r="E137" s="137">
        <v>1</v>
      </c>
      <c r="F137" s="89">
        <v>100</v>
      </c>
      <c r="G137" s="64">
        <v>0.5</v>
      </c>
      <c r="H137" s="64">
        <v>325</v>
      </c>
      <c r="I137" s="64">
        <v>35</v>
      </c>
      <c r="J137" s="64">
        <v>0</v>
      </c>
      <c r="K137" s="64">
        <v>28</v>
      </c>
      <c r="L137" s="64">
        <v>0</v>
      </c>
      <c r="M137" s="64">
        <v>26</v>
      </c>
      <c r="N137" s="64">
        <v>0</v>
      </c>
      <c r="O137" s="64"/>
      <c r="P137" s="139">
        <f t="shared" si="16"/>
        <v>19283.333333333336</v>
      </c>
      <c r="Q137" s="139">
        <f t="shared" si="13"/>
        <v>0</v>
      </c>
      <c r="R137" s="163">
        <f t="shared" si="14"/>
        <v>1</v>
      </c>
      <c r="S137" s="179"/>
      <c r="U137" s="65"/>
      <c r="V137" s="65"/>
      <c r="Y137" s="89"/>
      <c r="Z137" s="357"/>
      <c r="AA137" s="120"/>
      <c r="AB137" s="120"/>
    </row>
    <row r="138" spans="1:29" s="62" customFormat="1">
      <c r="A138" s="134">
        <v>42895</v>
      </c>
      <c r="B138" s="60"/>
      <c r="C138" s="60"/>
      <c r="D138" s="136" t="s">
        <v>77</v>
      </c>
      <c r="E138" s="137">
        <v>1</v>
      </c>
      <c r="F138" s="89" t="s">
        <v>203</v>
      </c>
      <c r="G138" s="64">
        <v>0.5</v>
      </c>
      <c r="H138" s="64">
        <v>500</v>
      </c>
      <c r="I138" s="64">
        <v>0</v>
      </c>
      <c r="J138" s="64">
        <v>52</v>
      </c>
      <c r="K138" s="64">
        <v>0</v>
      </c>
      <c r="L138" s="64">
        <v>80</v>
      </c>
      <c r="M138" s="64">
        <v>0</v>
      </c>
      <c r="N138" s="64">
        <v>30</v>
      </c>
      <c r="O138" s="64"/>
      <c r="P138" s="139">
        <f t="shared" si="16"/>
        <v>0</v>
      </c>
      <c r="Q138" s="139">
        <f t="shared" si="13"/>
        <v>54000</v>
      </c>
      <c r="R138" s="163">
        <f t="shared" si="14"/>
        <v>0</v>
      </c>
      <c r="S138" s="182"/>
      <c r="U138" s="65"/>
      <c r="V138" s="65"/>
      <c r="Y138" s="89"/>
      <c r="Z138" s="357"/>
      <c r="AA138" s="120"/>
      <c r="AB138" s="120"/>
    </row>
    <row r="139" spans="1:29" s="62" customFormat="1">
      <c r="A139" s="134">
        <v>42895</v>
      </c>
      <c r="B139" s="60"/>
      <c r="C139" s="60"/>
      <c r="D139" s="62" t="s">
        <v>105</v>
      </c>
      <c r="E139" s="137">
        <v>1</v>
      </c>
      <c r="F139" s="89">
        <v>224</v>
      </c>
      <c r="G139" s="64">
        <v>2</v>
      </c>
      <c r="H139" s="64">
        <v>525</v>
      </c>
      <c r="I139" s="64">
        <v>0</v>
      </c>
      <c r="J139" s="64">
        <v>0</v>
      </c>
      <c r="K139" s="64">
        <v>0</v>
      </c>
      <c r="L139" s="64">
        <v>0</v>
      </c>
      <c r="M139" s="64">
        <v>0</v>
      </c>
      <c r="N139" s="64">
        <v>0</v>
      </c>
      <c r="O139" s="64"/>
      <c r="P139" s="139">
        <f t="shared" si="16"/>
        <v>0</v>
      </c>
      <c r="Q139" s="139">
        <f t="shared" si="13"/>
        <v>0</v>
      </c>
      <c r="R139" s="163" t="e">
        <f t="shared" si="14"/>
        <v>#DIV/0!</v>
      </c>
      <c r="S139" s="183" t="str">
        <f>D139</f>
        <v>NF-6 Low</v>
      </c>
      <c r="U139" s="65"/>
      <c r="V139" s="65"/>
      <c r="Y139" s="89" t="str">
        <f>D139</f>
        <v>NF-6 Low</v>
      </c>
      <c r="Z139" s="357"/>
      <c r="AA139" s="120"/>
      <c r="AB139" s="120"/>
    </row>
    <row r="140" spans="1:29" s="62" customFormat="1">
      <c r="A140" s="134">
        <v>42895</v>
      </c>
      <c r="B140" s="60"/>
      <c r="C140" s="60"/>
      <c r="D140" s="62" t="s">
        <v>105</v>
      </c>
      <c r="E140" s="137">
        <v>1</v>
      </c>
      <c r="F140" s="89">
        <v>180</v>
      </c>
      <c r="G140" s="64">
        <v>0.5</v>
      </c>
      <c r="H140" s="64">
        <v>525</v>
      </c>
      <c r="I140" s="64">
        <v>3</v>
      </c>
      <c r="J140" s="64">
        <v>1</v>
      </c>
      <c r="K140" s="64">
        <v>1</v>
      </c>
      <c r="L140" s="64">
        <v>1</v>
      </c>
      <c r="M140" s="64">
        <v>1</v>
      </c>
      <c r="N140" s="64">
        <v>0</v>
      </c>
      <c r="O140" s="64"/>
      <c r="P140" s="139">
        <f t="shared" si="16"/>
        <v>1750</v>
      </c>
      <c r="Q140" s="139">
        <f t="shared" si="13"/>
        <v>700</v>
      </c>
      <c r="R140" s="163">
        <f t="shared" si="14"/>
        <v>0.7142857142857143</v>
      </c>
      <c r="S140" s="181">
        <f>(SUM(P139:P142)/(SUM(P139:Q142)))</f>
        <v>0.37013089418072853</v>
      </c>
      <c r="U140" s="65"/>
      <c r="V140" s="65"/>
      <c r="Y140" s="89"/>
      <c r="Z140" s="357"/>
      <c r="AA140" s="120"/>
      <c r="AB140" s="120"/>
    </row>
    <row r="141" spans="1:29" s="62" customFormat="1">
      <c r="A141" s="134">
        <v>42895</v>
      </c>
      <c r="B141" s="60"/>
      <c r="C141" s="60"/>
      <c r="D141" s="62" t="s">
        <v>105</v>
      </c>
      <c r="E141" s="137">
        <v>1</v>
      </c>
      <c r="F141" s="89">
        <v>100</v>
      </c>
      <c r="G141" s="64">
        <v>0.5</v>
      </c>
      <c r="H141" s="64">
        <v>750</v>
      </c>
      <c r="I141" s="64">
        <v>26</v>
      </c>
      <c r="J141" s="64">
        <v>25</v>
      </c>
      <c r="K141" s="64">
        <v>25</v>
      </c>
      <c r="L141" s="64">
        <v>11</v>
      </c>
      <c r="M141" s="64">
        <v>23</v>
      </c>
      <c r="N141" s="64">
        <v>7</v>
      </c>
      <c r="O141" s="64"/>
      <c r="P141" s="139">
        <f t="shared" si="16"/>
        <v>37000</v>
      </c>
      <c r="Q141" s="139">
        <f t="shared" si="13"/>
        <v>21500</v>
      </c>
      <c r="R141" s="163">
        <f t="shared" si="14"/>
        <v>0.63247863247863245</v>
      </c>
      <c r="S141" s="182"/>
      <c r="U141" s="65"/>
      <c r="V141" s="65"/>
      <c r="Y141" s="89"/>
      <c r="Z141" s="357"/>
      <c r="AA141" s="120"/>
      <c r="AB141" s="120"/>
    </row>
    <row r="142" spans="1:29" s="62" customFormat="1">
      <c r="A142" s="134">
        <v>42895</v>
      </c>
      <c r="B142" s="60"/>
      <c r="C142" s="60"/>
      <c r="D142" s="62" t="s">
        <v>105</v>
      </c>
      <c r="E142" s="137">
        <v>1</v>
      </c>
      <c r="F142" s="89" t="s">
        <v>203</v>
      </c>
      <c r="G142" s="64">
        <v>0.5</v>
      </c>
      <c r="H142" s="64">
        <v>550</v>
      </c>
      <c r="I142" s="64">
        <v>0</v>
      </c>
      <c r="J142" s="64">
        <v>45</v>
      </c>
      <c r="K142" s="64">
        <v>1</v>
      </c>
      <c r="L142" s="64">
        <v>34</v>
      </c>
      <c r="M142" s="64">
        <v>0</v>
      </c>
      <c r="N142" s="64">
        <v>42</v>
      </c>
      <c r="O142" s="64"/>
      <c r="P142" s="139">
        <f t="shared" si="16"/>
        <v>366.66666666666663</v>
      </c>
      <c r="Q142" s="139">
        <f t="shared" si="13"/>
        <v>44366.666666666672</v>
      </c>
      <c r="R142" s="163">
        <f t="shared" si="14"/>
        <v>8.1967213114754085E-3</v>
      </c>
      <c r="S142" s="182"/>
      <c r="U142" s="65"/>
      <c r="V142" s="65"/>
      <c r="Y142" s="89"/>
      <c r="Z142" s="357"/>
      <c r="AA142" s="120"/>
      <c r="AB142" s="120"/>
    </row>
    <row r="143" spans="1:29" s="62" customFormat="1">
      <c r="A143" s="134">
        <v>42895</v>
      </c>
      <c r="B143" s="60"/>
      <c r="C143" s="60"/>
      <c r="D143" s="62" t="s">
        <v>86</v>
      </c>
      <c r="E143" s="62">
        <v>2</v>
      </c>
      <c r="F143" s="89">
        <v>224</v>
      </c>
      <c r="G143" s="64">
        <v>1</v>
      </c>
      <c r="H143" s="64">
        <v>450</v>
      </c>
      <c r="I143" s="64">
        <v>1</v>
      </c>
      <c r="J143" s="64">
        <v>0</v>
      </c>
      <c r="K143" s="64">
        <v>0</v>
      </c>
      <c r="L143" s="64">
        <v>0</v>
      </c>
      <c r="M143" s="64">
        <v>0</v>
      </c>
      <c r="N143" s="64">
        <v>0</v>
      </c>
      <c r="O143" s="64"/>
      <c r="P143" s="139">
        <f t="shared" si="16"/>
        <v>150</v>
      </c>
      <c r="Q143" s="139">
        <f t="shared" si="13"/>
        <v>0</v>
      </c>
      <c r="R143" s="163">
        <f t="shared" si="14"/>
        <v>1</v>
      </c>
      <c r="S143" s="183" t="str">
        <f>D143</f>
        <v>SN-10 Ambient</v>
      </c>
      <c r="U143" s="65"/>
      <c r="V143" s="65"/>
      <c r="Y143" s="89" t="str">
        <f>D143</f>
        <v>SN-10 Ambient</v>
      </c>
      <c r="Z143" s="357"/>
      <c r="AA143" s="120"/>
      <c r="AB143" s="120"/>
      <c r="AC143" s="347"/>
    </row>
    <row r="144" spans="1:29" s="62" customFormat="1">
      <c r="A144" s="134">
        <v>42895</v>
      </c>
      <c r="B144" s="60"/>
      <c r="C144" s="60"/>
      <c r="D144" s="62" t="s">
        <v>86</v>
      </c>
      <c r="E144" s="62">
        <v>2</v>
      </c>
      <c r="F144" s="89">
        <v>180</v>
      </c>
      <c r="G144" s="64">
        <v>0.5</v>
      </c>
      <c r="H144" s="64">
        <v>810</v>
      </c>
      <c r="I144" s="64">
        <v>51</v>
      </c>
      <c r="J144" s="64">
        <v>2</v>
      </c>
      <c r="K144" s="64">
        <v>57</v>
      </c>
      <c r="L144" s="64">
        <v>1</v>
      </c>
      <c r="M144" s="64">
        <v>67</v>
      </c>
      <c r="N144" s="64">
        <v>0</v>
      </c>
      <c r="O144" s="64"/>
      <c r="P144" s="139">
        <f t="shared" si="16"/>
        <v>94500</v>
      </c>
      <c r="Q144" s="139">
        <f t="shared" si="13"/>
        <v>1620</v>
      </c>
      <c r="R144" s="163">
        <f t="shared" si="14"/>
        <v>0.9831460674157303</v>
      </c>
      <c r="S144" s="181">
        <f>(SUM(P143:P146)/(SUM(P143:Q146)))</f>
        <v>0.62550352645192298</v>
      </c>
      <c r="U144" s="65"/>
      <c r="V144" s="65"/>
      <c r="Y144" s="89"/>
      <c r="Z144" s="357"/>
      <c r="AA144" s="120"/>
      <c r="AB144" s="120"/>
    </row>
    <row r="145" spans="1:28" s="62" customFormat="1">
      <c r="A145" s="134">
        <v>42895</v>
      </c>
      <c r="B145" s="60"/>
      <c r="C145" s="60"/>
      <c r="D145" s="62" t="s">
        <v>86</v>
      </c>
      <c r="E145" s="62">
        <v>2</v>
      </c>
      <c r="F145" s="89">
        <v>100</v>
      </c>
      <c r="G145" s="64">
        <v>0.5</v>
      </c>
      <c r="H145" s="64">
        <v>625</v>
      </c>
      <c r="I145" s="64">
        <v>46</v>
      </c>
      <c r="J145" s="64">
        <v>2</v>
      </c>
      <c r="K145" s="64">
        <v>51</v>
      </c>
      <c r="L145" s="64">
        <v>5</v>
      </c>
      <c r="M145" s="64">
        <v>27</v>
      </c>
      <c r="N145" s="64">
        <v>11</v>
      </c>
      <c r="O145" s="64"/>
      <c r="P145" s="139">
        <f t="shared" si="16"/>
        <v>51666.666666666672</v>
      </c>
      <c r="Q145" s="139">
        <f t="shared" si="13"/>
        <v>7500</v>
      </c>
      <c r="R145" s="163">
        <f t="shared" si="14"/>
        <v>0.87323943661971837</v>
      </c>
      <c r="S145" s="182"/>
      <c r="U145" s="65"/>
      <c r="V145" s="65"/>
      <c r="Y145" s="89"/>
      <c r="Z145" s="357"/>
      <c r="AA145" s="120"/>
      <c r="AB145" s="120"/>
    </row>
    <row r="146" spans="1:28" s="62" customFormat="1">
      <c r="A146" s="134">
        <v>42895</v>
      </c>
      <c r="B146" s="60"/>
      <c r="C146" s="60"/>
      <c r="D146" s="62" t="s">
        <v>86</v>
      </c>
      <c r="E146" s="62">
        <v>2</v>
      </c>
      <c r="F146" s="89" t="s">
        <v>203</v>
      </c>
      <c r="G146" s="64">
        <v>0.5</v>
      </c>
      <c r="H146" s="64">
        <v>600</v>
      </c>
      <c r="I146" s="64">
        <v>0</v>
      </c>
      <c r="J146" s="64">
        <v>62</v>
      </c>
      <c r="K146" s="64">
        <v>2</v>
      </c>
      <c r="L146" s="64">
        <v>63</v>
      </c>
      <c r="M146" s="64">
        <v>1</v>
      </c>
      <c r="N146" s="64">
        <v>73</v>
      </c>
      <c r="O146" s="64"/>
      <c r="P146" s="139">
        <f t="shared" si="16"/>
        <v>1200</v>
      </c>
      <c r="Q146" s="139">
        <f t="shared" si="13"/>
        <v>79200</v>
      </c>
      <c r="R146" s="163">
        <f t="shared" si="14"/>
        <v>1.4925373134328358E-2</v>
      </c>
      <c r="S146" s="182"/>
      <c r="U146" s="65"/>
      <c r="V146" s="65"/>
      <c r="Y146" s="89"/>
      <c r="Z146" s="357"/>
      <c r="AA146" s="120"/>
      <c r="AB146" s="120"/>
    </row>
    <row r="147" spans="1:28" s="62" customFormat="1">
      <c r="A147" s="134">
        <v>42895</v>
      </c>
      <c r="B147" s="60"/>
      <c r="C147" s="60"/>
      <c r="D147" s="61" t="s">
        <v>85</v>
      </c>
      <c r="E147" s="62">
        <v>2</v>
      </c>
      <c r="F147" s="89">
        <v>224</v>
      </c>
      <c r="G147" s="64">
        <v>1</v>
      </c>
      <c r="H147" s="64">
        <v>460</v>
      </c>
      <c r="I147" s="64">
        <v>2</v>
      </c>
      <c r="J147" s="64">
        <v>0</v>
      </c>
      <c r="K147" s="64">
        <v>1</v>
      </c>
      <c r="L147" s="64">
        <v>0</v>
      </c>
      <c r="M147" s="64">
        <v>1</v>
      </c>
      <c r="N147" s="64">
        <v>0</v>
      </c>
      <c r="O147" s="64"/>
      <c r="P147" s="139">
        <f t="shared" si="16"/>
        <v>613.33333333333326</v>
      </c>
      <c r="Q147" s="139">
        <f t="shared" si="13"/>
        <v>0</v>
      </c>
      <c r="R147" s="163">
        <f t="shared" si="14"/>
        <v>1</v>
      </c>
      <c r="S147" s="183" t="str">
        <f>D147</f>
        <v>NF-6 Ambient</v>
      </c>
      <c r="U147" s="65"/>
      <c r="V147" s="65"/>
      <c r="Y147" s="89" t="str">
        <f>D147</f>
        <v>NF-6 Ambient</v>
      </c>
      <c r="Z147" s="357"/>
      <c r="AA147" s="120"/>
      <c r="AB147" s="120"/>
    </row>
    <row r="148" spans="1:28" s="62" customFormat="1">
      <c r="A148" s="134">
        <v>42895</v>
      </c>
      <c r="B148" s="60"/>
      <c r="C148" s="60"/>
      <c r="D148" s="61" t="s">
        <v>85</v>
      </c>
      <c r="E148" s="62">
        <v>2</v>
      </c>
      <c r="F148" s="89">
        <v>180</v>
      </c>
      <c r="G148" s="64">
        <v>0.5</v>
      </c>
      <c r="H148" s="64">
        <v>850</v>
      </c>
      <c r="I148" s="64">
        <v>24</v>
      </c>
      <c r="J148" s="64">
        <v>0</v>
      </c>
      <c r="K148" s="64">
        <v>14</v>
      </c>
      <c r="L148" s="64">
        <v>1</v>
      </c>
      <c r="M148" s="64">
        <v>17</v>
      </c>
      <c r="N148" s="64">
        <v>0</v>
      </c>
      <c r="O148" s="64"/>
      <c r="P148" s="139">
        <f t="shared" si="16"/>
        <v>31166.666666666664</v>
      </c>
      <c r="Q148" s="139">
        <f t="shared" si="13"/>
        <v>566.66666666666663</v>
      </c>
      <c r="R148" s="163">
        <f t="shared" si="14"/>
        <v>0.9821428571428571</v>
      </c>
      <c r="S148" s="181">
        <f>(SUM(P147:P150)/(SUM(P147:Q150)))</f>
        <v>0.71986596457635232</v>
      </c>
      <c r="U148" s="65"/>
      <c r="V148" s="65"/>
      <c r="Y148" s="89"/>
      <c r="Z148" s="357"/>
      <c r="AA148" s="120"/>
      <c r="AB148" s="120"/>
    </row>
    <row r="149" spans="1:28" s="62" customFormat="1">
      <c r="A149" s="134">
        <v>42895</v>
      </c>
      <c r="B149" s="60"/>
      <c r="C149" s="60"/>
      <c r="D149" s="61" t="s">
        <v>85</v>
      </c>
      <c r="E149" s="62">
        <v>2</v>
      </c>
      <c r="F149" s="89">
        <v>100</v>
      </c>
      <c r="G149" s="64">
        <v>0.5</v>
      </c>
      <c r="H149" s="64">
        <v>640</v>
      </c>
      <c r="I149" s="64">
        <v>18</v>
      </c>
      <c r="J149" s="64">
        <v>1</v>
      </c>
      <c r="K149" s="64">
        <v>16</v>
      </c>
      <c r="L149" s="64">
        <v>2</v>
      </c>
      <c r="M149" s="64">
        <v>9</v>
      </c>
      <c r="N149" s="64">
        <v>1</v>
      </c>
      <c r="O149" s="64"/>
      <c r="P149" s="139">
        <f t="shared" si="16"/>
        <v>18346.666666666668</v>
      </c>
      <c r="Q149" s="139">
        <f t="shared" si="13"/>
        <v>1706.6666666666665</v>
      </c>
      <c r="R149" s="163">
        <f t="shared" si="14"/>
        <v>0.91489361702127658</v>
      </c>
      <c r="S149" s="182"/>
      <c r="U149" s="65"/>
      <c r="V149" s="65"/>
      <c r="Y149" s="89"/>
      <c r="Z149" s="357"/>
      <c r="AA149" s="120"/>
      <c r="AB149" s="120"/>
    </row>
    <row r="150" spans="1:28" s="62" customFormat="1">
      <c r="A150" s="134">
        <v>42895</v>
      </c>
      <c r="B150" s="60"/>
      <c r="C150" s="60"/>
      <c r="D150" s="61" t="s">
        <v>85</v>
      </c>
      <c r="E150" s="62">
        <v>2</v>
      </c>
      <c r="F150" s="89" t="s">
        <v>203</v>
      </c>
      <c r="G150" s="64">
        <v>0.5</v>
      </c>
      <c r="H150" s="64">
        <v>550</v>
      </c>
      <c r="I150" s="64">
        <v>0</v>
      </c>
      <c r="J150" s="64">
        <v>17</v>
      </c>
      <c r="K150" s="64">
        <v>0</v>
      </c>
      <c r="L150" s="64">
        <v>13</v>
      </c>
      <c r="M150" s="64">
        <v>0</v>
      </c>
      <c r="N150" s="64">
        <v>17</v>
      </c>
      <c r="O150" s="64"/>
      <c r="P150" s="139">
        <f t="shared" si="16"/>
        <v>0</v>
      </c>
      <c r="Q150" s="139">
        <f t="shared" si="13"/>
        <v>17233.333333333332</v>
      </c>
      <c r="R150" s="163">
        <f t="shared" si="14"/>
        <v>0</v>
      </c>
      <c r="S150" s="182"/>
      <c r="U150" s="65"/>
      <c r="V150" s="65"/>
      <c r="Y150" s="89"/>
      <c r="Z150" s="357"/>
      <c r="AA150" s="120"/>
      <c r="AB150" s="120"/>
    </row>
    <row r="151" spans="1:28" s="62" customFormat="1">
      <c r="A151" s="134">
        <v>42895</v>
      </c>
      <c r="B151" s="60"/>
      <c r="C151" s="60"/>
      <c r="D151" s="62" t="s">
        <v>74</v>
      </c>
      <c r="E151" s="62">
        <v>3</v>
      </c>
      <c r="F151" s="89">
        <v>224</v>
      </c>
      <c r="G151" s="64">
        <v>1</v>
      </c>
      <c r="H151" s="64">
        <v>490</v>
      </c>
      <c r="I151" s="64">
        <v>1</v>
      </c>
      <c r="J151" s="64">
        <v>0</v>
      </c>
      <c r="K151" s="64">
        <v>1</v>
      </c>
      <c r="L151" s="64">
        <v>0</v>
      </c>
      <c r="M151" s="64">
        <v>0</v>
      </c>
      <c r="N151" s="64">
        <v>0</v>
      </c>
      <c r="O151" s="64"/>
      <c r="P151" s="349">
        <f t="shared" si="16"/>
        <v>326.66666666666663</v>
      </c>
      <c r="Q151" s="139">
        <f t="shared" si="13"/>
        <v>0</v>
      </c>
      <c r="R151" s="163">
        <f t="shared" si="14"/>
        <v>1</v>
      </c>
      <c r="S151" s="183" t="str">
        <f>D151</f>
        <v>SN-10 Low</v>
      </c>
      <c r="U151" s="65"/>
      <c r="V151" s="65"/>
      <c r="Y151" s="89" t="str">
        <f>D151</f>
        <v>SN-10 Low</v>
      </c>
      <c r="Z151" s="357"/>
      <c r="AA151" s="120"/>
      <c r="AB151" s="120"/>
    </row>
    <row r="152" spans="1:28" s="62" customFormat="1">
      <c r="A152" s="134">
        <v>42895</v>
      </c>
      <c r="B152" s="60"/>
      <c r="C152" s="60"/>
      <c r="D152" s="62" t="s">
        <v>74</v>
      </c>
      <c r="E152" s="62">
        <v>3</v>
      </c>
      <c r="F152" s="89">
        <v>180</v>
      </c>
      <c r="G152" s="64">
        <v>0.5</v>
      </c>
      <c r="H152" s="64">
        <v>850</v>
      </c>
      <c r="I152" s="64">
        <v>21</v>
      </c>
      <c r="J152" s="64">
        <v>0</v>
      </c>
      <c r="K152" s="64">
        <v>23</v>
      </c>
      <c r="L152" s="64">
        <v>0</v>
      </c>
      <c r="M152" s="64">
        <v>16</v>
      </c>
      <c r="N152" s="64">
        <v>0</v>
      </c>
      <c r="O152" s="64"/>
      <c r="P152" s="139">
        <f t="shared" si="16"/>
        <v>34000</v>
      </c>
      <c r="Q152" s="139">
        <f t="shared" si="13"/>
        <v>0</v>
      </c>
      <c r="R152" s="163">
        <f t="shared" si="14"/>
        <v>1</v>
      </c>
      <c r="S152" s="181">
        <f>(SUM(P151:P154)/(SUM(P151:Q154)))</f>
        <v>0.6721273756384889</v>
      </c>
      <c r="Y152" s="89"/>
      <c r="Z152" s="357"/>
      <c r="AA152" s="120"/>
      <c r="AB152" s="120"/>
    </row>
    <row r="153" spans="1:28" s="62" customFormat="1">
      <c r="A153" s="134">
        <v>42895</v>
      </c>
      <c r="B153" s="60"/>
      <c r="C153" s="60"/>
      <c r="D153" s="62" t="s">
        <v>74</v>
      </c>
      <c r="E153" s="62">
        <v>3</v>
      </c>
      <c r="F153" s="89">
        <v>100</v>
      </c>
      <c r="G153" s="64">
        <v>0.5</v>
      </c>
      <c r="H153" s="64">
        <v>525</v>
      </c>
      <c r="I153" s="64">
        <v>14</v>
      </c>
      <c r="J153" s="64">
        <v>1</v>
      </c>
      <c r="K153" s="64">
        <v>10</v>
      </c>
      <c r="L153" s="64">
        <v>0</v>
      </c>
      <c r="M153" s="64">
        <v>16</v>
      </c>
      <c r="N153" s="64">
        <v>0</v>
      </c>
      <c r="O153" s="64"/>
      <c r="P153" s="139">
        <f t="shared" si="16"/>
        <v>14000</v>
      </c>
      <c r="Q153" s="139">
        <f t="shared" si="13"/>
        <v>350</v>
      </c>
      <c r="R153" s="163">
        <f t="shared" si="14"/>
        <v>0.97560975609756095</v>
      </c>
      <c r="S153" s="182"/>
      <c r="Y153" s="89"/>
      <c r="Z153" s="357"/>
      <c r="AA153" s="120"/>
      <c r="AB153" s="120"/>
    </row>
    <row r="154" spans="1:28" s="62" customFormat="1">
      <c r="A154" s="134">
        <v>42895</v>
      </c>
      <c r="B154" s="60"/>
      <c r="C154" s="60"/>
      <c r="D154" s="62" t="s">
        <v>74</v>
      </c>
      <c r="E154" s="62">
        <v>3</v>
      </c>
      <c r="F154" s="89" t="s">
        <v>203</v>
      </c>
      <c r="G154" s="64">
        <v>1</v>
      </c>
      <c r="H154" s="64">
        <v>540</v>
      </c>
      <c r="I154" s="64">
        <v>1</v>
      </c>
      <c r="J154" s="64">
        <v>47</v>
      </c>
      <c r="K154" s="64">
        <v>1</v>
      </c>
      <c r="L154" s="64">
        <v>33</v>
      </c>
      <c r="M154" s="64">
        <v>0</v>
      </c>
      <c r="N154" s="64">
        <v>50</v>
      </c>
      <c r="O154" s="64"/>
      <c r="P154" s="139">
        <f t="shared" si="16"/>
        <v>360</v>
      </c>
      <c r="Q154" s="139">
        <f t="shared" si="13"/>
        <v>23400</v>
      </c>
      <c r="R154" s="163">
        <f t="shared" si="14"/>
        <v>1.5151515151515152E-2</v>
      </c>
      <c r="S154" s="182"/>
      <c r="Y154" s="89"/>
      <c r="Z154" s="357"/>
      <c r="AA154" s="120"/>
      <c r="AB154" s="120"/>
    </row>
    <row r="155" spans="1:28" s="62" customFormat="1">
      <c r="A155" s="134">
        <v>42895</v>
      </c>
      <c r="B155" s="60"/>
      <c r="C155" s="60"/>
      <c r="D155" s="62" t="s">
        <v>83</v>
      </c>
      <c r="E155" s="62">
        <v>3</v>
      </c>
      <c r="F155" s="89">
        <v>224</v>
      </c>
      <c r="G155" s="64">
        <v>2</v>
      </c>
      <c r="H155" s="64">
        <v>430</v>
      </c>
      <c r="I155" s="64">
        <v>0</v>
      </c>
      <c r="J155" s="64">
        <v>0</v>
      </c>
      <c r="K155" s="64">
        <v>2</v>
      </c>
      <c r="L155" s="64">
        <v>0</v>
      </c>
      <c r="M155" s="64">
        <v>0</v>
      </c>
      <c r="N155" s="64">
        <v>0</v>
      </c>
      <c r="O155" s="64"/>
      <c r="P155" s="139">
        <f t="shared" si="16"/>
        <v>143.33333333333331</v>
      </c>
      <c r="Q155" s="139">
        <f t="shared" si="13"/>
        <v>0</v>
      </c>
      <c r="R155" s="163">
        <f t="shared" si="14"/>
        <v>1</v>
      </c>
      <c r="S155" s="183" t="str">
        <f>D155</f>
        <v>NF-10 Low</v>
      </c>
      <c r="Y155" s="89" t="str">
        <f>D155</f>
        <v>NF-10 Low</v>
      </c>
      <c r="Z155" s="357"/>
      <c r="AA155" s="120"/>
      <c r="AB155" s="120"/>
    </row>
    <row r="156" spans="1:28" s="62" customFormat="1">
      <c r="A156" s="134">
        <v>42895</v>
      </c>
      <c r="B156" s="60"/>
      <c r="C156" s="60"/>
      <c r="D156" s="62" t="s">
        <v>83</v>
      </c>
      <c r="E156" s="62">
        <v>3</v>
      </c>
      <c r="F156" s="89">
        <v>180</v>
      </c>
      <c r="G156" s="64">
        <v>0.5</v>
      </c>
      <c r="H156" s="64">
        <v>700</v>
      </c>
      <c r="I156" s="64">
        <v>30</v>
      </c>
      <c r="J156" s="64">
        <v>0</v>
      </c>
      <c r="K156" s="64">
        <v>25</v>
      </c>
      <c r="L156" s="64">
        <v>0</v>
      </c>
      <c r="M156" s="64">
        <v>31</v>
      </c>
      <c r="N156" s="64">
        <v>0</v>
      </c>
      <c r="O156" s="64"/>
      <c r="P156" s="139">
        <f t="shared" si="16"/>
        <v>40133.333333333336</v>
      </c>
      <c r="Q156" s="139">
        <f t="shared" si="13"/>
        <v>0</v>
      </c>
      <c r="R156" s="163">
        <f t="shared" si="14"/>
        <v>1</v>
      </c>
      <c r="S156" s="181">
        <f>(SUM(P155:P158)/(SUM(P155:Q158)))</f>
        <v>0.84220869481857819</v>
      </c>
      <c r="Y156" s="89"/>
      <c r="Z156" s="357"/>
      <c r="AA156" s="120"/>
      <c r="AB156" s="120"/>
    </row>
    <row r="157" spans="1:28" s="62" customFormat="1">
      <c r="A157" s="134">
        <v>42895</v>
      </c>
      <c r="B157" s="60"/>
      <c r="C157" s="60"/>
      <c r="D157" s="62" t="s">
        <v>83</v>
      </c>
      <c r="E157" s="62">
        <v>3</v>
      </c>
      <c r="F157" s="89">
        <v>100</v>
      </c>
      <c r="G157" s="64">
        <v>0.5</v>
      </c>
      <c r="H157" s="64">
        <v>560</v>
      </c>
      <c r="I157" s="64">
        <v>14</v>
      </c>
      <c r="J157" s="64">
        <v>1</v>
      </c>
      <c r="K157" s="64">
        <v>20</v>
      </c>
      <c r="L157" s="64">
        <v>0</v>
      </c>
      <c r="M157" s="64">
        <v>15</v>
      </c>
      <c r="N157" s="64">
        <v>0</v>
      </c>
      <c r="O157" s="64"/>
      <c r="P157" s="139">
        <f t="shared" si="16"/>
        <v>18293.333333333332</v>
      </c>
      <c r="Q157" s="139">
        <f t="shared" si="13"/>
        <v>373.33333333333331</v>
      </c>
      <c r="R157" s="163">
        <f t="shared" si="14"/>
        <v>0.98000000000000009</v>
      </c>
      <c r="S157" s="182"/>
      <c r="Y157" s="89"/>
      <c r="Z157" s="357"/>
      <c r="AA157" s="120"/>
      <c r="AB157" s="120"/>
    </row>
    <row r="158" spans="1:28" s="62" customFormat="1">
      <c r="A158" s="59">
        <v>42895</v>
      </c>
      <c r="B158" s="60"/>
      <c r="C158" s="60"/>
      <c r="D158" s="62" t="s">
        <v>83</v>
      </c>
      <c r="E158" s="62">
        <v>3</v>
      </c>
      <c r="F158" s="63" t="s">
        <v>203</v>
      </c>
      <c r="G158" s="64">
        <v>1</v>
      </c>
      <c r="H158" s="64">
        <v>600</v>
      </c>
      <c r="I158" s="64">
        <v>0</v>
      </c>
      <c r="J158" s="64">
        <v>18</v>
      </c>
      <c r="K158" s="64">
        <v>0</v>
      </c>
      <c r="L158" s="64">
        <v>12</v>
      </c>
      <c r="M158" s="64">
        <v>0</v>
      </c>
      <c r="N158" s="64">
        <v>23</v>
      </c>
      <c r="O158" s="64"/>
      <c r="P158" s="139">
        <f t="shared" si="16"/>
        <v>0</v>
      </c>
      <c r="Q158" s="139">
        <f t="shared" si="13"/>
        <v>10600</v>
      </c>
      <c r="R158" s="163">
        <f t="shared" si="14"/>
        <v>0</v>
      </c>
      <c r="S158" s="182"/>
      <c r="Y158" s="89"/>
      <c r="Z158" s="357"/>
      <c r="AA158" s="120"/>
      <c r="AB158" s="120"/>
    </row>
    <row r="159" spans="1:28" s="62" customFormat="1">
      <c r="A159" s="134">
        <v>42895</v>
      </c>
      <c r="B159" s="60"/>
      <c r="C159" s="60"/>
      <c r="D159" s="136" t="s">
        <v>21</v>
      </c>
      <c r="E159" s="62">
        <v>4</v>
      </c>
      <c r="F159" s="89">
        <v>180</v>
      </c>
      <c r="G159" s="64">
        <v>2</v>
      </c>
      <c r="H159" s="64"/>
      <c r="I159" s="64">
        <v>0</v>
      </c>
      <c r="J159" s="64">
        <v>0</v>
      </c>
      <c r="K159" s="64">
        <v>0</v>
      </c>
      <c r="L159" s="64">
        <v>0</v>
      </c>
      <c r="M159" s="64">
        <v>0</v>
      </c>
      <c r="N159" s="64">
        <v>1</v>
      </c>
      <c r="O159" s="64"/>
      <c r="P159" s="139">
        <f t="shared" si="16"/>
        <v>0</v>
      </c>
      <c r="Q159" s="139">
        <f t="shared" si="13"/>
        <v>0</v>
      </c>
      <c r="R159" s="163" t="e">
        <f t="shared" si="14"/>
        <v>#DIV/0!</v>
      </c>
      <c r="S159" s="184" t="str">
        <f>D159</f>
        <v>HL-6 Low</v>
      </c>
      <c r="U159" s="65"/>
      <c r="V159" s="65"/>
      <c r="Y159" s="89" t="str">
        <f>D159</f>
        <v>HL-6 Low</v>
      </c>
      <c r="Z159" s="357"/>
      <c r="AA159" s="120"/>
      <c r="AB159" s="120"/>
    </row>
    <row r="160" spans="1:28" s="62" customFormat="1">
      <c r="A160" s="134">
        <v>42895</v>
      </c>
      <c r="B160" s="60"/>
      <c r="C160" s="60"/>
      <c r="D160" s="136" t="s">
        <v>21</v>
      </c>
      <c r="E160" s="62">
        <v>4</v>
      </c>
      <c r="F160" s="89">
        <v>100</v>
      </c>
      <c r="G160" s="64">
        <v>0.5</v>
      </c>
      <c r="H160" s="64">
        <v>800</v>
      </c>
      <c r="I160" s="64">
        <v>39</v>
      </c>
      <c r="J160" s="64">
        <v>0</v>
      </c>
      <c r="K160" s="64">
        <v>35</v>
      </c>
      <c r="L160" s="64">
        <v>0</v>
      </c>
      <c r="M160" s="64">
        <v>47</v>
      </c>
      <c r="N160" s="64">
        <v>0</v>
      </c>
      <c r="O160" s="64"/>
      <c r="P160" s="139">
        <f t="shared" si="16"/>
        <v>64533.333333333336</v>
      </c>
      <c r="Q160" s="139">
        <f t="shared" si="13"/>
        <v>0</v>
      </c>
      <c r="R160" s="163">
        <f t="shared" si="14"/>
        <v>1</v>
      </c>
      <c r="S160" s="182">
        <f>SUM(P159:P160)/(SUM(P159:Q160))</f>
        <v>1</v>
      </c>
      <c r="U160" s="65"/>
      <c r="V160" s="65"/>
      <c r="Y160" s="89"/>
      <c r="Z160" s="357"/>
      <c r="AA160" s="120"/>
      <c r="AB160" s="120"/>
    </row>
    <row r="161" spans="1:28" s="62" customFormat="1">
      <c r="A161" s="134">
        <v>42895</v>
      </c>
      <c r="B161" s="60"/>
      <c r="C161" s="60"/>
      <c r="D161" s="62" t="s">
        <v>84</v>
      </c>
      <c r="E161" s="62">
        <v>4</v>
      </c>
      <c r="F161" s="89">
        <v>224</v>
      </c>
      <c r="G161" s="64">
        <v>1</v>
      </c>
      <c r="H161" s="64">
        <v>470</v>
      </c>
      <c r="I161" s="64">
        <v>0</v>
      </c>
      <c r="J161" s="64">
        <v>0</v>
      </c>
      <c r="K161" s="64">
        <v>0</v>
      </c>
      <c r="L161" s="64">
        <v>0</v>
      </c>
      <c r="M161" s="64">
        <v>1</v>
      </c>
      <c r="N161" s="64">
        <v>0</v>
      </c>
      <c r="O161" s="64"/>
      <c r="P161" s="139">
        <f t="shared" si="16"/>
        <v>156.66666666666666</v>
      </c>
      <c r="Q161" s="139">
        <f t="shared" si="13"/>
        <v>0</v>
      </c>
      <c r="R161" s="163">
        <f t="shared" si="14"/>
        <v>1</v>
      </c>
      <c r="S161" s="183" t="str">
        <f>D161</f>
        <v>NF-10 Ambient</v>
      </c>
      <c r="U161" s="65"/>
      <c r="V161" s="65"/>
      <c r="Y161" s="89" t="str">
        <f>D161</f>
        <v>NF-10 Ambient</v>
      </c>
      <c r="Z161" s="357"/>
      <c r="AA161" s="120"/>
      <c r="AB161" s="120"/>
    </row>
    <row r="162" spans="1:28" s="62" customFormat="1">
      <c r="A162" s="134">
        <v>42895</v>
      </c>
      <c r="B162" s="60"/>
      <c r="C162" s="60"/>
      <c r="D162" s="62" t="s">
        <v>84</v>
      </c>
      <c r="E162" s="62">
        <v>4</v>
      </c>
      <c r="F162" s="89">
        <v>180</v>
      </c>
      <c r="G162" s="64">
        <v>0.5</v>
      </c>
      <c r="H162" s="64">
        <v>440</v>
      </c>
      <c r="I162" s="64">
        <v>12</v>
      </c>
      <c r="J162" s="64">
        <v>2</v>
      </c>
      <c r="K162" s="64">
        <v>8</v>
      </c>
      <c r="L162" s="64">
        <v>0</v>
      </c>
      <c r="M162" s="64">
        <v>8</v>
      </c>
      <c r="N162" s="64">
        <v>0</v>
      </c>
      <c r="O162" s="64"/>
      <c r="P162" s="139">
        <f t="shared" si="16"/>
        <v>8213.3333333333339</v>
      </c>
      <c r="Q162" s="139">
        <f t="shared" si="13"/>
        <v>586.66666666666663</v>
      </c>
      <c r="R162" s="163">
        <f t="shared" si="14"/>
        <v>0.93333333333333335</v>
      </c>
      <c r="S162" s="181">
        <f>(SUM(P161:P164)/(SUM(P161:Q164)))</f>
        <v>0.78777032514211809</v>
      </c>
      <c r="U162" s="65"/>
      <c r="V162" s="65"/>
      <c r="Y162" s="89"/>
      <c r="Z162" s="357"/>
      <c r="AA162" s="120"/>
      <c r="AB162" s="120"/>
    </row>
    <row r="163" spans="1:28" s="62" customFormat="1">
      <c r="A163" s="134">
        <v>42895</v>
      </c>
      <c r="B163" s="60"/>
      <c r="C163" s="60"/>
      <c r="D163" s="62" t="s">
        <v>84</v>
      </c>
      <c r="E163" s="62">
        <v>4</v>
      </c>
      <c r="F163" s="89">
        <v>100</v>
      </c>
      <c r="G163" s="64">
        <v>0.5</v>
      </c>
      <c r="H163" s="64">
        <v>800</v>
      </c>
      <c r="I163" s="64">
        <v>54</v>
      </c>
      <c r="J163" s="64">
        <v>3</v>
      </c>
      <c r="K163" s="64">
        <v>47</v>
      </c>
      <c r="L163" s="64">
        <v>1</v>
      </c>
      <c r="M163" s="64">
        <v>47</v>
      </c>
      <c r="N163" s="64">
        <v>3</v>
      </c>
      <c r="O163" s="64"/>
      <c r="P163" s="139">
        <f t="shared" si="16"/>
        <v>78933.333333333343</v>
      </c>
      <c r="Q163" s="139">
        <f t="shared" si="13"/>
        <v>3733.3333333333335</v>
      </c>
      <c r="R163" s="163">
        <f t="shared" si="14"/>
        <v>0.95483870967741946</v>
      </c>
      <c r="S163" s="182"/>
      <c r="U163" s="65"/>
      <c r="V163" s="65"/>
      <c r="Y163" s="89"/>
      <c r="Z163" s="357"/>
      <c r="AA163" s="120"/>
      <c r="AB163" s="120"/>
    </row>
    <row r="164" spans="1:28" s="62" customFormat="1">
      <c r="A164" s="134">
        <v>42895</v>
      </c>
      <c r="B164" s="60"/>
      <c r="C164" s="60"/>
      <c r="D164" s="62" t="s">
        <v>84</v>
      </c>
      <c r="E164" s="62">
        <v>4</v>
      </c>
      <c r="F164" s="89" t="s">
        <v>203</v>
      </c>
      <c r="G164" s="64">
        <v>1</v>
      </c>
      <c r="H164" s="64">
        <v>600</v>
      </c>
      <c r="I164" s="64">
        <v>0</v>
      </c>
      <c r="J164" s="64">
        <v>29</v>
      </c>
      <c r="K164" s="64">
        <v>0</v>
      </c>
      <c r="L164" s="64">
        <v>23</v>
      </c>
      <c r="M164" s="64">
        <v>0</v>
      </c>
      <c r="N164" s="64">
        <v>44</v>
      </c>
      <c r="O164" s="64"/>
      <c r="P164" s="139">
        <f t="shared" si="16"/>
        <v>0</v>
      </c>
      <c r="Q164" s="139">
        <f t="shared" ref="Q164:Q227" si="17">(AVERAGE(J164,L164,N164)/G164)*H164</f>
        <v>19200</v>
      </c>
      <c r="R164" s="163">
        <f t="shared" ref="R164:R227" si="18">P164/(P164+Q164)</f>
        <v>0</v>
      </c>
      <c r="S164" s="182"/>
      <c r="U164" s="65"/>
      <c r="V164" s="65"/>
      <c r="Y164" s="89"/>
      <c r="Z164" s="357"/>
      <c r="AA164" s="120"/>
      <c r="AB164" s="120"/>
    </row>
    <row r="165" spans="1:28" s="62" customFormat="1">
      <c r="A165" s="134">
        <v>42895</v>
      </c>
      <c r="B165" s="60"/>
      <c r="C165" s="60"/>
      <c r="D165" s="62" t="s">
        <v>87</v>
      </c>
      <c r="E165" s="62">
        <v>5</v>
      </c>
      <c r="F165" s="89">
        <v>224</v>
      </c>
      <c r="G165" s="64">
        <v>1</v>
      </c>
      <c r="H165" s="64">
        <v>375</v>
      </c>
      <c r="I165" s="64">
        <v>0</v>
      </c>
      <c r="J165" s="64">
        <v>0</v>
      </c>
      <c r="K165" s="64">
        <v>0</v>
      </c>
      <c r="L165" s="64">
        <v>0</v>
      </c>
      <c r="M165" s="64">
        <v>0</v>
      </c>
      <c r="N165" s="64">
        <v>0</v>
      </c>
      <c r="O165" s="64"/>
      <c r="P165" s="139">
        <f t="shared" si="16"/>
        <v>0</v>
      </c>
      <c r="Q165" s="139">
        <f t="shared" si="17"/>
        <v>0</v>
      </c>
      <c r="R165" s="163" t="e">
        <f t="shared" si="18"/>
        <v>#DIV/0!</v>
      </c>
      <c r="S165" s="183" t="str">
        <f>D165</f>
        <v>SN-6 Ambient</v>
      </c>
      <c r="U165" s="65"/>
      <c r="V165" s="65"/>
      <c r="Y165" s="89" t="str">
        <f>D165</f>
        <v>SN-6 Ambient</v>
      </c>
      <c r="Z165" s="357"/>
      <c r="AA165" s="120"/>
      <c r="AB165" s="120"/>
    </row>
    <row r="166" spans="1:28" s="62" customFormat="1">
      <c r="A166" s="134">
        <v>42895</v>
      </c>
      <c r="B166" s="60"/>
      <c r="C166" s="60"/>
      <c r="D166" s="62" t="s">
        <v>87</v>
      </c>
      <c r="E166" s="62">
        <v>5</v>
      </c>
      <c r="F166" s="89">
        <v>180</v>
      </c>
      <c r="G166" s="64">
        <v>1</v>
      </c>
      <c r="H166" s="64">
        <v>400</v>
      </c>
      <c r="I166" s="64">
        <v>2</v>
      </c>
      <c r="J166" s="64">
        <v>0</v>
      </c>
      <c r="K166" s="64">
        <v>1</v>
      </c>
      <c r="L166" s="64">
        <v>0</v>
      </c>
      <c r="M166" s="64">
        <v>2</v>
      </c>
      <c r="N166" s="64">
        <v>0</v>
      </c>
      <c r="O166" s="64"/>
      <c r="P166" s="139">
        <f t="shared" si="16"/>
        <v>666.66666666666674</v>
      </c>
      <c r="Q166" s="139">
        <f t="shared" si="17"/>
        <v>0</v>
      </c>
      <c r="R166" s="163">
        <f t="shared" si="18"/>
        <v>1</v>
      </c>
      <c r="S166" s="181">
        <f>(SUM(P165:P168)/(SUM(P165:Q168)))</f>
        <v>0.21549354618818303</v>
      </c>
      <c r="U166" s="65"/>
      <c r="V166" s="65"/>
      <c r="Y166" s="89"/>
      <c r="Z166" s="357"/>
      <c r="AA166" s="120"/>
      <c r="AB166" s="120"/>
    </row>
    <row r="167" spans="1:28" s="62" customFormat="1">
      <c r="A167" s="134">
        <v>42895</v>
      </c>
      <c r="B167" s="60"/>
      <c r="C167" s="60"/>
      <c r="D167" s="62" t="s">
        <v>87</v>
      </c>
      <c r="E167" s="62">
        <v>5</v>
      </c>
      <c r="F167" s="89">
        <v>100</v>
      </c>
      <c r="G167" s="64">
        <v>0.5</v>
      </c>
      <c r="H167" s="64">
        <v>640</v>
      </c>
      <c r="I167" s="64">
        <v>26</v>
      </c>
      <c r="J167" s="64">
        <v>2</v>
      </c>
      <c r="K167" s="64">
        <v>26</v>
      </c>
      <c r="L167" s="64">
        <v>1</v>
      </c>
      <c r="M167" s="64">
        <v>23</v>
      </c>
      <c r="N167" s="64">
        <v>1</v>
      </c>
      <c r="O167" s="64"/>
      <c r="P167" s="139">
        <f t="shared" si="16"/>
        <v>32000</v>
      </c>
      <c r="Q167" s="139">
        <f t="shared" si="17"/>
        <v>1706.6666666666665</v>
      </c>
      <c r="R167" s="163">
        <f t="shared" si="18"/>
        <v>0.949367088607595</v>
      </c>
      <c r="S167" s="182"/>
      <c r="U167" s="65"/>
      <c r="V167" s="65"/>
      <c r="Y167" s="89"/>
      <c r="Z167" s="357"/>
      <c r="AA167" s="120"/>
      <c r="AB167" s="120"/>
    </row>
    <row r="168" spans="1:28" s="62" customFormat="1">
      <c r="A168" s="134">
        <v>42895</v>
      </c>
      <c r="B168" s="60"/>
      <c r="C168" s="60"/>
      <c r="D168" s="62" t="s">
        <v>87</v>
      </c>
      <c r="E168" s="62">
        <v>5</v>
      </c>
      <c r="F168" s="89" t="s">
        <v>203</v>
      </c>
      <c r="G168" s="64">
        <v>1</v>
      </c>
      <c r="H168" s="64">
        <v>650</v>
      </c>
      <c r="I168" s="64">
        <v>0</v>
      </c>
      <c r="J168" s="64">
        <v>156</v>
      </c>
      <c r="K168" s="64">
        <v>0</v>
      </c>
      <c r="L168" s="64">
        <v>200</v>
      </c>
      <c r="M168" s="64">
        <v>0</v>
      </c>
      <c r="N168" s="64">
        <v>185</v>
      </c>
      <c r="O168" s="64"/>
      <c r="P168" s="139">
        <f t="shared" si="16"/>
        <v>0</v>
      </c>
      <c r="Q168" s="139">
        <f t="shared" si="17"/>
        <v>117216.66666666667</v>
      </c>
      <c r="R168" s="163">
        <f t="shared" si="18"/>
        <v>0</v>
      </c>
      <c r="S168" s="182"/>
      <c r="U168" s="65"/>
      <c r="V168" s="65"/>
      <c r="Y168" s="89"/>
      <c r="Z168" s="357"/>
      <c r="AA168" s="120"/>
      <c r="AB168" s="120"/>
    </row>
    <row r="169" spans="1:28" s="62" customFormat="1">
      <c r="A169" s="134">
        <v>42895</v>
      </c>
      <c r="B169" s="60"/>
      <c r="C169" s="60"/>
      <c r="D169" s="61" t="s">
        <v>20</v>
      </c>
      <c r="E169" s="62">
        <v>5</v>
      </c>
      <c r="F169" s="89">
        <v>224</v>
      </c>
      <c r="G169" s="64">
        <v>1</v>
      </c>
      <c r="H169" s="64">
        <v>350</v>
      </c>
      <c r="I169" s="64">
        <v>4</v>
      </c>
      <c r="J169" s="64">
        <v>0</v>
      </c>
      <c r="K169" s="64">
        <v>6</v>
      </c>
      <c r="L169" s="64">
        <v>0</v>
      </c>
      <c r="M169" s="64">
        <v>2</v>
      </c>
      <c r="N169" s="64">
        <v>2</v>
      </c>
      <c r="O169" s="64"/>
      <c r="P169" s="139">
        <f t="shared" si="16"/>
        <v>1400</v>
      </c>
      <c r="Q169" s="139">
        <f t="shared" si="17"/>
        <v>233.33333333333331</v>
      </c>
      <c r="R169" s="163">
        <f t="shared" si="18"/>
        <v>0.85714285714285721</v>
      </c>
      <c r="S169" s="183" t="str">
        <f>D169</f>
        <v>K-10 Low</v>
      </c>
      <c r="U169" s="65"/>
      <c r="V169" s="65"/>
      <c r="Y169" s="89" t="str">
        <f>D169</f>
        <v>K-10 Low</v>
      </c>
      <c r="Z169" s="357"/>
      <c r="AA169" s="120"/>
      <c r="AB169" s="120"/>
    </row>
    <row r="170" spans="1:28" s="62" customFormat="1">
      <c r="A170" s="134">
        <v>42895</v>
      </c>
      <c r="B170" s="60"/>
      <c r="C170" s="60"/>
      <c r="D170" s="61" t="s">
        <v>20</v>
      </c>
      <c r="E170" s="62">
        <v>5</v>
      </c>
      <c r="F170" s="89">
        <v>180</v>
      </c>
      <c r="G170" s="64">
        <v>0.5</v>
      </c>
      <c r="H170" s="64">
        <v>500</v>
      </c>
      <c r="I170" s="64">
        <v>9</v>
      </c>
      <c r="J170" s="64">
        <v>2</v>
      </c>
      <c r="K170" s="64">
        <v>8</v>
      </c>
      <c r="L170" s="64">
        <v>3</v>
      </c>
      <c r="M170" s="64">
        <v>16</v>
      </c>
      <c r="N170" s="64">
        <v>5</v>
      </c>
      <c r="O170" s="64"/>
      <c r="P170" s="139">
        <f t="shared" si="16"/>
        <v>11000</v>
      </c>
      <c r="Q170" s="139">
        <f t="shared" si="17"/>
        <v>3333.3333333333335</v>
      </c>
      <c r="R170" s="163">
        <f t="shared" si="18"/>
        <v>0.7674418604651162</v>
      </c>
      <c r="S170" s="181">
        <f>(SUM(P169:P172)/(SUM(P169:Q172)))</f>
        <v>0.54103019538188279</v>
      </c>
      <c r="U170" s="65"/>
      <c r="V170" s="65"/>
      <c r="Y170" s="89"/>
      <c r="Z170" s="357"/>
      <c r="AA170" s="120"/>
      <c r="AB170" s="120"/>
    </row>
    <row r="171" spans="1:28" s="62" customFormat="1">
      <c r="A171" s="134">
        <v>42895</v>
      </c>
      <c r="B171" s="60"/>
      <c r="C171" s="60"/>
      <c r="D171" s="61" t="s">
        <v>20</v>
      </c>
      <c r="E171" s="62">
        <v>5</v>
      </c>
      <c r="F171" s="89">
        <v>100</v>
      </c>
      <c r="G171" s="64">
        <v>0.5</v>
      </c>
      <c r="H171" s="64">
        <v>730</v>
      </c>
      <c r="I171" s="64">
        <v>35</v>
      </c>
      <c r="J171" s="64">
        <v>2</v>
      </c>
      <c r="K171" s="64">
        <v>27</v>
      </c>
      <c r="L171" s="64">
        <v>3</v>
      </c>
      <c r="M171" s="64">
        <v>32</v>
      </c>
      <c r="N171" s="64">
        <v>4</v>
      </c>
      <c r="O171" s="64"/>
      <c r="P171" s="139">
        <f t="shared" si="16"/>
        <v>45746.666666666664</v>
      </c>
      <c r="Q171" s="139">
        <f t="shared" si="17"/>
        <v>4380</v>
      </c>
      <c r="R171" s="163">
        <f t="shared" si="18"/>
        <v>0.91262135922330101</v>
      </c>
      <c r="S171" s="182"/>
      <c r="U171" s="65"/>
      <c r="V171" s="65"/>
      <c r="Y171" s="89"/>
      <c r="Z171" s="357"/>
      <c r="AA171" s="120"/>
      <c r="AB171" s="120"/>
    </row>
    <row r="172" spans="1:28" s="62" customFormat="1">
      <c r="A172" s="134">
        <v>42895</v>
      </c>
      <c r="B172" s="60"/>
      <c r="C172" s="60"/>
      <c r="D172" s="61" t="s">
        <v>20</v>
      </c>
      <c r="E172" s="62">
        <v>5</v>
      </c>
      <c r="F172" s="89" t="s">
        <v>203</v>
      </c>
      <c r="G172" s="64">
        <v>1</v>
      </c>
      <c r="H172" s="64">
        <v>640</v>
      </c>
      <c r="I172" s="64">
        <v>5</v>
      </c>
      <c r="J172" s="64">
        <v>79</v>
      </c>
      <c r="K172" s="64">
        <v>4</v>
      </c>
      <c r="L172" s="64">
        <v>64</v>
      </c>
      <c r="M172" s="64">
        <v>4</v>
      </c>
      <c r="N172" s="64">
        <v>62</v>
      </c>
      <c r="O172" s="64"/>
      <c r="P172" s="139">
        <f t="shared" si="16"/>
        <v>2773.333333333333</v>
      </c>
      <c r="Q172" s="139">
        <f t="shared" si="17"/>
        <v>43733.333333333328</v>
      </c>
      <c r="R172" s="163">
        <f t="shared" si="18"/>
        <v>5.9633027522935776E-2</v>
      </c>
      <c r="S172" s="182"/>
      <c r="U172" s="65"/>
      <c r="V172" s="65"/>
      <c r="Y172" s="89"/>
      <c r="Z172" s="357"/>
      <c r="AA172" s="120"/>
      <c r="AB172" s="120"/>
    </row>
    <row r="173" spans="1:28" s="62" customFormat="1">
      <c r="A173" s="134">
        <v>42895</v>
      </c>
      <c r="B173" s="60"/>
      <c r="C173" s="60"/>
      <c r="D173" s="62" t="s">
        <v>88</v>
      </c>
      <c r="E173" s="62">
        <v>6</v>
      </c>
      <c r="F173" s="89">
        <v>224</v>
      </c>
      <c r="G173" s="64">
        <v>3</v>
      </c>
      <c r="H173" s="64">
        <v>275</v>
      </c>
      <c r="I173" s="64">
        <v>0</v>
      </c>
      <c r="J173" s="64">
        <v>0</v>
      </c>
      <c r="K173" s="64">
        <v>1</v>
      </c>
      <c r="L173" s="64">
        <v>0</v>
      </c>
      <c r="M173" s="64">
        <v>0</v>
      </c>
      <c r="N173" s="64">
        <v>0</v>
      </c>
      <c r="O173" s="64"/>
      <c r="P173" s="139">
        <f t="shared" si="16"/>
        <v>30.555555555555554</v>
      </c>
      <c r="Q173" s="139">
        <f t="shared" si="17"/>
        <v>0</v>
      </c>
      <c r="R173" s="163">
        <f t="shared" si="18"/>
        <v>1</v>
      </c>
      <c r="S173" s="183" t="str">
        <f>D173</f>
        <v>HL-10 Ambient</v>
      </c>
      <c r="U173" s="65"/>
      <c r="V173" s="65"/>
      <c r="Y173" s="89" t="str">
        <f>D173</f>
        <v>HL-10 Ambient</v>
      </c>
      <c r="Z173" s="357"/>
      <c r="AA173" s="120"/>
      <c r="AB173" s="120"/>
    </row>
    <row r="174" spans="1:28" s="62" customFormat="1">
      <c r="A174" s="134">
        <v>42895</v>
      </c>
      <c r="B174" s="60"/>
      <c r="C174" s="60"/>
      <c r="D174" s="62" t="s">
        <v>88</v>
      </c>
      <c r="E174" s="62">
        <v>6</v>
      </c>
      <c r="F174" s="89">
        <v>180</v>
      </c>
      <c r="G174" s="64">
        <v>0.5</v>
      </c>
      <c r="H174" s="64">
        <v>800</v>
      </c>
      <c r="I174" s="64">
        <v>35</v>
      </c>
      <c r="J174" s="64">
        <v>0</v>
      </c>
      <c r="K174" s="64">
        <v>32</v>
      </c>
      <c r="L174" s="64">
        <v>0</v>
      </c>
      <c r="M174" s="64">
        <v>25</v>
      </c>
      <c r="N174" s="64">
        <v>0</v>
      </c>
      <c r="O174" s="64"/>
      <c r="P174" s="139">
        <f t="shared" si="16"/>
        <v>49066.666666666672</v>
      </c>
      <c r="Q174" s="139">
        <f t="shared" si="17"/>
        <v>0</v>
      </c>
      <c r="R174" s="163">
        <f t="shared" si="18"/>
        <v>1</v>
      </c>
      <c r="S174" s="181">
        <f>(SUM(P173:P176)/(SUM(P173:Q176)))</f>
        <v>0.89880529579209911</v>
      </c>
      <c r="U174" s="65"/>
      <c r="V174" s="65"/>
      <c r="Y174" s="89"/>
      <c r="Z174" s="357"/>
      <c r="AA174" s="120"/>
      <c r="AB174" s="120"/>
    </row>
    <row r="175" spans="1:28" s="62" customFormat="1">
      <c r="A175" s="134">
        <v>42895</v>
      </c>
      <c r="B175" s="60"/>
      <c r="C175" s="60"/>
      <c r="D175" s="62" t="s">
        <v>88</v>
      </c>
      <c r="E175" s="62">
        <v>6</v>
      </c>
      <c r="F175" s="89">
        <v>100</v>
      </c>
      <c r="G175" s="64">
        <v>0.5</v>
      </c>
      <c r="H175" s="64">
        <v>740</v>
      </c>
      <c r="I175" s="64">
        <v>36</v>
      </c>
      <c r="J175" s="64">
        <v>1</v>
      </c>
      <c r="K175" s="64">
        <v>29</v>
      </c>
      <c r="L175" s="64">
        <v>0</v>
      </c>
      <c r="M175" s="64">
        <v>25</v>
      </c>
      <c r="N175" s="64">
        <v>0</v>
      </c>
      <c r="O175" s="64"/>
      <c r="P175" s="139">
        <f t="shared" si="16"/>
        <v>44400</v>
      </c>
      <c r="Q175" s="139">
        <f t="shared" si="17"/>
        <v>493.33333333333331</v>
      </c>
      <c r="R175" s="163">
        <f t="shared" si="18"/>
        <v>0.98901098901098894</v>
      </c>
      <c r="S175" s="182"/>
      <c r="U175" s="65"/>
      <c r="V175" s="65"/>
      <c r="Y175" s="89"/>
      <c r="Z175" s="357"/>
      <c r="AA175" s="120"/>
      <c r="AB175" s="120"/>
    </row>
    <row r="176" spans="1:28" s="62" customFormat="1">
      <c r="A176" s="134">
        <v>42895</v>
      </c>
      <c r="B176" s="60"/>
      <c r="C176" s="60"/>
      <c r="D176" s="62" t="s">
        <v>88</v>
      </c>
      <c r="E176" s="62">
        <v>6</v>
      </c>
      <c r="F176" s="89" t="s">
        <v>203</v>
      </c>
      <c r="G176" s="64">
        <v>1</v>
      </c>
      <c r="H176" s="64">
        <v>700</v>
      </c>
      <c r="I176" s="64">
        <v>0</v>
      </c>
      <c r="J176" s="64">
        <v>21</v>
      </c>
      <c r="K176" s="64">
        <v>0</v>
      </c>
      <c r="L176" s="64">
        <v>10</v>
      </c>
      <c r="M176" s="64">
        <v>0</v>
      </c>
      <c r="N176" s="64">
        <v>12</v>
      </c>
      <c r="O176" s="64"/>
      <c r="P176" s="139">
        <f t="shared" si="16"/>
        <v>0</v>
      </c>
      <c r="Q176" s="139">
        <f t="shared" si="17"/>
        <v>10033.333333333334</v>
      </c>
      <c r="R176" s="163">
        <f t="shared" si="18"/>
        <v>0</v>
      </c>
      <c r="S176" s="182"/>
      <c r="U176" s="65"/>
      <c r="V176" s="65"/>
      <c r="Y176" s="89"/>
      <c r="Z176" s="357"/>
      <c r="AA176" s="120"/>
      <c r="AB176" s="120"/>
    </row>
    <row r="177" spans="1:28" s="62" customFormat="1">
      <c r="A177" s="134">
        <v>42895</v>
      </c>
      <c r="B177" s="60"/>
      <c r="C177" s="60"/>
      <c r="D177" s="62" t="s">
        <v>109</v>
      </c>
      <c r="E177" s="62">
        <v>6</v>
      </c>
      <c r="F177" s="89">
        <v>224</v>
      </c>
      <c r="G177" s="64">
        <v>2</v>
      </c>
      <c r="H177" s="64">
        <v>525</v>
      </c>
      <c r="I177" s="64">
        <v>0</v>
      </c>
      <c r="J177" s="64">
        <v>0</v>
      </c>
      <c r="K177" s="64">
        <v>1</v>
      </c>
      <c r="L177" s="64">
        <v>0</v>
      </c>
      <c r="M177" s="64">
        <v>0</v>
      </c>
      <c r="N177" s="64">
        <v>0</v>
      </c>
      <c r="O177" s="64"/>
      <c r="P177" s="139">
        <f t="shared" si="16"/>
        <v>87.5</v>
      </c>
      <c r="Q177" s="139">
        <f t="shared" si="17"/>
        <v>0</v>
      </c>
      <c r="R177" s="163">
        <f t="shared" si="18"/>
        <v>1</v>
      </c>
      <c r="S177" s="183" t="str">
        <f>D177</f>
        <v>HL-10 Low</v>
      </c>
      <c r="U177" s="65"/>
      <c r="V177" s="65"/>
      <c r="Y177" s="89" t="str">
        <f>D177</f>
        <v>HL-10 Low</v>
      </c>
      <c r="Z177" s="357"/>
      <c r="AA177" s="120"/>
      <c r="AB177" s="120"/>
    </row>
    <row r="178" spans="1:28" s="62" customFormat="1">
      <c r="A178" s="134">
        <v>42895</v>
      </c>
      <c r="B178" s="60"/>
      <c r="C178" s="60"/>
      <c r="D178" s="62" t="s">
        <v>109</v>
      </c>
      <c r="E178" s="62">
        <v>6</v>
      </c>
      <c r="F178" s="89">
        <v>180</v>
      </c>
      <c r="G178" s="64">
        <v>0.5</v>
      </c>
      <c r="H178" s="64">
        <v>790</v>
      </c>
      <c r="I178" s="64">
        <v>25</v>
      </c>
      <c r="J178" s="64">
        <v>0</v>
      </c>
      <c r="K178" s="64">
        <v>30</v>
      </c>
      <c r="L178" s="64">
        <v>0</v>
      </c>
      <c r="M178" s="64">
        <v>23</v>
      </c>
      <c r="N178" s="64">
        <v>0</v>
      </c>
      <c r="O178" s="64"/>
      <c r="P178" s="139">
        <f t="shared" si="16"/>
        <v>41080</v>
      </c>
      <c r="Q178" s="139">
        <f t="shared" si="17"/>
        <v>0</v>
      </c>
      <c r="R178" s="163">
        <f t="shared" si="18"/>
        <v>1</v>
      </c>
      <c r="S178" s="181">
        <f>(SUM(P177:P180)/(SUM(P177:Q180)))</f>
        <v>0.85446251937349593</v>
      </c>
      <c r="U178" s="65"/>
      <c r="V178" s="65"/>
      <c r="Y178" s="89"/>
      <c r="Z178" s="357"/>
      <c r="AA178" s="120"/>
      <c r="AB178" s="120"/>
    </row>
    <row r="179" spans="1:28" s="62" customFormat="1">
      <c r="A179" s="134">
        <v>42895</v>
      </c>
      <c r="B179" s="60"/>
      <c r="C179" s="60"/>
      <c r="D179" s="62" t="s">
        <v>109</v>
      </c>
      <c r="E179" s="62">
        <v>6</v>
      </c>
      <c r="F179" s="89">
        <v>100</v>
      </c>
      <c r="G179" s="64">
        <v>0.5</v>
      </c>
      <c r="H179" s="64">
        <v>650</v>
      </c>
      <c r="I179" s="64">
        <v>10</v>
      </c>
      <c r="J179" s="64">
        <v>0</v>
      </c>
      <c r="K179" s="64">
        <v>12</v>
      </c>
      <c r="L179" s="64">
        <v>0</v>
      </c>
      <c r="M179" s="64">
        <v>13</v>
      </c>
      <c r="N179" s="64">
        <v>0</v>
      </c>
      <c r="O179" s="64"/>
      <c r="P179" s="139">
        <f t="shared" si="16"/>
        <v>15166.666666666666</v>
      </c>
      <c r="Q179" s="139">
        <f t="shared" si="17"/>
        <v>0</v>
      </c>
      <c r="R179" s="163">
        <f t="shared" si="18"/>
        <v>1</v>
      </c>
      <c r="S179" s="182"/>
      <c r="U179" s="65"/>
      <c r="V179" s="65"/>
      <c r="Y179" s="89"/>
      <c r="Z179" s="357"/>
      <c r="AA179" s="120"/>
      <c r="AB179" s="120"/>
    </row>
    <row r="180" spans="1:28" s="62" customFormat="1">
      <c r="A180" s="134">
        <v>42895</v>
      </c>
      <c r="B180" s="60"/>
      <c r="C180" s="60"/>
      <c r="D180" s="62" t="s">
        <v>109</v>
      </c>
      <c r="E180" s="62">
        <v>6</v>
      </c>
      <c r="F180" s="63" t="s">
        <v>203</v>
      </c>
      <c r="G180" s="64">
        <v>1</v>
      </c>
      <c r="H180" s="64">
        <v>525</v>
      </c>
      <c r="I180" s="64">
        <v>1</v>
      </c>
      <c r="J180" s="64">
        <v>13</v>
      </c>
      <c r="K180" s="64">
        <v>0</v>
      </c>
      <c r="L180" s="64">
        <v>18</v>
      </c>
      <c r="M180" s="64">
        <v>0</v>
      </c>
      <c r="N180" s="64">
        <v>24</v>
      </c>
      <c r="O180" s="64"/>
      <c r="P180" s="139">
        <f t="shared" si="16"/>
        <v>175</v>
      </c>
      <c r="Q180" s="139">
        <f t="shared" si="17"/>
        <v>9625</v>
      </c>
      <c r="R180" s="163">
        <f t="shared" si="18"/>
        <v>1.7857142857142856E-2</v>
      </c>
      <c r="S180" s="182"/>
      <c r="U180" s="65"/>
      <c r="V180" s="65"/>
      <c r="Y180" s="89"/>
      <c r="Z180" s="357"/>
      <c r="AA180" s="120"/>
      <c r="AB180" s="120"/>
    </row>
    <row r="181" spans="1:28" s="62" customFormat="1">
      <c r="A181" s="134">
        <v>42895</v>
      </c>
      <c r="B181" s="60"/>
      <c r="C181" s="60"/>
      <c r="D181" s="62" t="s">
        <v>17</v>
      </c>
      <c r="E181" s="62">
        <v>7</v>
      </c>
      <c r="F181" s="89">
        <v>224</v>
      </c>
      <c r="G181" s="64">
        <v>1</v>
      </c>
      <c r="H181" s="64">
        <v>300</v>
      </c>
      <c r="I181" s="64">
        <v>10</v>
      </c>
      <c r="J181" s="64">
        <v>0</v>
      </c>
      <c r="K181" s="64">
        <v>9</v>
      </c>
      <c r="L181" s="64">
        <v>0</v>
      </c>
      <c r="M181" s="64">
        <v>7</v>
      </c>
      <c r="N181" s="64">
        <v>0</v>
      </c>
      <c r="O181" s="64"/>
      <c r="P181" s="139">
        <f t="shared" si="16"/>
        <v>2600</v>
      </c>
      <c r="Q181" s="139">
        <f t="shared" si="17"/>
        <v>0</v>
      </c>
      <c r="R181" s="163">
        <f t="shared" si="18"/>
        <v>1</v>
      </c>
      <c r="S181" s="183" t="str">
        <f>D181</f>
        <v>K-10 Ambient</v>
      </c>
      <c r="U181" s="65"/>
      <c r="V181" s="65"/>
      <c r="Y181" s="89" t="str">
        <f>D181</f>
        <v>K-10 Ambient</v>
      </c>
      <c r="Z181" s="357"/>
      <c r="AA181" s="120"/>
      <c r="AB181" s="120"/>
    </row>
    <row r="182" spans="1:28" s="62" customFormat="1">
      <c r="A182" s="134">
        <v>42895</v>
      </c>
      <c r="B182" s="60"/>
      <c r="C182" s="60"/>
      <c r="D182" s="62" t="s">
        <v>17</v>
      </c>
      <c r="E182" s="62">
        <v>7</v>
      </c>
      <c r="F182" s="89">
        <v>180</v>
      </c>
      <c r="G182" s="64">
        <v>0.5</v>
      </c>
      <c r="H182" s="64">
        <v>625</v>
      </c>
      <c r="I182" s="64">
        <v>27</v>
      </c>
      <c r="J182" s="64">
        <v>0</v>
      </c>
      <c r="K182" s="64">
        <v>22</v>
      </c>
      <c r="L182" s="64">
        <v>0</v>
      </c>
      <c r="M182" s="64">
        <v>21</v>
      </c>
      <c r="N182" s="64">
        <v>0</v>
      </c>
      <c r="O182" s="64"/>
      <c r="P182" s="139">
        <f t="shared" si="16"/>
        <v>29166.666666666664</v>
      </c>
      <c r="Q182" s="139">
        <f t="shared" si="17"/>
        <v>0</v>
      </c>
      <c r="R182" s="163">
        <f t="shared" si="18"/>
        <v>1</v>
      </c>
      <c r="S182" s="181">
        <f>(SUM(P181:P184)/(SUM(P181:Q184)))</f>
        <v>0.53214003164556967</v>
      </c>
      <c r="U182" s="65"/>
      <c r="V182" s="65"/>
      <c r="Y182" s="89"/>
      <c r="Z182" s="357"/>
      <c r="AA182" s="120"/>
      <c r="AB182" s="120"/>
    </row>
    <row r="183" spans="1:28" s="62" customFormat="1">
      <c r="A183" s="134">
        <v>42895</v>
      </c>
      <c r="B183" s="60"/>
      <c r="C183" s="60"/>
      <c r="D183" s="62" t="s">
        <v>17</v>
      </c>
      <c r="E183" s="62">
        <v>7</v>
      </c>
      <c r="F183" s="89">
        <v>100</v>
      </c>
      <c r="G183" s="64">
        <v>0.5</v>
      </c>
      <c r="H183" s="64">
        <v>650</v>
      </c>
      <c r="I183" s="64">
        <v>40</v>
      </c>
      <c r="J183" s="64">
        <v>2</v>
      </c>
      <c r="K183" s="64">
        <v>47</v>
      </c>
      <c r="L183" s="64">
        <v>1</v>
      </c>
      <c r="M183" s="64">
        <v>38</v>
      </c>
      <c r="N183" s="64">
        <v>3</v>
      </c>
      <c r="O183" s="64"/>
      <c r="P183" s="139">
        <f t="shared" si="16"/>
        <v>54166.666666666664</v>
      </c>
      <c r="Q183" s="139">
        <f t="shared" si="17"/>
        <v>2600</v>
      </c>
      <c r="R183" s="163">
        <f t="shared" si="18"/>
        <v>0.95419847328244278</v>
      </c>
      <c r="S183" s="182"/>
      <c r="U183" s="65"/>
      <c r="V183" s="65"/>
      <c r="Y183" s="89"/>
      <c r="Z183" s="357"/>
      <c r="AA183" s="120"/>
      <c r="AB183" s="120"/>
    </row>
    <row r="184" spans="1:28" s="62" customFormat="1">
      <c r="A184" s="134">
        <v>42895</v>
      </c>
      <c r="B184" s="60"/>
      <c r="C184" s="60"/>
      <c r="D184" s="62" t="s">
        <v>17</v>
      </c>
      <c r="E184" s="62">
        <v>7</v>
      </c>
      <c r="F184" s="89" t="s">
        <v>203</v>
      </c>
      <c r="G184" s="64">
        <v>0.5</v>
      </c>
      <c r="H184" s="64">
        <v>625</v>
      </c>
      <c r="I184" s="64">
        <v>2</v>
      </c>
      <c r="J184" s="64">
        <v>48</v>
      </c>
      <c r="K184" s="64">
        <v>6</v>
      </c>
      <c r="L184" s="64">
        <v>89</v>
      </c>
      <c r="M184" s="64">
        <v>1</v>
      </c>
      <c r="N184" s="64">
        <v>46</v>
      </c>
      <c r="O184" s="64"/>
      <c r="P184" s="139">
        <f t="shared" si="16"/>
        <v>3750</v>
      </c>
      <c r="Q184" s="139">
        <f t="shared" si="17"/>
        <v>76250</v>
      </c>
      <c r="R184" s="163">
        <f t="shared" si="18"/>
        <v>4.6875E-2</v>
      </c>
      <c r="S184" s="182"/>
      <c r="U184" s="65"/>
      <c r="V184" s="65"/>
      <c r="Y184" s="89"/>
      <c r="Z184" s="357"/>
      <c r="AA184" s="120"/>
      <c r="AB184" s="120"/>
    </row>
    <row r="185" spans="1:28" s="62" customFormat="1">
      <c r="A185" s="134">
        <v>42895</v>
      </c>
      <c r="B185" s="60"/>
      <c r="C185" s="60"/>
      <c r="D185" s="61" t="s">
        <v>38</v>
      </c>
      <c r="E185" s="62">
        <v>7</v>
      </c>
      <c r="F185" s="89">
        <v>224</v>
      </c>
      <c r="G185" s="62">
        <v>1</v>
      </c>
      <c r="H185" s="64">
        <v>350</v>
      </c>
      <c r="I185" s="64">
        <v>4</v>
      </c>
      <c r="J185" s="64">
        <v>0</v>
      </c>
      <c r="K185" s="64">
        <v>3</v>
      </c>
      <c r="L185" s="64">
        <v>0</v>
      </c>
      <c r="M185" s="64">
        <v>2</v>
      </c>
      <c r="N185" s="64">
        <v>0</v>
      </c>
      <c r="O185" s="64"/>
      <c r="P185" s="139">
        <f t="shared" si="16"/>
        <v>1050</v>
      </c>
      <c r="Q185" s="139">
        <f t="shared" si="17"/>
        <v>0</v>
      </c>
      <c r="R185" s="163">
        <f t="shared" si="18"/>
        <v>1</v>
      </c>
      <c r="S185" s="183" t="str">
        <f>D185</f>
        <v>K-6 Ambient</v>
      </c>
      <c r="U185" s="65"/>
      <c r="V185" s="65"/>
      <c r="Y185" s="89" t="str">
        <f>D185</f>
        <v>K-6 Ambient</v>
      </c>
      <c r="Z185" s="357"/>
      <c r="AA185" s="120"/>
      <c r="AB185" s="120"/>
    </row>
    <row r="186" spans="1:28" s="62" customFormat="1">
      <c r="A186" s="134">
        <v>42895</v>
      </c>
      <c r="B186" s="60"/>
      <c r="C186" s="60"/>
      <c r="D186" s="61" t="s">
        <v>38</v>
      </c>
      <c r="E186" s="62">
        <v>7</v>
      </c>
      <c r="F186" s="89">
        <v>180</v>
      </c>
      <c r="G186" s="62">
        <v>5</v>
      </c>
      <c r="H186" s="64">
        <v>625</v>
      </c>
      <c r="I186" s="64">
        <v>17</v>
      </c>
      <c r="J186" s="64">
        <v>0</v>
      </c>
      <c r="K186" s="64">
        <v>15</v>
      </c>
      <c r="L186" s="64">
        <v>0</v>
      </c>
      <c r="M186" s="64">
        <v>20</v>
      </c>
      <c r="N186" s="64">
        <v>0</v>
      </c>
      <c r="O186" s="64"/>
      <c r="P186" s="139">
        <f t="shared" si="16"/>
        <v>2166.6666666666665</v>
      </c>
      <c r="Q186" s="139">
        <f t="shared" si="17"/>
        <v>0</v>
      </c>
      <c r="R186" s="163">
        <f t="shared" si="18"/>
        <v>1</v>
      </c>
      <c r="S186" s="181">
        <f>(SUM(P185:P188)/(SUM(P185:Q188)))</f>
        <v>0.64942345380793953</v>
      </c>
      <c r="Y186" s="89"/>
      <c r="Z186" s="357"/>
      <c r="AA186" s="120"/>
      <c r="AB186" s="120"/>
    </row>
    <row r="187" spans="1:28" s="62" customFormat="1">
      <c r="A187" s="134">
        <v>42895</v>
      </c>
      <c r="B187" s="60"/>
      <c r="C187" s="60"/>
      <c r="D187" s="61" t="s">
        <v>38</v>
      </c>
      <c r="E187" s="62">
        <v>7</v>
      </c>
      <c r="F187" s="89">
        <v>100</v>
      </c>
      <c r="G187" s="64">
        <v>0.5</v>
      </c>
      <c r="H187" s="64">
        <v>540</v>
      </c>
      <c r="I187" s="64">
        <v>43</v>
      </c>
      <c r="J187" s="64">
        <v>0</v>
      </c>
      <c r="K187" s="64">
        <v>40</v>
      </c>
      <c r="L187" s="64">
        <v>2</v>
      </c>
      <c r="M187" s="64">
        <v>40</v>
      </c>
      <c r="N187" s="64">
        <v>2</v>
      </c>
      <c r="O187" s="64"/>
      <c r="P187" s="139">
        <f t="shared" si="16"/>
        <v>44280</v>
      </c>
      <c r="Q187" s="139">
        <f t="shared" si="17"/>
        <v>1440</v>
      </c>
      <c r="R187" s="163">
        <f t="shared" si="18"/>
        <v>0.96850393700787396</v>
      </c>
      <c r="S187" s="182"/>
      <c r="Y187" s="89"/>
      <c r="Z187" s="357"/>
      <c r="AA187" s="120"/>
      <c r="AB187" s="120"/>
    </row>
    <row r="188" spans="1:28" s="62" customFormat="1">
      <c r="A188" s="134">
        <v>42895</v>
      </c>
      <c r="B188" s="60"/>
      <c r="C188" s="60"/>
      <c r="D188" s="61" t="s">
        <v>38</v>
      </c>
      <c r="E188" s="62">
        <v>7</v>
      </c>
      <c r="F188" s="89" t="s">
        <v>203</v>
      </c>
      <c r="G188" s="64">
        <v>0.5</v>
      </c>
      <c r="H188" s="64">
        <v>550</v>
      </c>
      <c r="I188" s="64">
        <v>0</v>
      </c>
      <c r="J188" s="64">
        <v>24</v>
      </c>
      <c r="K188" s="64">
        <v>0</v>
      </c>
      <c r="L188" s="64">
        <v>21</v>
      </c>
      <c r="M188" s="64">
        <v>0</v>
      </c>
      <c r="N188" s="64">
        <v>21</v>
      </c>
      <c r="O188" s="64"/>
      <c r="P188" s="139">
        <f t="shared" si="16"/>
        <v>0</v>
      </c>
      <c r="Q188" s="139">
        <f t="shared" si="17"/>
        <v>24200</v>
      </c>
      <c r="R188" s="163">
        <f t="shared" si="18"/>
        <v>0</v>
      </c>
      <c r="S188" s="182"/>
      <c r="Y188" s="89"/>
      <c r="Z188" s="357"/>
      <c r="AA188" s="120"/>
      <c r="AB188" s="120"/>
    </row>
    <row r="189" spans="1:28" s="62" customFormat="1">
      <c r="A189" s="134">
        <v>42895</v>
      </c>
      <c r="B189" s="60"/>
      <c r="C189" s="60"/>
      <c r="D189" s="62" t="s">
        <v>46</v>
      </c>
      <c r="E189" s="62">
        <v>8</v>
      </c>
      <c r="F189" s="89">
        <v>224</v>
      </c>
      <c r="G189" s="64">
        <v>1</v>
      </c>
      <c r="H189" s="64">
        <v>275</v>
      </c>
      <c r="I189" s="64">
        <v>2</v>
      </c>
      <c r="J189" s="64">
        <v>0</v>
      </c>
      <c r="K189" s="64">
        <v>0</v>
      </c>
      <c r="L189" s="64">
        <v>0</v>
      </c>
      <c r="M189" s="64">
        <v>0</v>
      </c>
      <c r="N189" s="64">
        <v>0</v>
      </c>
      <c r="O189" s="64"/>
      <c r="P189" s="139">
        <f t="shared" si="16"/>
        <v>183.33333333333331</v>
      </c>
      <c r="Q189" s="139">
        <f t="shared" si="17"/>
        <v>0</v>
      </c>
      <c r="R189" s="163">
        <f t="shared" si="18"/>
        <v>1</v>
      </c>
      <c r="S189" s="183" t="str">
        <f>D189</f>
        <v>K-6 Low</v>
      </c>
      <c r="Y189" s="89" t="str">
        <f>D189</f>
        <v>K-6 Low</v>
      </c>
      <c r="Z189" s="357"/>
      <c r="AA189" s="120"/>
      <c r="AB189" s="120"/>
    </row>
    <row r="190" spans="1:28" s="62" customFormat="1">
      <c r="A190" s="134">
        <v>42895</v>
      </c>
      <c r="B190" s="60"/>
      <c r="C190" s="60"/>
      <c r="D190" s="62" t="s">
        <v>46</v>
      </c>
      <c r="E190" s="62">
        <v>8</v>
      </c>
      <c r="F190" s="89">
        <v>180</v>
      </c>
      <c r="G190" s="64">
        <v>1</v>
      </c>
      <c r="H190" s="64">
        <v>450</v>
      </c>
      <c r="I190" s="64">
        <v>6</v>
      </c>
      <c r="J190" s="64">
        <v>0</v>
      </c>
      <c r="K190" s="64">
        <v>0</v>
      </c>
      <c r="L190" s="64">
        <v>0</v>
      </c>
      <c r="M190" s="64">
        <v>4</v>
      </c>
      <c r="N190" s="64">
        <v>0</v>
      </c>
      <c r="O190" s="64"/>
      <c r="P190" s="139">
        <f t="shared" si="16"/>
        <v>1500</v>
      </c>
      <c r="Q190" s="139">
        <f t="shared" si="17"/>
        <v>0</v>
      </c>
      <c r="R190" s="163">
        <f t="shared" si="18"/>
        <v>1</v>
      </c>
      <c r="S190" s="181">
        <f>(SUM(P189:P192)/(SUM(P189:Q192)))</f>
        <v>0.9923641703377386</v>
      </c>
      <c r="Y190" s="89"/>
      <c r="Z190" s="357"/>
      <c r="AA190" s="120"/>
      <c r="AB190" s="120"/>
    </row>
    <row r="191" spans="1:28" s="62" customFormat="1">
      <c r="A191" s="134">
        <v>42895</v>
      </c>
      <c r="B191" s="60"/>
      <c r="C191" s="60"/>
      <c r="D191" s="62" t="s">
        <v>46</v>
      </c>
      <c r="E191" s="62">
        <v>8</v>
      </c>
      <c r="F191" s="89">
        <v>100</v>
      </c>
      <c r="G191" s="64">
        <v>0.5</v>
      </c>
      <c r="H191" s="64">
        <v>525</v>
      </c>
      <c r="I191" s="64">
        <v>53</v>
      </c>
      <c r="J191" s="64">
        <v>0</v>
      </c>
      <c r="K191" s="64">
        <v>49</v>
      </c>
      <c r="L191" s="64">
        <v>0</v>
      </c>
      <c r="M191" s="64">
        <v>51</v>
      </c>
      <c r="N191" s="64">
        <v>0</v>
      </c>
      <c r="O191" s="64"/>
      <c r="P191" s="139">
        <f t="shared" si="16"/>
        <v>53550</v>
      </c>
      <c r="Q191" s="139">
        <f t="shared" si="17"/>
        <v>0</v>
      </c>
      <c r="R191" s="163">
        <f t="shared" si="18"/>
        <v>1</v>
      </c>
      <c r="S191" s="182"/>
      <c r="Y191" s="89"/>
      <c r="Z191" s="357"/>
      <c r="AA191" s="120"/>
      <c r="AB191" s="120"/>
    </row>
    <row r="192" spans="1:28" s="69" customFormat="1" ht="16" thickBot="1">
      <c r="A192" s="66">
        <v>42895</v>
      </c>
      <c r="B192" s="67"/>
      <c r="C192" s="67"/>
      <c r="D192" s="69" t="s">
        <v>46</v>
      </c>
      <c r="E192" s="69">
        <v>8</v>
      </c>
      <c r="F192" s="70" t="s">
        <v>203</v>
      </c>
      <c r="G192" s="71">
        <v>1</v>
      </c>
      <c r="H192" s="71">
        <v>650</v>
      </c>
      <c r="I192" s="71">
        <v>5</v>
      </c>
      <c r="J192" s="71">
        <v>0</v>
      </c>
      <c r="K192" s="71">
        <v>0</v>
      </c>
      <c r="L192" s="71">
        <v>1</v>
      </c>
      <c r="M192" s="71">
        <v>0</v>
      </c>
      <c r="N192" s="71">
        <v>1</v>
      </c>
      <c r="O192" s="71"/>
      <c r="P192" s="123">
        <f t="shared" si="16"/>
        <v>1083.3333333333335</v>
      </c>
      <c r="Q192" s="123">
        <f t="shared" si="17"/>
        <v>433.33333333333331</v>
      </c>
      <c r="R192" s="172">
        <f t="shared" si="18"/>
        <v>0.7142857142857143</v>
      </c>
      <c r="S192" s="196"/>
      <c r="Y192" s="148"/>
      <c r="Z192" s="365"/>
      <c r="AA192" s="149"/>
      <c r="AB192" s="149"/>
    </row>
    <row r="193" spans="1:30" s="146" customFormat="1">
      <c r="A193" s="190">
        <v>42898</v>
      </c>
      <c r="B193" s="191"/>
      <c r="C193" s="191"/>
      <c r="D193" s="147" t="s">
        <v>77</v>
      </c>
      <c r="E193" s="146">
        <v>1</v>
      </c>
      <c r="F193" s="192">
        <v>224</v>
      </c>
      <c r="G193" s="192">
        <v>1</v>
      </c>
      <c r="H193" s="146">
        <v>260</v>
      </c>
      <c r="I193" s="146">
        <v>2</v>
      </c>
      <c r="J193" s="146">
        <v>0</v>
      </c>
      <c r="K193" s="146">
        <v>0</v>
      </c>
      <c r="L193" s="146">
        <v>0</v>
      </c>
      <c r="M193" s="146">
        <v>1</v>
      </c>
      <c r="N193" s="146">
        <v>0</v>
      </c>
      <c r="P193" s="193">
        <f>(AVERAGE(I193,K193,M193)/G193)*H193</f>
        <v>260</v>
      </c>
      <c r="Q193" s="193">
        <f t="shared" si="17"/>
        <v>0</v>
      </c>
      <c r="R193" s="194">
        <f t="shared" si="18"/>
        <v>1</v>
      </c>
      <c r="S193" s="186" t="str">
        <f>D193</f>
        <v>SN-6 Low</v>
      </c>
      <c r="T193" s="195"/>
      <c r="U193" s="195"/>
      <c r="V193" s="195"/>
      <c r="Y193" s="87" t="str">
        <f>D193</f>
        <v>SN-6 Low</v>
      </c>
      <c r="Z193" s="361">
        <f>SUMIFS($P$135:$P$192, $D$135:$D$192, Y193, $F$135:$F$192, "&lt;200") + SUMIFS($Q$135:$Q$192, $D$135:$D$192, Y193, $F$135:$F$192, "&lt;200")</f>
        <v>42750.000000000007</v>
      </c>
      <c r="AA193" s="124">
        <f>SUM(P193:Q196)</f>
        <v>59556.666666666664</v>
      </c>
      <c r="AB193" s="124">
        <f>SUMIFS(Collection!O:O, Collection!B:B, "*" &amp; 'Bucket Counts'!Y193 &amp; "*", Collection!A:A, "&lt;" &amp; 'Bucket Counts'!A193,Collection!A:A,  "&gt;=" &amp; 'Bucket Counts'!$A$135)</f>
        <v>0</v>
      </c>
      <c r="AC193" s="161">
        <f>AA193/(Z193+AB193)</f>
        <v>1.3931384015594539</v>
      </c>
      <c r="AD193" s="369">
        <f>AVERAGE(AC193:AC252)</f>
        <v>0.98152865595374195</v>
      </c>
    </row>
    <row r="194" spans="1:30" s="80" customFormat="1">
      <c r="A194" s="77">
        <v>42898</v>
      </c>
      <c r="B194" s="78"/>
      <c r="C194" s="78"/>
      <c r="D194" s="79" t="s">
        <v>77</v>
      </c>
      <c r="E194" s="80">
        <v>1</v>
      </c>
      <c r="F194" s="87">
        <v>180</v>
      </c>
      <c r="G194" s="87">
        <v>0.5</v>
      </c>
      <c r="H194" s="80">
        <v>790</v>
      </c>
      <c r="I194" s="80">
        <v>18</v>
      </c>
      <c r="J194" s="80">
        <v>0</v>
      </c>
      <c r="K194" s="80">
        <v>16</v>
      </c>
      <c r="L194" s="80">
        <v>0</v>
      </c>
      <c r="M194" s="80">
        <v>9</v>
      </c>
      <c r="N194" s="80">
        <v>0</v>
      </c>
      <c r="P194" s="124">
        <f t="shared" ref="P194:P252" si="19">(AVERAGE(I194,K194,M194)/G194)*H194</f>
        <v>22646.666666666668</v>
      </c>
      <c r="Q194" s="124">
        <f t="shared" si="17"/>
        <v>0</v>
      </c>
      <c r="R194" s="161">
        <f t="shared" si="18"/>
        <v>1</v>
      </c>
      <c r="S194" s="187">
        <f>(SUM(P193:P196)/(SUM(P193:Q196)))</f>
        <v>0.9168858789947949</v>
      </c>
      <c r="T194" s="81"/>
      <c r="U194" s="81"/>
      <c r="V194" s="81"/>
      <c r="Y194" s="87"/>
      <c r="Z194" s="361"/>
      <c r="AA194" s="124"/>
      <c r="AB194" s="124"/>
    </row>
    <row r="195" spans="1:30" s="80" customFormat="1">
      <c r="A195" s="77">
        <v>42898</v>
      </c>
      <c r="B195" s="78"/>
      <c r="C195" s="78"/>
      <c r="D195" s="79" t="s">
        <v>77</v>
      </c>
      <c r="E195" s="80">
        <v>1</v>
      </c>
      <c r="F195" s="87">
        <v>100</v>
      </c>
      <c r="G195" s="87">
        <v>0.5</v>
      </c>
      <c r="H195" s="80">
        <v>840</v>
      </c>
      <c r="I195" s="80">
        <v>19</v>
      </c>
      <c r="J195" s="80">
        <v>0</v>
      </c>
      <c r="K195" s="80">
        <v>20</v>
      </c>
      <c r="L195" s="80">
        <v>0</v>
      </c>
      <c r="M195" s="80">
        <v>16</v>
      </c>
      <c r="N195" s="80">
        <v>0</v>
      </c>
      <c r="P195" s="124">
        <f t="shared" si="19"/>
        <v>30799.999999999996</v>
      </c>
      <c r="Q195" s="124">
        <f t="shared" si="17"/>
        <v>0</v>
      </c>
      <c r="R195" s="161">
        <f t="shared" si="18"/>
        <v>1</v>
      </c>
      <c r="S195" s="185"/>
      <c r="T195" s="81"/>
      <c r="U195" s="81"/>
      <c r="V195" s="81"/>
      <c r="Y195" s="87"/>
      <c r="Z195" s="361"/>
      <c r="AA195" s="124"/>
      <c r="AB195" s="124"/>
    </row>
    <row r="196" spans="1:30" s="80" customFormat="1">
      <c r="A196" s="77">
        <v>42898</v>
      </c>
      <c r="B196" s="78"/>
      <c r="C196" s="78"/>
      <c r="D196" s="79" t="s">
        <v>77</v>
      </c>
      <c r="E196" s="80">
        <v>1</v>
      </c>
      <c r="F196" s="87" t="s">
        <v>203</v>
      </c>
      <c r="G196" s="87">
        <v>1</v>
      </c>
      <c r="H196" s="80">
        <v>450</v>
      </c>
      <c r="I196" s="80">
        <v>0</v>
      </c>
      <c r="J196" s="80">
        <v>11</v>
      </c>
      <c r="K196" s="80">
        <v>0</v>
      </c>
      <c r="L196" s="80">
        <v>9</v>
      </c>
      <c r="M196" s="80">
        <v>6</v>
      </c>
      <c r="N196" s="80">
        <v>13</v>
      </c>
      <c r="P196" s="124">
        <f t="shared" si="19"/>
        <v>900</v>
      </c>
      <c r="Q196" s="124">
        <f t="shared" si="17"/>
        <v>4950</v>
      </c>
      <c r="R196" s="161">
        <f t="shared" si="18"/>
        <v>0.15384615384615385</v>
      </c>
      <c r="S196" s="188"/>
      <c r="T196" s="81"/>
      <c r="U196" s="81"/>
      <c r="V196" s="81"/>
      <c r="Y196" s="87"/>
      <c r="Z196" s="361"/>
      <c r="AA196" s="124"/>
      <c r="AB196" s="124"/>
    </row>
    <row r="197" spans="1:30" s="80" customFormat="1">
      <c r="A197" s="77">
        <v>42898</v>
      </c>
      <c r="B197" s="78"/>
      <c r="C197" s="78"/>
      <c r="D197" s="80" t="s">
        <v>105</v>
      </c>
      <c r="E197" s="80">
        <v>1</v>
      </c>
      <c r="F197" s="87">
        <v>224</v>
      </c>
      <c r="G197" s="87">
        <v>2</v>
      </c>
      <c r="H197" s="80">
        <v>300</v>
      </c>
      <c r="I197" s="80">
        <v>0</v>
      </c>
      <c r="J197" s="80">
        <v>0</v>
      </c>
      <c r="K197" s="80">
        <v>2</v>
      </c>
      <c r="L197" s="80">
        <v>0</v>
      </c>
      <c r="M197" s="80">
        <v>1</v>
      </c>
      <c r="N197" s="80">
        <v>0</v>
      </c>
      <c r="P197" s="124">
        <f t="shared" si="19"/>
        <v>150</v>
      </c>
      <c r="Q197" s="124">
        <f t="shared" si="17"/>
        <v>0</v>
      </c>
      <c r="R197" s="161">
        <f t="shared" si="18"/>
        <v>1</v>
      </c>
      <c r="S197" s="189" t="str">
        <f>D197</f>
        <v>NF-6 Low</v>
      </c>
      <c r="T197" s="81"/>
      <c r="U197" s="81"/>
      <c r="V197" s="81"/>
      <c r="Y197" s="87" t="str">
        <f>D197</f>
        <v>NF-6 Low</v>
      </c>
      <c r="Z197" s="361">
        <f>SUMIFS($P$135:$P$192, $D$135:$D$192, Y197, $F$135:$F$192, "&lt;200") + SUMIFS($Q$135:$Q$192, $D$135:$D$192, Y197, $F$135:$F$192, "&lt;200")</f>
        <v>60950</v>
      </c>
      <c r="AA197" s="124">
        <f>SUM(P197:Q200)</f>
        <v>104444.44444444445</v>
      </c>
      <c r="AB197" s="124">
        <f>SUMIFS(Collection!O:O, Collection!B:B, "*" &amp; 'Bucket Counts'!Y197 &amp; "*", Collection!A:A, "&lt;" &amp; 'Bucket Counts'!A197,Collection!A:A,  "&gt;=" &amp; 'Bucket Counts'!$A$135)</f>
        <v>61733.333333333336</v>
      </c>
      <c r="AC197" s="161">
        <f>AA197/(Z197+AB197)</f>
        <v>0.85133360503554767</v>
      </c>
    </row>
    <row r="198" spans="1:30" s="80" customFormat="1">
      <c r="A198" s="77">
        <v>42898</v>
      </c>
      <c r="B198" s="78"/>
      <c r="C198" s="78"/>
      <c r="D198" s="80" t="s">
        <v>105</v>
      </c>
      <c r="E198" s="80">
        <v>1</v>
      </c>
      <c r="F198" s="87">
        <v>180</v>
      </c>
      <c r="G198" s="87">
        <v>1.5</v>
      </c>
      <c r="H198" s="80">
        <v>625</v>
      </c>
      <c r="I198" s="80">
        <v>4</v>
      </c>
      <c r="J198" s="80">
        <v>1</v>
      </c>
      <c r="K198" s="80">
        <v>7</v>
      </c>
      <c r="L198" s="80">
        <v>1</v>
      </c>
      <c r="M198" s="80">
        <v>3</v>
      </c>
      <c r="N198" s="80">
        <v>1</v>
      </c>
      <c r="P198" s="124">
        <f t="shared" si="19"/>
        <v>1944.4444444444446</v>
      </c>
      <c r="Q198" s="124">
        <f t="shared" si="17"/>
        <v>416.66666666666663</v>
      </c>
      <c r="R198" s="161">
        <f t="shared" si="18"/>
        <v>0.82352941176470584</v>
      </c>
      <c r="S198" s="187">
        <f>(SUM(P197:P200)/(SUM(P197:Q200)))</f>
        <v>0.67031914893617017</v>
      </c>
      <c r="T198" s="81"/>
      <c r="U198" s="81"/>
      <c r="V198" s="81"/>
      <c r="Y198" s="87"/>
      <c r="Z198" s="361"/>
      <c r="AA198" s="124"/>
      <c r="AB198" s="124"/>
    </row>
    <row r="199" spans="1:30" s="80" customFormat="1">
      <c r="A199" s="77">
        <v>42898</v>
      </c>
      <c r="B199" s="78"/>
      <c r="C199" s="78"/>
      <c r="D199" s="80" t="s">
        <v>105</v>
      </c>
      <c r="E199" s="80">
        <v>1</v>
      </c>
      <c r="F199" s="87">
        <v>100</v>
      </c>
      <c r="G199" s="87">
        <v>0.5</v>
      </c>
      <c r="H199" s="80">
        <v>800</v>
      </c>
      <c r="I199" s="80">
        <v>49</v>
      </c>
      <c r="J199" s="80">
        <v>0</v>
      </c>
      <c r="K199" s="80">
        <v>42</v>
      </c>
      <c r="L199" s="80">
        <v>2</v>
      </c>
      <c r="M199" s="80">
        <v>36</v>
      </c>
      <c r="N199" s="80">
        <v>3</v>
      </c>
      <c r="P199" s="124">
        <f t="shared" si="19"/>
        <v>67733.333333333343</v>
      </c>
      <c r="Q199" s="124">
        <f t="shared" si="17"/>
        <v>2666.666666666667</v>
      </c>
      <c r="R199" s="161">
        <f t="shared" si="18"/>
        <v>0.96212121212121204</v>
      </c>
      <c r="S199" s="188"/>
      <c r="T199" s="81"/>
      <c r="U199" s="81"/>
      <c r="V199" s="81"/>
      <c r="Y199" s="87"/>
      <c r="Z199" s="361"/>
      <c r="AA199" s="124"/>
      <c r="AB199" s="124"/>
    </row>
    <row r="200" spans="1:30" s="80" customFormat="1">
      <c r="A200" s="77">
        <v>42898</v>
      </c>
      <c r="B200" s="78"/>
      <c r="C200" s="78"/>
      <c r="D200" s="80" t="s">
        <v>105</v>
      </c>
      <c r="E200" s="80">
        <v>1</v>
      </c>
      <c r="F200" s="87" t="s">
        <v>203</v>
      </c>
      <c r="G200" s="87">
        <v>1</v>
      </c>
      <c r="H200" s="80">
        <v>550</v>
      </c>
      <c r="I200" s="80">
        <v>0</v>
      </c>
      <c r="J200" s="80">
        <v>49</v>
      </c>
      <c r="K200" s="80">
        <v>1</v>
      </c>
      <c r="L200" s="80">
        <v>61</v>
      </c>
      <c r="M200" s="80">
        <v>0</v>
      </c>
      <c r="N200" s="80">
        <v>61</v>
      </c>
      <c r="P200" s="124">
        <f t="shared" si="19"/>
        <v>183.33333333333331</v>
      </c>
      <c r="Q200" s="124">
        <f t="shared" si="17"/>
        <v>31350</v>
      </c>
      <c r="R200" s="161">
        <f t="shared" si="18"/>
        <v>5.8139534883720929E-3</v>
      </c>
      <c r="S200" s="188"/>
      <c r="T200" s="81"/>
      <c r="U200" s="81"/>
      <c r="V200" s="81"/>
      <c r="Y200" s="87"/>
      <c r="Z200" s="361"/>
      <c r="AA200" s="124"/>
      <c r="AB200" s="124"/>
    </row>
    <row r="201" spans="1:30" s="80" customFormat="1">
      <c r="A201" s="77">
        <v>42898</v>
      </c>
      <c r="B201" s="78"/>
      <c r="C201" s="78"/>
      <c r="D201" s="80" t="s">
        <v>86</v>
      </c>
      <c r="E201" s="80">
        <v>2</v>
      </c>
      <c r="F201" s="87">
        <v>224</v>
      </c>
      <c r="G201" s="87">
        <v>1</v>
      </c>
      <c r="H201" s="80">
        <v>425</v>
      </c>
      <c r="I201" s="80">
        <v>1</v>
      </c>
      <c r="J201" s="80">
        <v>0</v>
      </c>
      <c r="K201" s="80">
        <v>3</v>
      </c>
      <c r="L201" s="80">
        <v>0</v>
      </c>
      <c r="M201" s="80">
        <v>3</v>
      </c>
      <c r="N201" s="80">
        <v>0</v>
      </c>
      <c r="P201" s="124">
        <f t="shared" si="19"/>
        <v>991.66666666666674</v>
      </c>
      <c r="Q201" s="124">
        <f t="shared" si="17"/>
        <v>0</v>
      </c>
      <c r="R201" s="161">
        <f t="shared" si="18"/>
        <v>1</v>
      </c>
      <c r="S201" s="189" t="str">
        <f>D201</f>
        <v>SN-10 Ambient</v>
      </c>
      <c r="T201" s="81"/>
      <c r="U201" s="81"/>
      <c r="V201" s="81"/>
      <c r="Y201" s="87" t="str">
        <f>D201</f>
        <v>SN-10 Ambient</v>
      </c>
      <c r="Z201" s="361">
        <f>SUMIFS($P$135:$P$192, $D$135:$D$192, Y201, $F$135:$F$192, "&lt;200") + SUMIFS($Q$135:$Q$192, $D$135:$D$192, Y201, $F$135:$F$192, "&lt;200")</f>
        <v>155286.66666666669</v>
      </c>
      <c r="AA201" s="124">
        <f>SUM(P201:Q204)</f>
        <v>134158.33333333331</v>
      </c>
      <c r="AB201" s="124">
        <f>SUMIFS(Collection!O:O, Collection!B:B, "*" &amp; 'Bucket Counts'!Y201 &amp; "*", Collection!A:A, "&lt;" &amp; 'Bucket Counts'!A201,Collection!A:A,  "&gt;=" &amp; 'Bucket Counts'!$A$135)</f>
        <v>0</v>
      </c>
      <c r="AC201" s="161">
        <f>AA201/(Z201+AB201)</f>
        <v>0.86393981024342059</v>
      </c>
    </row>
    <row r="202" spans="1:30" s="80" customFormat="1">
      <c r="A202" s="77">
        <v>42898</v>
      </c>
      <c r="B202" s="78"/>
      <c r="C202" s="78"/>
      <c r="D202" s="80" t="s">
        <v>86</v>
      </c>
      <c r="E202" s="80">
        <v>2</v>
      </c>
      <c r="F202" s="87">
        <v>180</v>
      </c>
      <c r="G202" s="87">
        <v>0.5</v>
      </c>
      <c r="H202" s="80">
        <v>900</v>
      </c>
      <c r="I202" s="80">
        <v>62</v>
      </c>
      <c r="J202" s="80">
        <v>1</v>
      </c>
      <c r="K202" s="80">
        <v>54</v>
      </c>
      <c r="L202" s="80">
        <v>0</v>
      </c>
      <c r="M202" s="80">
        <v>51</v>
      </c>
      <c r="N202" s="80">
        <v>1</v>
      </c>
      <c r="P202" s="124">
        <f t="shared" si="19"/>
        <v>100200</v>
      </c>
      <c r="Q202" s="124">
        <f t="shared" si="17"/>
        <v>1200</v>
      </c>
      <c r="R202" s="161">
        <f t="shared" si="18"/>
        <v>0.98816568047337283</v>
      </c>
      <c r="S202" s="187">
        <f>(SUM(P201:P204)/(SUM(P201:Q204)))</f>
        <v>0.8342754208335923</v>
      </c>
      <c r="T202" s="81"/>
      <c r="U202" s="81"/>
      <c r="V202" s="81"/>
      <c r="Y202" s="87"/>
      <c r="Z202" s="361"/>
      <c r="AA202" s="124"/>
      <c r="AB202" s="124"/>
    </row>
    <row r="203" spans="1:30" s="80" customFormat="1">
      <c r="A203" s="77">
        <v>42898</v>
      </c>
      <c r="B203" s="78"/>
      <c r="C203" s="78"/>
      <c r="D203" s="80" t="s">
        <v>86</v>
      </c>
      <c r="E203" s="80">
        <v>2</v>
      </c>
      <c r="F203" s="87">
        <v>100</v>
      </c>
      <c r="G203" s="87">
        <v>1</v>
      </c>
      <c r="H203" s="80">
        <v>725</v>
      </c>
      <c r="I203" s="80">
        <v>13</v>
      </c>
      <c r="J203" s="80">
        <v>10</v>
      </c>
      <c r="K203" s="80">
        <v>11</v>
      </c>
      <c r="L203" s="80">
        <v>10</v>
      </c>
      <c r="M203" s="80">
        <v>8</v>
      </c>
      <c r="N203" s="80">
        <v>6</v>
      </c>
      <c r="P203" s="124">
        <f t="shared" si="19"/>
        <v>7733.333333333333</v>
      </c>
      <c r="Q203" s="124">
        <f t="shared" si="17"/>
        <v>6283.333333333333</v>
      </c>
      <c r="R203" s="161">
        <f t="shared" si="18"/>
        <v>0.55172413793103448</v>
      </c>
      <c r="S203" s="188"/>
      <c r="T203" s="81"/>
      <c r="U203" s="81"/>
      <c r="V203" s="81"/>
      <c r="Y203" s="87"/>
      <c r="Z203" s="361"/>
      <c r="AA203" s="124"/>
      <c r="AB203" s="124"/>
    </row>
    <row r="204" spans="1:30" s="80" customFormat="1">
      <c r="A204" s="77">
        <v>42898</v>
      </c>
      <c r="B204" s="78"/>
      <c r="C204" s="78"/>
      <c r="D204" s="80" t="s">
        <v>86</v>
      </c>
      <c r="E204" s="80">
        <v>2</v>
      </c>
      <c r="F204" s="87" t="s">
        <v>203</v>
      </c>
      <c r="G204" s="87">
        <v>1</v>
      </c>
      <c r="H204" s="80">
        <v>750</v>
      </c>
      <c r="I204" s="80">
        <v>4</v>
      </c>
      <c r="J204" s="80">
        <v>22</v>
      </c>
      <c r="K204" s="80">
        <v>3</v>
      </c>
      <c r="L204" s="80">
        <v>28</v>
      </c>
      <c r="M204" s="80">
        <v>5</v>
      </c>
      <c r="N204" s="80">
        <v>9</v>
      </c>
      <c r="P204" s="124">
        <f t="shared" si="19"/>
        <v>3000</v>
      </c>
      <c r="Q204" s="124">
        <f t="shared" si="17"/>
        <v>14750</v>
      </c>
      <c r="R204" s="161">
        <f t="shared" si="18"/>
        <v>0.16901408450704225</v>
      </c>
      <c r="S204" s="188"/>
      <c r="T204" s="81"/>
      <c r="U204" s="81"/>
      <c r="V204" s="81"/>
      <c r="Y204" s="87"/>
      <c r="Z204" s="361"/>
      <c r="AA204" s="124"/>
      <c r="AB204" s="124"/>
    </row>
    <row r="205" spans="1:30" s="80" customFormat="1">
      <c r="A205" s="77">
        <v>42898</v>
      </c>
      <c r="B205" s="78"/>
      <c r="C205" s="78"/>
      <c r="D205" s="80" t="s">
        <v>85</v>
      </c>
      <c r="E205" s="80">
        <v>2</v>
      </c>
      <c r="F205" s="87">
        <v>224</v>
      </c>
      <c r="G205" s="87">
        <v>1</v>
      </c>
      <c r="H205" s="80">
        <v>670</v>
      </c>
      <c r="I205" s="80">
        <v>4</v>
      </c>
      <c r="J205" s="80">
        <v>0</v>
      </c>
      <c r="K205" s="80">
        <v>1</v>
      </c>
      <c r="L205" s="80">
        <v>0</v>
      </c>
      <c r="M205" s="80">
        <v>4</v>
      </c>
      <c r="N205" s="80">
        <v>0</v>
      </c>
      <c r="P205" s="124">
        <f t="shared" si="19"/>
        <v>2010</v>
      </c>
      <c r="Q205" s="124">
        <f t="shared" si="17"/>
        <v>0</v>
      </c>
      <c r="R205" s="161">
        <f t="shared" si="18"/>
        <v>1</v>
      </c>
      <c r="S205" s="189" t="str">
        <f>D205</f>
        <v>NF-6 Ambient</v>
      </c>
      <c r="T205" s="81"/>
      <c r="U205" s="81"/>
      <c r="V205" s="81"/>
      <c r="Y205" s="87" t="str">
        <f>D205</f>
        <v>NF-6 Ambient</v>
      </c>
      <c r="Z205" s="361">
        <f>SUMIFS($P$135:$P$192, $D$135:$D$192, Y205, $F$135:$F$192, "&lt;200") + SUMIFS($Q$135:$Q$192, $D$135:$D$192, Y205, $F$135:$F$192, "&lt;200")</f>
        <v>51786.666666666664</v>
      </c>
      <c r="AA205" s="124">
        <f>SUM(P205:Q208)</f>
        <v>51813.333333333336</v>
      </c>
      <c r="AB205" s="124">
        <f>SUMIFS(Collection!O:O, Collection!B:B, "*" &amp; 'Bucket Counts'!Y205 &amp; "*", Collection!A:A, "&lt;" &amp; 'Bucket Counts'!A205,Collection!A:A,  "&gt;=" &amp; 'Bucket Counts'!$A$135)</f>
        <v>0</v>
      </c>
      <c r="AC205" s="161">
        <f>AA205/(Z205+AB205)</f>
        <v>1.0005149330587024</v>
      </c>
    </row>
    <row r="206" spans="1:30" s="80" customFormat="1">
      <c r="A206" s="77">
        <v>42898</v>
      </c>
      <c r="B206" s="78"/>
      <c r="C206" s="78"/>
      <c r="D206" s="80" t="s">
        <v>85</v>
      </c>
      <c r="E206" s="80">
        <v>2</v>
      </c>
      <c r="F206" s="87">
        <v>180</v>
      </c>
      <c r="G206" s="87">
        <v>0.5</v>
      </c>
      <c r="H206" s="80">
        <v>900</v>
      </c>
      <c r="I206" s="80">
        <v>18</v>
      </c>
      <c r="J206" s="80">
        <v>0</v>
      </c>
      <c r="K206" s="80">
        <v>16</v>
      </c>
      <c r="L206" s="80">
        <v>0</v>
      </c>
      <c r="M206" s="80">
        <v>25</v>
      </c>
      <c r="N206" s="80">
        <v>2</v>
      </c>
      <c r="P206" s="124">
        <f t="shared" si="19"/>
        <v>35400</v>
      </c>
      <c r="Q206" s="124">
        <f t="shared" si="17"/>
        <v>1200</v>
      </c>
      <c r="R206" s="161">
        <f t="shared" si="18"/>
        <v>0.96721311475409832</v>
      </c>
      <c r="S206" s="187">
        <f>(SUM(P205:P208)/(SUM(P205:Q208)))</f>
        <v>0.88979670612454964</v>
      </c>
      <c r="T206" s="81"/>
      <c r="U206" s="81"/>
      <c r="V206" s="81"/>
      <c r="Y206" s="87"/>
      <c r="Z206" s="361"/>
      <c r="AA206" s="124"/>
      <c r="AB206" s="124"/>
    </row>
    <row r="207" spans="1:30" s="80" customFormat="1">
      <c r="A207" s="77">
        <v>42898</v>
      </c>
      <c r="B207" s="78"/>
      <c r="C207" s="78"/>
      <c r="D207" s="80" t="s">
        <v>85</v>
      </c>
      <c r="E207" s="80">
        <v>2</v>
      </c>
      <c r="F207" s="87">
        <v>100</v>
      </c>
      <c r="G207" s="87">
        <v>1</v>
      </c>
      <c r="H207" s="80">
        <v>580</v>
      </c>
      <c r="I207" s="80">
        <v>14</v>
      </c>
      <c r="J207" s="80">
        <v>2</v>
      </c>
      <c r="K207" s="80">
        <v>14</v>
      </c>
      <c r="L207" s="80">
        <v>1</v>
      </c>
      <c r="M207" s="80">
        <v>15</v>
      </c>
      <c r="N207" s="80">
        <v>1</v>
      </c>
      <c r="P207" s="124">
        <f t="shared" si="19"/>
        <v>8313.3333333333339</v>
      </c>
      <c r="Q207" s="124">
        <f t="shared" si="17"/>
        <v>773.33333333333326</v>
      </c>
      <c r="R207" s="161">
        <f t="shared" si="18"/>
        <v>0.91489361702127658</v>
      </c>
      <c r="S207" s="188"/>
      <c r="T207" s="81"/>
      <c r="U207" s="81"/>
      <c r="V207" s="81"/>
      <c r="Y207" s="87"/>
      <c r="Z207" s="361"/>
      <c r="AA207" s="124"/>
      <c r="AB207" s="124"/>
    </row>
    <row r="208" spans="1:30" s="80" customFormat="1">
      <c r="A208" s="77">
        <v>42898</v>
      </c>
      <c r="B208" s="78"/>
      <c r="C208" s="78"/>
      <c r="D208" s="80" t="s">
        <v>85</v>
      </c>
      <c r="E208" s="80">
        <v>2</v>
      </c>
      <c r="F208" s="87" t="s">
        <v>203</v>
      </c>
      <c r="G208" s="87">
        <v>1</v>
      </c>
      <c r="H208" s="80">
        <v>190</v>
      </c>
      <c r="I208" s="80">
        <v>4</v>
      </c>
      <c r="J208" s="80">
        <v>30</v>
      </c>
      <c r="K208" s="80">
        <v>2</v>
      </c>
      <c r="L208" s="80">
        <v>15</v>
      </c>
      <c r="M208" s="80">
        <v>0</v>
      </c>
      <c r="N208" s="80">
        <v>14</v>
      </c>
      <c r="P208" s="124">
        <f t="shared" si="19"/>
        <v>380</v>
      </c>
      <c r="Q208" s="124">
        <f t="shared" si="17"/>
        <v>3736.666666666667</v>
      </c>
      <c r="R208" s="161">
        <f t="shared" si="18"/>
        <v>9.2307692307692299E-2</v>
      </c>
      <c r="S208" s="188"/>
      <c r="T208" s="81"/>
      <c r="U208" s="81"/>
      <c r="V208" s="81"/>
      <c r="Y208" s="87"/>
      <c r="Z208" s="361"/>
      <c r="AA208" s="124"/>
      <c r="AB208" s="124"/>
    </row>
    <row r="209" spans="1:29" s="80" customFormat="1">
      <c r="A209" s="77">
        <v>42898</v>
      </c>
      <c r="B209" s="78"/>
      <c r="C209" s="78"/>
      <c r="D209" s="79" t="s">
        <v>74</v>
      </c>
      <c r="E209" s="80">
        <v>3</v>
      </c>
      <c r="F209" s="87">
        <v>224</v>
      </c>
      <c r="G209" s="87">
        <v>1</v>
      </c>
      <c r="H209" s="80">
        <v>450</v>
      </c>
      <c r="I209" s="80">
        <v>7</v>
      </c>
      <c r="J209" s="80">
        <v>0</v>
      </c>
      <c r="K209" s="80">
        <v>9</v>
      </c>
      <c r="L209" s="80">
        <v>0</v>
      </c>
      <c r="M209" s="80">
        <v>9</v>
      </c>
      <c r="N209" s="80">
        <v>0</v>
      </c>
      <c r="P209" s="346">
        <f t="shared" si="19"/>
        <v>3750.0000000000005</v>
      </c>
      <c r="Q209" s="124">
        <f t="shared" si="17"/>
        <v>0</v>
      </c>
      <c r="R209" s="161">
        <f t="shared" si="18"/>
        <v>1</v>
      </c>
      <c r="S209" s="189" t="str">
        <f>D209</f>
        <v>SN-10 Low</v>
      </c>
      <c r="T209" s="81"/>
      <c r="U209" s="81"/>
      <c r="V209" s="81"/>
      <c r="Y209" s="87" t="str">
        <f>D209</f>
        <v>SN-10 Low</v>
      </c>
      <c r="Z209" s="361">
        <f>SUMIFS($P$135:$P$192, $D$135:$D$192, Y209, $F$135:$F$192, "&lt;200") + SUMIFS($Q$135:$Q$192, $D$135:$D$192, Y209, $F$135:$F$192, "&lt;200")</f>
        <v>48350</v>
      </c>
      <c r="AA209" s="124">
        <f>SUM(P209:Q212)</f>
        <v>44310.000000000007</v>
      </c>
      <c r="AB209" s="124">
        <f>SUMIFS(Collection!O:O, Collection!B:B, "*" &amp; 'Bucket Counts'!Y209 &amp; "*", Collection!A:A, "&lt;" &amp; 'Bucket Counts'!A209,Collection!A:A,  "&gt;=" &amp; 'Bucket Counts'!$A$135)</f>
        <v>0</v>
      </c>
      <c r="AC209" s="161">
        <f>AA209/(Z209+AB209)</f>
        <v>0.91644260599793193</v>
      </c>
    </row>
    <row r="210" spans="1:29" s="80" customFormat="1">
      <c r="A210" s="77">
        <v>42898</v>
      </c>
      <c r="B210" s="78"/>
      <c r="C210" s="78"/>
      <c r="D210" s="79" t="s">
        <v>74</v>
      </c>
      <c r="E210" s="80">
        <v>3</v>
      </c>
      <c r="F210" s="87">
        <v>180</v>
      </c>
      <c r="G210" s="87">
        <v>0.5</v>
      </c>
      <c r="H210" s="80">
        <v>720</v>
      </c>
      <c r="I210" s="80">
        <v>15</v>
      </c>
      <c r="J210" s="80">
        <v>1</v>
      </c>
      <c r="K210" s="80">
        <v>26</v>
      </c>
      <c r="L210" s="80">
        <v>1</v>
      </c>
      <c r="M210" s="80">
        <v>28</v>
      </c>
      <c r="N210" s="80">
        <v>0</v>
      </c>
      <c r="P210" s="124">
        <f t="shared" si="19"/>
        <v>33120</v>
      </c>
      <c r="Q210" s="124">
        <f t="shared" si="17"/>
        <v>960</v>
      </c>
      <c r="R210" s="161">
        <f t="shared" si="18"/>
        <v>0.971830985915493</v>
      </c>
      <c r="S210" s="187">
        <f>(SUM(P209:P212)/(SUM(P209:Q212)))</f>
        <v>0.90220416760701116</v>
      </c>
      <c r="T210" s="81"/>
      <c r="U210" s="81"/>
      <c r="V210" s="81"/>
      <c r="Y210" s="87"/>
      <c r="Z210" s="361"/>
      <c r="AA210" s="124"/>
      <c r="AB210" s="124"/>
    </row>
    <row r="211" spans="1:29" s="80" customFormat="1">
      <c r="A211" s="77">
        <v>42898</v>
      </c>
      <c r="B211" s="78"/>
      <c r="C211" s="78"/>
      <c r="D211" s="79" t="s">
        <v>74</v>
      </c>
      <c r="E211" s="80">
        <v>3</v>
      </c>
      <c r="F211" s="87">
        <v>100</v>
      </c>
      <c r="G211" s="87">
        <v>1</v>
      </c>
      <c r="H211" s="80">
        <v>520</v>
      </c>
      <c r="I211" s="80">
        <v>5</v>
      </c>
      <c r="J211" s="80">
        <v>0</v>
      </c>
      <c r="K211" s="80">
        <v>4</v>
      </c>
      <c r="L211" s="80">
        <v>3</v>
      </c>
      <c r="M211" s="80">
        <v>7</v>
      </c>
      <c r="N211" s="80">
        <v>3</v>
      </c>
      <c r="P211" s="124">
        <f t="shared" si="19"/>
        <v>2773.333333333333</v>
      </c>
      <c r="Q211" s="124">
        <f t="shared" si="17"/>
        <v>1040</v>
      </c>
      <c r="R211" s="161">
        <f t="shared" si="18"/>
        <v>0.72727272727272729</v>
      </c>
      <c r="S211" s="188"/>
      <c r="T211" s="81"/>
      <c r="U211" s="81"/>
      <c r="V211" s="81"/>
      <c r="Y211" s="87"/>
      <c r="Z211" s="361"/>
      <c r="AA211" s="124"/>
      <c r="AB211" s="124"/>
    </row>
    <row r="212" spans="1:29" s="80" customFormat="1">
      <c r="A212" s="77">
        <v>42898</v>
      </c>
      <c r="B212" s="78"/>
      <c r="C212" s="78"/>
      <c r="D212" s="79" t="s">
        <v>74</v>
      </c>
      <c r="E212" s="80">
        <v>3</v>
      </c>
      <c r="F212" s="87" t="s">
        <v>203</v>
      </c>
      <c r="G212" s="87">
        <v>1</v>
      </c>
      <c r="H212" s="80">
        <v>500</v>
      </c>
      <c r="I212" s="80">
        <v>1</v>
      </c>
      <c r="J212" s="80">
        <v>6</v>
      </c>
      <c r="K212" s="80">
        <v>0</v>
      </c>
      <c r="L212" s="80">
        <v>4</v>
      </c>
      <c r="M212" s="80">
        <v>1</v>
      </c>
      <c r="N212" s="80">
        <v>4</v>
      </c>
      <c r="P212" s="124">
        <f t="shared" si="19"/>
        <v>333.33333333333331</v>
      </c>
      <c r="Q212" s="124">
        <f t="shared" si="17"/>
        <v>2333.3333333333335</v>
      </c>
      <c r="R212" s="161">
        <f t="shared" si="18"/>
        <v>0.12499999999999997</v>
      </c>
      <c r="S212" s="188"/>
      <c r="T212" s="81"/>
      <c r="U212" s="81"/>
      <c r="V212" s="81"/>
      <c r="Y212" s="87"/>
      <c r="Z212" s="361"/>
      <c r="AA212" s="124"/>
      <c r="AB212" s="124"/>
    </row>
    <row r="213" spans="1:29" s="80" customFormat="1">
      <c r="A213" s="77">
        <v>42898</v>
      </c>
      <c r="B213" s="78"/>
      <c r="C213" s="78"/>
      <c r="D213" s="80" t="s">
        <v>83</v>
      </c>
      <c r="E213" s="80">
        <v>3</v>
      </c>
      <c r="F213" s="87">
        <v>224</v>
      </c>
      <c r="G213" s="87">
        <v>2</v>
      </c>
      <c r="H213" s="80">
        <v>300</v>
      </c>
      <c r="I213" s="80">
        <v>0</v>
      </c>
      <c r="J213" s="80">
        <v>0</v>
      </c>
      <c r="K213" s="80">
        <v>3</v>
      </c>
      <c r="L213" s="80">
        <v>0</v>
      </c>
      <c r="M213" s="80">
        <v>3</v>
      </c>
      <c r="N213" s="80">
        <v>0</v>
      </c>
      <c r="P213" s="124">
        <f t="shared" si="19"/>
        <v>300</v>
      </c>
      <c r="Q213" s="124">
        <f t="shared" si="17"/>
        <v>0</v>
      </c>
      <c r="R213" s="161">
        <f t="shared" si="18"/>
        <v>1</v>
      </c>
      <c r="S213" s="189" t="str">
        <f>D213</f>
        <v>NF-10 Low</v>
      </c>
      <c r="T213" s="81"/>
      <c r="U213" s="81"/>
      <c r="V213" s="81"/>
      <c r="Y213" s="87" t="str">
        <f>D213</f>
        <v>NF-10 Low</v>
      </c>
      <c r="Z213" s="361">
        <f>SUMIFS($P$135:$P$192, $D$135:$D$192, Y213, $F$135:$F$192, "&lt;200") + SUMIFS($Q$135:$Q$192, $D$135:$D$192, Y213, $F$135:$F$192, "&lt;200")</f>
        <v>58800.000000000007</v>
      </c>
      <c r="AA213" s="124">
        <f>SUM(P213:Q216)</f>
        <v>49230.000000000007</v>
      </c>
      <c r="AB213" s="124">
        <f>SUMIFS(Collection!O:O, Collection!B:B, "*" &amp; 'Bucket Counts'!Y213 &amp; "*", Collection!A:A, "&lt;" &amp; 'Bucket Counts'!A213,Collection!A:A,  "&gt;=" &amp; 'Bucket Counts'!$A$135)</f>
        <v>0</v>
      </c>
      <c r="AC213" s="161">
        <f>AA213/(Z213+AB213)</f>
        <v>0.83724489795918366</v>
      </c>
    </row>
    <row r="214" spans="1:29" s="80" customFormat="1">
      <c r="A214" s="77">
        <v>42898</v>
      </c>
      <c r="B214" s="78"/>
      <c r="C214" s="78"/>
      <c r="D214" s="80" t="s">
        <v>83</v>
      </c>
      <c r="E214" s="80">
        <v>3</v>
      </c>
      <c r="F214" s="87">
        <v>180</v>
      </c>
      <c r="G214" s="87">
        <v>0.5</v>
      </c>
      <c r="H214" s="80">
        <v>820</v>
      </c>
      <c r="I214" s="80">
        <v>23</v>
      </c>
      <c r="J214" s="80">
        <v>0</v>
      </c>
      <c r="K214" s="80">
        <v>34</v>
      </c>
      <c r="L214" s="80">
        <v>0</v>
      </c>
      <c r="M214" s="80">
        <v>24</v>
      </c>
      <c r="N214" s="80">
        <v>0</v>
      </c>
      <c r="P214" s="124">
        <f t="shared" si="19"/>
        <v>44280</v>
      </c>
      <c r="Q214" s="124">
        <f t="shared" si="17"/>
        <v>0</v>
      </c>
      <c r="R214" s="161">
        <f t="shared" si="18"/>
        <v>1</v>
      </c>
      <c r="S214" s="187">
        <f>(SUM(P213:P216)/(SUM(P213:Q216)))</f>
        <v>0.96783803913602817</v>
      </c>
      <c r="T214" s="81"/>
      <c r="Y214" s="87"/>
      <c r="Z214" s="361"/>
      <c r="AA214" s="124"/>
      <c r="AB214" s="124"/>
    </row>
    <row r="215" spans="1:29" s="80" customFormat="1">
      <c r="A215" s="77">
        <v>42898</v>
      </c>
      <c r="B215" s="78"/>
      <c r="C215" s="78"/>
      <c r="D215" s="80" t="s">
        <v>83</v>
      </c>
      <c r="E215" s="80">
        <v>3</v>
      </c>
      <c r="F215" s="87">
        <v>100</v>
      </c>
      <c r="G215" s="87">
        <v>1</v>
      </c>
      <c r="H215" s="80">
        <v>500</v>
      </c>
      <c r="I215" s="80">
        <v>6</v>
      </c>
      <c r="J215" s="80">
        <v>1</v>
      </c>
      <c r="K215" s="80">
        <v>6</v>
      </c>
      <c r="L215" s="80">
        <v>4</v>
      </c>
      <c r="M215" s="80">
        <v>5</v>
      </c>
      <c r="N215" s="80">
        <v>1</v>
      </c>
      <c r="P215" s="124">
        <f t="shared" si="19"/>
        <v>2833.3333333333335</v>
      </c>
      <c r="Q215" s="124">
        <f t="shared" si="17"/>
        <v>1000</v>
      </c>
      <c r="R215" s="161">
        <f t="shared" si="18"/>
        <v>0.73913043478260876</v>
      </c>
      <c r="S215" s="188"/>
      <c r="T215" s="81"/>
      <c r="Y215" s="87"/>
      <c r="Z215" s="361"/>
      <c r="AA215" s="124"/>
      <c r="AB215" s="124"/>
    </row>
    <row r="216" spans="1:29" s="80" customFormat="1">
      <c r="A216" s="77">
        <v>42898</v>
      </c>
      <c r="B216" s="78"/>
      <c r="C216" s="78"/>
      <c r="D216" s="80" t="s">
        <v>83</v>
      </c>
      <c r="E216" s="80">
        <v>3</v>
      </c>
      <c r="F216" s="87" t="s">
        <v>203</v>
      </c>
      <c r="G216" s="87">
        <v>1</v>
      </c>
      <c r="H216" s="80">
        <v>350</v>
      </c>
      <c r="I216" s="80">
        <v>0</v>
      </c>
      <c r="J216" s="80">
        <v>2</v>
      </c>
      <c r="K216" s="80">
        <v>1</v>
      </c>
      <c r="L216" s="80">
        <v>3</v>
      </c>
      <c r="M216" s="80">
        <v>1</v>
      </c>
      <c r="N216" s="80">
        <v>0</v>
      </c>
      <c r="P216" s="124">
        <f t="shared" si="19"/>
        <v>233.33333333333331</v>
      </c>
      <c r="Q216" s="124">
        <f t="shared" si="17"/>
        <v>583.33333333333337</v>
      </c>
      <c r="R216" s="161">
        <f t="shared" si="18"/>
        <v>0.28571428571428564</v>
      </c>
      <c r="S216" s="188"/>
      <c r="T216" s="81"/>
      <c r="Y216" s="87"/>
      <c r="Z216" s="361"/>
      <c r="AA216" s="124"/>
      <c r="AB216" s="124"/>
    </row>
    <row r="217" spans="1:29" s="80" customFormat="1">
      <c r="A217" s="77">
        <v>42898</v>
      </c>
      <c r="B217" s="78"/>
      <c r="C217" s="78"/>
      <c r="D217" s="79" t="s">
        <v>21</v>
      </c>
      <c r="E217" s="80">
        <v>4</v>
      </c>
      <c r="F217" s="87">
        <v>224</v>
      </c>
      <c r="G217" s="87">
        <v>1</v>
      </c>
      <c r="H217" s="80">
        <v>300</v>
      </c>
      <c r="I217" s="80">
        <v>0</v>
      </c>
      <c r="J217" s="80">
        <v>0</v>
      </c>
      <c r="K217" s="80">
        <v>0</v>
      </c>
      <c r="L217" s="80">
        <v>0</v>
      </c>
      <c r="M217" s="80">
        <v>0</v>
      </c>
      <c r="N217" s="80">
        <v>0</v>
      </c>
      <c r="P217" s="124">
        <f t="shared" si="19"/>
        <v>0</v>
      </c>
      <c r="Q217" s="124">
        <f t="shared" si="17"/>
        <v>0</v>
      </c>
      <c r="R217" s="161" t="e">
        <f t="shared" si="18"/>
        <v>#DIV/0!</v>
      </c>
      <c r="S217" s="186" t="str">
        <f>D217</f>
        <v>HL-6 Low</v>
      </c>
      <c r="T217" s="81"/>
      <c r="W217" s="80" t="s">
        <v>187</v>
      </c>
      <c r="Y217" s="87" t="str">
        <f>D217</f>
        <v>HL-6 Low</v>
      </c>
      <c r="Z217" s="361">
        <f>SUMIFS($P$135:$P$192, $D$135:$D$192, Y217, $F$135:$F$192, "&lt;200") + SUMIFS($Q$135:$Q$192, $D$135:$D$192, Y217, $F$135:$F$192, "&lt;200")</f>
        <v>64533.333333333336</v>
      </c>
      <c r="AA217" s="124">
        <f>SUM(P217:Q220)</f>
        <v>72976.666666666657</v>
      </c>
      <c r="AB217" s="124">
        <f>SUMIFS(Collection!O:O, Collection!B:B, "*" &amp; 'Bucket Counts'!Y217 &amp; "*", Collection!A:A, "&lt;" &amp; 'Bucket Counts'!A217,Collection!A:A,  "&gt;=" &amp; 'Bucket Counts'!$A$135)</f>
        <v>0</v>
      </c>
      <c r="AC217" s="161">
        <f>AA217/(Z217+AB217)</f>
        <v>1.130836776859504</v>
      </c>
    </row>
    <row r="218" spans="1:29" s="80" customFormat="1">
      <c r="A218" s="77">
        <v>42898</v>
      </c>
      <c r="B218" s="78"/>
      <c r="C218" s="78"/>
      <c r="D218" s="79" t="s">
        <v>21</v>
      </c>
      <c r="E218" s="80">
        <v>4</v>
      </c>
      <c r="F218" s="87">
        <v>180</v>
      </c>
      <c r="G218" s="87">
        <v>1</v>
      </c>
      <c r="H218" s="80">
        <v>300</v>
      </c>
      <c r="I218" s="80">
        <v>0</v>
      </c>
      <c r="J218" s="80">
        <v>0</v>
      </c>
      <c r="K218" s="80">
        <v>0</v>
      </c>
      <c r="L218" s="80">
        <v>0</v>
      </c>
      <c r="M218" s="80">
        <v>0</v>
      </c>
      <c r="N218" s="80">
        <v>0</v>
      </c>
      <c r="P218" s="124">
        <f t="shared" si="19"/>
        <v>0</v>
      </c>
      <c r="Q218" s="124">
        <f t="shared" si="17"/>
        <v>0</v>
      </c>
      <c r="R218" s="161" t="e">
        <f t="shared" si="18"/>
        <v>#DIV/0!</v>
      </c>
      <c r="S218" s="187">
        <f>(SUM(P217:P220)/(SUM(P217:Q220)))</f>
        <v>0.97478646142602654</v>
      </c>
      <c r="T218" s="81"/>
      <c r="Y218" s="87"/>
      <c r="Z218" s="361"/>
      <c r="AA218" s="124"/>
      <c r="AB218" s="124"/>
    </row>
    <row r="219" spans="1:29" s="80" customFormat="1">
      <c r="A219" s="77">
        <v>42898</v>
      </c>
      <c r="B219" s="78"/>
      <c r="C219" s="78"/>
      <c r="D219" s="79" t="s">
        <v>21</v>
      </c>
      <c r="E219" s="80">
        <v>4</v>
      </c>
      <c r="F219" s="87">
        <v>100</v>
      </c>
      <c r="G219" s="87">
        <v>0.5</v>
      </c>
      <c r="H219" s="80">
        <v>550</v>
      </c>
      <c r="I219" s="80">
        <v>65</v>
      </c>
      <c r="J219" s="80">
        <v>0</v>
      </c>
      <c r="K219" s="80">
        <v>70</v>
      </c>
      <c r="L219" s="80">
        <v>0</v>
      </c>
      <c r="M219" s="80">
        <v>58</v>
      </c>
      <c r="N219" s="80">
        <v>3</v>
      </c>
      <c r="P219" s="124">
        <f t="shared" si="19"/>
        <v>70766.666666666657</v>
      </c>
      <c r="Q219" s="124">
        <f t="shared" si="17"/>
        <v>1100</v>
      </c>
      <c r="R219" s="161">
        <f t="shared" si="18"/>
        <v>0.98469387755102045</v>
      </c>
      <c r="S219" s="185"/>
      <c r="T219" s="81"/>
      <c r="Y219" s="87"/>
      <c r="Z219" s="361"/>
      <c r="AA219" s="124"/>
      <c r="AB219" s="124"/>
    </row>
    <row r="220" spans="1:29" s="80" customFormat="1">
      <c r="A220" s="77">
        <v>42898</v>
      </c>
      <c r="B220" s="78"/>
      <c r="C220" s="78"/>
      <c r="D220" s="79" t="s">
        <v>21</v>
      </c>
      <c r="E220" s="80">
        <v>4</v>
      </c>
      <c r="F220" s="87" t="s">
        <v>203</v>
      </c>
      <c r="G220" s="87">
        <v>1</v>
      </c>
      <c r="H220" s="80">
        <v>370</v>
      </c>
      <c r="I220" s="80">
        <v>0</v>
      </c>
      <c r="J220" s="80">
        <v>2</v>
      </c>
      <c r="K220" s="80">
        <v>1</v>
      </c>
      <c r="L220" s="80">
        <v>4</v>
      </c>
      <c r="M220" s="80">
        <v>2</v>
      </c>
      <c r="N220" s="80">
        <v>0</v>
      </c>
      <c r="P220" s="124">
        <f t="shared" si="19"/>
        <v>370</v>
      </c>
      <c r="Q220" s="124">
        <f t="shared" si="17"/>
        <v>740</v>
      </c>
      <c r="R220" s="161">
        <f t="shared" si="18"/>
        <v>0.33333333333333331</v>
      </c>
      <c r="S220" s="188"/>
      <c r="T220" s="81"/>
      <c r="Y220" s="87"/>
      <c r="Z220" s="361"/>
      <c r="AA220" s="124"/>
      <c r="AB220" s="124"/>
    </row>
    <row r="221" spans="1:29" s="80" customFormat="1">
      <c r="A221" s="77">
        <v>42898</v>
      </c>
      <c r="B221" s="78"/>
      <c r="C221" s="78"/>
      <c r="D221" s="80" t="s">
        <v>84</v>
      </c>
      <c r="E221" s="80">
        <v>4</v>
      </c>
      <c r="F221" s="87">
        <v>224</v>
      </c>
      <c r="G221" s="80">
        <v>1</v>
      </c>
      <c r="H221" s="80">
        <v>300</v>
      </c>
      <c r="I221" s="80">
        <v>3</v>
      </c>
      <c r="J221" s="80">
        <v>0</v>
      </c>
      <c r="K221" s="80">
        <v>3</v>
      </c>
      <c r="L221" s="80">
        <v>0</v>
      </c>
      <c r="M221" s="80">
        <v>0</v>
      </c>
      <c r="N221" s="80">
        <v>0</v>
      </c>
      <c r="P221" s="124">
        <f t="shared" si="19"/>
        <v>600</v>
      </c>
      <c r="Q221" s="124">
        <f t="shared" si="17"/>
        <v>0</v>
      </c>
      <c r="R221" s="161">
        <f t="shared" si="18"/>
        <v>1</v>
      </c>
      <c r="S221" s="189" t="str">
        <f>D221</f>
        <v>NF-10 Ambient</v>
      </c>
      <c r="Y221" s="87" t="str">
        <f>D221</f>
        <v>NF-10 Ambient</v>
      </c>
      <c r="Z221" s="361">
        <f>SUMIFS($P$135:$P$192, $D$135:$D$192, Y221, $F$135:$F$192, "&lt;200") + SUMIFS($Q$135:$Q$192, $D$135:$D$192, Y221, $F$135:$F$192, "&lt;200")</f>
        <v>91466.666666666672</v>
      </c>
      <c r="AA221" s="124">
        <f>SUM(P221:Q224)</f>
        <v>93424.999999999985</v>
      </c>
      <c r="AB221" s="124">
        <f>SUMIFS(Collection!O:O, Collection!B:B, "*" &amp; 'Bucket Counts'!Y221 &amp; "*", Collection!A:A, "&lt;" &amp; 'Bucket Counts'!A221,Collection!A:A,  "&gt;=" &amp; 'Bucket Counts'!$A$135)</f>
        <v>0</v>
      </c>
      <c r="AC221" s="161">
        <f>AA221/(Z221+AB221)</f>
        <v>1.0214103498542273</v>
      </c>
    </row>
    <row r="222" spans="1:29" s="80" customFormat="1">
      <c r="A222" s="77">
        <v>42898</v>
      </c>
      <c r="B222" s="78"/>
      <c r="C222" s="78"/>
      <c r="D222" s="80" t="s">
        <v>84</v>
      </c>
      <c r="E222" s="80">
        <v>4</v>
      </c>
      <c r="F222" s="87">
        <v>180</v>
      </c>
      <c r="G222" s="80">
        <v>1</v>
      </c>
      <c r="H222" s="80">
        <v>500</v>
      </c>
      <c r="I222" s="80">
        <v>23</v>
      </c>
      <c r="J222" s="80">
        <v>0</v>
      </c>
      <c r="K222" s="80">
        <v>21</v>
      </c>
      <c r="L222" s="80">
        <v>0</v>
      </c>
      <c r="M222" s="80">
        <v>17</v>
      </c>
      <c r="N222" s="80">
        <v>0</v>
      </c>
      <c r="P222" s="124">
        <f t="shared" si="19"/>
        <v>10166.666666666666</v>
      </c>
      <c r="Q222" s="124">
        <f t="shared" si="17"/>
        <v>0</v>
      </c>
      <c r="R222" s="161">
        <f t="shared" si="18"/>
        <v>1</v>
      </c>
      <c r="S222" s="187">
        <f>(SUM(P221:P224)/(SUM(P221:Q224)))</f>
        <v>0.8967977878868969</v>
      </c>
      <c r="Y222" s="87"/>
      <c r="Z222" s="361"/>
      <c r="AA222" s="124"/>
      <c r="AB222" s="124"/>
    </row>
    <row r="223" spans="1:29" s="80" customFormat="1">
      <c r="A223" s="77">
        <v>42898</v>
      </c>
      <c r="B223" s="78"/>
      <c r="C223" s="78"/>
      <c r="D223" s="80" t="s">
        <v>84</v>
      </c>
      <c r="E223" s="80">
        <v>4</v>
      </c>
      <c r="F223" s="87">
        <v>100</v>
      </c>
      <c r="G223" s="80">
        <v>0.5</v>
      </c>
      <c r="H223" s="80">
        <v>650</v>
      </c>
      <c r="I223" s="80">
        <v>57</v>
      </c>
      <c r="J223" s="80">
        <v>0</v>
      </c>
      <c r="K223" s="80">
        <v>66</v>
      </c>
      <c r="L223" s="80">
        <v>0</v>
      </c>
      <c r="M223" s="80">
        <v>44</v>
      </c>
      <c r="N223" s="80">
        <v>1</v>
      </c>
      <c r="P223" s="124">
        <f t="shared" si="19"/>
        <v>72366.666666666657</v>
      </c>
      <c r="Q223" s="124">
        <f t="shared" si="17"/>
        <v>433.33333333333331</v>
      </c>
      <c r="R223" s="161">
        <f t="shared" si="18"/>
        <v>0.99404761904761907</v>
      </c>
      <c r="S223" s="188"/>
      <c r="Y223" s="87"/>
      <c r="Z223" s="361"/>
      <c r="AA223" s="124"/>
      <c r="AB223" s="124"/>
    </row>
    <row r="224" spans="1:29" s="80" customFormat="1">
      <c r="A224" s="77">
        <v>42898</v>
      </c>
      <c r="B224" s="78"/>
      <c r="C224" s="78"/>
      <c r="D224" s="80" t="s">
        <v>84</v>
      </c>
      <c r="E224" s="80">
        <v>4</v>
      </c>
      <c r="F224" s="87" t="s">
        <v>203</v>
      </c>
      <c r="G224" s="80">
        <v>1</v>
      </c>
      <c r="H224" s="80">
        <v>325</v>
      </c>
      <c r="I224" s="80">
        <v>3</v>
      </c>
      <c r="J224" s="80">
        <v>27</v>
      </c>
      <c r="K224" s="80">
        <v>1</v>
      </c>
      <c r="L224" s="80">
        <v>31</v>
      </c>
      <c r="M224" s="80">
        <v>2</v>
      </c>
      <c r="N224" s="80">
        <v>27</v>
      </c>
      <c r="P224" s="124">
        <f t="shared" si="19"/>
        <v>650</v>
      </c>
      <c r="Q224" s="124">
        <f t="shared" si="17"/>
        <v>9208.3333333333321</v>
      </c>
      <c r="R224" s="161">
        <f t="shared" si="18"/>
        <v>6.5934065934065936E-2</v>
      </c>
      <c r="S224" s="188"/>
      <c r="Y224" s="87"/>
      <c r="Z224" s="361"/>
      <c r="AA224" s="124"/>
      <c r="AB224" s="124"/>
    </row>
    <row r="225" spans="1:29" s="80" customFormat="1">
      <c r="A225" s="77">
        <v>42898</v>
      </c>
      <c r="B225" s="78"/>
      <c r="C225" s="78"/>
      <c r="D225" s="79" t="s">
        <v>87</v>
      </c>
      <c r="E225" s="80">
        <v>5</v>
      </c>
      <c r="F225" s="87">
        <v>224</v>
      </c>
      <c r="G225" s="87">
        <v>1</v>
      </c>
      <c r="H225" s="80">
        <v>340</v>
      </c>
      <c r="I225" s="80">
        <v>0</v>
      </c>
      <c r="J225" s="80">
        <v>0</v>
      </c>
      <c r="K225" s="80">
        <v>0</v>
      </c>
      <c r="L225" s="80">
        <v>0</v>
      </c>
      <c r="M225" s="80">
        <v>0</v>
      </c>
      <c r="N225" s="80">
        <v>0</v>
      </c>
      <c r="P225" s="124">
        <f t="shared" si="19"/>
        <v>0</v>
      </c>
      <c r="Q225" s="124">
        <f t="shared" si="17"/>
        <v>0</v>
      </c>
      <c r="R225" s="161" t="e">
        <f t="shared" si="18"/>
        <v>#DIV/0!</v>
      </c>
      <c r="S225" s="189" t="str">
        <f>D225</f>
        <v>SN-6 Ambient</v>
      </c>
      <c r="T225" s="81"/>
      <c r="U225" s="81"/>
      <c r="V225" s="81"/>
      <c r="W225" s="80" t="s">
        <v>170</v>
      </c>
      <c r="Y225" s="87" t="str">
        <f>D225</f>
        <v>SN-6 Ambient</v>
      </c>
      <c r="Z225" s="361">
        <f>SUMIFS($P$135:$P$192, $D$135:$D$192, Y225, $F$135:$F$192, "&lt;200") + SUMIFS($Q$135:$Q$192, $D$135:$D$192, Y225, $F$135:$F$192, "&lt;200")</f>
        <v>34373.333333333336</v>
      </c>
      <c r="AA225" s="124">
        <f>SUM(P225:Q228)</f>
        <v>40693.333333333336</v>
      </c>
      <c r="AB225" s="124">
        <f>SUMIFS(Collection!O:O, Collection!B:B, "*" &amp; 'Bucket Counts'!Y225 &amp; "*", Collection!A:A, "&lt;" &amp; 'Bucket Counts'!A225,Collection!A:A,  "&gt;=" &amp; 'Bucket Counts'!$A$135)</f>
        <v>0</v>
      </c>
      <c r="AC225" s="161">
        <f>AA225/(Z225+AB225)</f>
        <v>1.1838634600465476</v>
      </c>
    </row>
    <row r="226" spans="1:29" s="80" customFormat="1">
      <c r="A226" s="77">
        <v>42898</v>
      </c>
      <c r="B226" s="78"/>
      <c r="C226" s="78"/>
      <c r="D226" s="79" t="s">
        <v>87</v>
      </c>
      <c r="E226" s="80">
        <v>5</v>
      </c>
      <c r="F226" s="87">
        <v>180</v>
      </c>
      <c r="G226" s="87">
        <v>1</v>
      </c>
      <c r="H226" s="80">
        <v>500</v>
      </c>
      <c r="I226" s="80">
        <v>32</v>
      </c>
      <c r="J226" s="80">
        <v>0</v>
      </c>
      <c r="K226" s="80">
        <v>38</v>
      </c>
      <c r="L226" s="80">
        <v>0</v>
      </c>
      <c r="M226" s="80">
        <v>32</v>
      </c>
      <c r="N226" s="80">
        <v>0</v>
      </c>
      <c r="P226" s="124">
        <f t="shared" si="19"/>
        <v>17000</v>
      </c>
      <c r="Q226" s="124">
        <f t="shared" si="17"/>
        <v>0</v>
      </c>
      <c r="R226" s="161">
        <f t="shared" si="18"/>
        <v>1</v>
      </c>
      <c r="S226" s="187">
        <f>(SUM(P225:P228)/(SUM(P225:Q228)))</f>
        <v>0.93749999999999989</v>
      </c>
      <c r="T226" s="81"/>
      <c r="U226" s="81"/>
      <c r="V226" s="81"/>
      <c r="Y226" s="87"/>
      <c r="Z226" s="361"/>
      <c r="AA226" s="124"/>
      <c r="AB226" s="124"/>
    </row>
    <row r="227" spans="1:29" s="80" customFormat="1">
      <c r="A227" s="77">
        <v>42898</v>
      </c>
      <c r="B227" s="78"/>
      <c r="C227" s="78"/>
      <c r="D227" s="79" t="s">
        <v>87</v>
      </c>
      <c r="E227" s="80">
        <v>5</v>
      </c>
      <c r="F227" s="87">
        <v>100</v>
      </c>
      <c r="G227" s="87">
        <v>1</v>
      </c>
      <c r="H227" s="80">
        <v>500</v>
      </c>
      <c r="I227" s="80">
        <v>43</v>
      </c>
      <c r="J227" s="80">
        <v>2</v>
      </c>
      <c r="K227" s="80">
        <v>36</v>
      </c>
      <c r="L227" s="80">
        <v>0</v>
      </c>
      <c r="M227" s="80">
        <v>44</v>
      </c>
      <c r="N227" s="80">
        <v>0</v>
      </c>
      <c r="P227" s="124">
        <f t="shared" si="19"/>
        <v>20500</v>
      </c>
      <c r="Q227" s="124">
        <f t="shared" si="17"/>
        <v>333.33333333333331</v>
      </c>
      <c r="R227" s="161">
        <f t="shared" si="18"/>
        <v>0.9840000000000001</v>
      </c>
      <c r="S227" s="188"/>
      <c r="T227" s="81"/>
      <c r="U227" s="81"/>
      <c r="V227" s="81"/>
      <c r="Y227" s="87"/>
      <c r="Z227" s="361"/>
      <c r="AA227" s="124"/>
      <c r="AB227" s="124"/>
    </row>
    <row r="228" spans="1:29" s="80" customFormat="1">
      <c r="A228" s="77">
        <v>42898</v>
      </c>
      <c r="B228" s="78"/>
      <c r="C228" s="78"/>
      <c r="D228" s="79" t="s">
        <v>87</v>
      </c>
      <c r="E228" s="80">
        <v>5</v>
      </c>
      <c r="F228" s="87" t="s">
        <v>203</v>
      </c>
      <c r="G228" s="87">
        <v>1</v>
      </c>
      <c r="H228" s="80">
        <v>390</v>
      </c>
      <c r="I228" s="80">
        <v>2</v>
      </c>
      <c r="J228" s="80">
        <v>3</v>
      </c>
      <c r="K228" s="80">
        <v>2</v>
      </c>
      <c r="L228" s="80">
        <v>7</v>
      </c>
      <c r="M228" s="80">
        <v>1</v>
      </c>
      <c r="N228" s="80">
        <v>7</v>
      </c>
      <c r="P228" s="124">
        <f t="shared" si="19"/>
        <v>650</v>
      </c>
      <c r="Q228" s="124">
        <f t="shared" ref="Q228:Q291" si="20">(AVERAGE(J228,L228,N228)/G228)*H228</f>
        <v>2210</v>
      </c>
      <c r="R228" s="161">
        <f t="shared" ref="R228:R291" si="21">P228/(P228+Q228)</f>
        <v>0.22727272727272727</v>
      </c>
      <c r="S228" s="188"/>
      <c r="T228" s="81"/>
      <c r="U228" s="81"/>
      <c r="V228" s="81"/>
      <c r="Y228" s="87"/>
      <c r="Z228" s="361"/>
      <c r="AA228" s="124"/>
      <c r="AB228" s="124"/>
    </row>
    <row r="229" spans="1:29" s="80" customFormat="1">
      <c r="A229" s="77">
        <v>42898</v>
      </c>
      <c r="B229" s="78"/>
      <c r="C229" s="78"/>
      <c r="D229" s="80" t="s">
        <v>20</v>
      </c>
      <c r="E229" s="80">
        <v>5</v>
      </c>
      <c r="F229" s="87">
        <v>224</v>
      </c>
      <c r="G229" s="87">
        <v>2</v>
      </c>
      <c r="H229" s="80">
        <v>330</v>
      </c>
      <c r="I229" s="80">
        <v>0</v>
      </c>
      <c r="J229" s="80">
        <v>0</v>
      </c>
      <c r="K229" s="80">
        <v>0</v>
      </c>
      <c r="L229" s="80">
        <v>0</v>
      </c>
      <c r="M229" s="80">
        <v>0</v>
      </c>
      <c r="N229" s="80">
        <v>0</v>
      </c>
      <c r="P229" s="124">
        <f t="shared" si="19"/>
        <v>0</v>
      </c>
      <c r="Q229" s="124">
        <f t="shared" si="20"/>
        <v>0</v>
      </c>
      <c r="R229" s="161" t="e">
        <f t="shared" si="21"/>
        <v>#DIV/0!</v>
      </c>
      <c r="S229" s="189" t="str">
        <f>D229</f>
        <v>K-10 Low</v>
      </c>
      <c r="T229" s="81"/>
      <c r="U229" s="81"/>
      <c r="V229" s="81"/>
      <c r="Y229" s="87" t="str">
        <f>D229</f>
        <v>K-10 Low</v>
      </c>
      <c r="Z229" s="361">
        <f>SUMIFS($P$135:$P$192, $D$135:$D$192, Y229, $F$135:$F$192, "&lt;200") + SUMIFS($Q$135:$Q$192, $D$135:$D$192, Y229, $F$135:$F$192, "&lt;200")</f>
        <v>64460</v>
      </c>
      <c r="AA229" s="124">
        <f>SUM(P229:Q232)</f>
        <v>57186.666666666672</v>
      </c>
      <c r="AB229" s="124">
        <f>SUMIFS(Collection!O:O, Collection!B:B, "*" &amp; 'Bucket Counts'!Y229 &amp; "*", Collection!A:A, "&lt;" &amp; 'Bucket Counts'!A229,Collection!A:A,  "&gt;=" &amp; 'Bucket Counts'!$A$135)</f>
        <v>0</v>
      </c>
      <c r="AC229" s="161">
        <f>AA229/(Z229+AB229)</f>
        <v>0.88716516702864834</v>
      </c>
    </row>
    <row r="230" spans="1:29" s="80" customFormat="1">
      <c r="A230" s="77">
        <v>42898</v>
      </c>
      <c r="B230" s="78"/>
      <c r="C230" s="78"/>
      <c r="D230" s="80" t="s">
        <v>20</v>
      </c>
      <c r="E230" s="80">
        <v>5</v>
      </c>
      <c r="F230" s="87">
        <v>180</v>
      </c>
      <c r="G230" s="87">
        <v>1</v>
      </c>
      <c r="H230" s="80">
        <v>360</v>
      </c>
      <c r="I230" s="80">
        <v>8</v>
      </c>
      <c r="J230" s="80">
        <v>0</v>
      </c>
      <c r="K230" s="80">
        <v>10</v>
      </c>
      <c r="L230" s="80">
        <v>0</v>
      </c>
      <c r="M230" s="80">
        <v>8</v>
      </c>
      <c r="N230" s="80">
        <v>0</v>
      </c>
      <c r="P230" s="124">
        <f t="shared" si="19"/>
        <v>3120</v>
      </c>
      <c r="Q230" s="124">
        <f t="shared" si="20"/>
        <v>0</v>
      </c>
      <c r="R230" s="161">
        <f t="shared" si="21"/>
        <v>1</v>
      </c>
      <c r="S230" s="187">
        <f>(SUM(P229:P232)/(SUM(P229:Q232)))</f>
        <v>0.42235952436465379</v>
      </c>
      <c r="T230" s="81"/>
      <c r="U230" s="81"/>
      <c r="V230" s="81"/>
      <c r="Y230" s="87"/>
      <c r="Z230" s="361"/>
      <c r="AA230" s="124"/>
      <c r="AB230" s="124"/>
    </row>
    <row r="231" spans="1:29" s="80" customFormat="1">
      <c r="A231" s="77">
        <v>42898</v>
      </c>
      <c r="B231" s="78"/>
      <c r="C231" s="78"/>
      <c r="D231" s="80" t="s">
        <v>20</v>
      </c>
      <c r="E231" s="80">
        <v>5</v>
      </c>
      <c r="F231" s="87">
        <v>100</v>
      </c>
      <c r="G231" s="87">
        <v>1</v>
      </c>
      <c r="H231" s="80">
        <v>350</v>
      </c>
      <c r="I231" s="80">
        <v>56</v>
      </c>
      <c r="J231" s="80">
        <v>0</v>
      </c>
      <c r="K231" s="80">
        <v>50</v>
      </c>
      <c r="L231" s="80">
        <v>0</v>
      </c>
      <c r="M231" s="80">
        <v>72</v>
      </c>
      <c r="N231" s="80">
        <v>2</v>
      </c>
      <c r="P231" s="124">
        <f t="shared" si="19"/>
        <v>20766.666666666668</v>
      </c>
      <c r="Q231" s="124">
        <f t="shared" si="20"/>
        <v>233.33333333333331</v>
      </c>
      <c r="R231" s="161">
        <f t="shared" si="21"/>
        <v>0.98888888888888893</v>
      </c>
      <c r="S231" s="188"/>
      <c r="T231" s="81"/>
      <c r="U231" s="81"/>
      <c r="V231" s="81"/>
      <c r="Y231" s="87"/>
      <c r="Z231" s="361"/>
      <c r="AA231" s="124"/>
      <c r="AB231" s="124"/>
    </row>
    <row r="232" spans="1:29" s="80" customFormat="1">
      <c r="A232" s="77">
        <v>42898</v>
      </c>
      <c r="B232" s="78"/>
      <c r="C232" s="78"/>
      <c r="D232" s="80" t="s">
        <v>20</v>
      </c>
      <c r="E232" s="80">
        <v>5</v>
      </c>
      <c r="F232" s="87" t="s">
        <v>203</v>
      </c>
      <c r="G232" s="87">
        <v>1</v>
      </c>
      <c r="H232" s="80">
        <v>400</v>
      </c>
      <c r="I232" s="80">
        <v>1</v>
      </c>
      <c r="J232" s="80">
        <v>93</v>
      </c>
      <c r="K232" s="80">
        <v>1</v>
      </c>
      <c r="L232" s="80">
        <v>76</v>
      </c>
      <c r="M232" s="80">
        <v>0</v>
      </c>
      <c r="N232" s="80">
        <v>77</v>
      </c>
      <c r="P232" s="124">
        <f t="shared" si="19"/>
        <v>266.66666666666663</v>
      </c>
      <c r="Q232" s="124">
        <f t="shared" si="20"/>
        <v>32800</v>
      </c>
      <c r="R232" s="161">
        <f t="shared" si="21"/>
        <v>8.0645161290322578E-3</v>
      </c>
      <c r="S232" s="188"/>
      <c r="T232" s="81"/>
      <c r="U232" s="81"/>
      <c r="V232" s="81"/>
      <c r="Y232" s="87"/>
      <c r="Z232" s="361"/>
      <c r="AA232" s="124"/>
      <c r="AB232" s="124"/>
    </row>
    <row r="233" spans="1:29" s="80" customFormat="1">
      <c r="A233" s="77">
        <v>42898</v>
      </c>
      <c r="B233" s="78"/>
      <c r="C233" s="78"/>
      <c r="D233" s="80" t="s">
        <v>88</v>
      </c>
      <c r="E233" s="80">
        <v>6</v>
      </c>
      <c r="F233" s="87">
        <v>224</v>
      </c>
      <c r="G233" s="87">
        <v>1</v>
      </c>
      <c r="H233" s="80">
        <v>450</v>
      </c>
      <c r="I233" s="80">
        <v>5</v>
      </c>
      <c r="J233" s="80">
        <v>0</v>
      </c>
      <c r="K233" s="80">
        <v>1</v>
      </c>
      <c r="L233" s="80">
        <v>0</v>
      </c>
      <c r="M233" s="80">
        <v>5</v>
      </c>
      <c r="N233" s="80">
        <v>0</v>
      </c>
      <c r="P233" s="124">
        <f t="shared" si="19"/>
        <v>1650</v>
      </c>
      <c r="Q233" s="124">
        <f t="shared" si="20"/>
        <v>0</v>
      </c>
      <c r="R233" s="161">
        <f t="shared" si="21"/>
        <v>1</v>
      </c>
      <c r="S233" s="189" t="str">
        <f>D233</f>
        <v>HL-10 Ambient</v>
      </c>
      <c r="T233" s="81"/>
      <c r="U233" s="81"/>
      <c r="V233" s="81"/>
      <c r="W233" s="80" t="s">
        <v>172</v>
      </c>
      <c r="Y233" s="87" t="str">
        <f>D233</f>
        <v>HL-10 Ambient</v>
      </c>
      <c r="Z233" s="361">
        <f>SUMIFS($P$135:$P$192, $D$135:$D$192, Y233, $F$135:$F$192, "&lt;200") + SUMIFS($Q$135:$Q$192, $D$135:$D$192, Y233, $F$135:$F$192, "&lt;200")</f>
        <v>93960</v>
      </c>
      <c r="AA233" s="124">
        <f>SUM(P233:Q236)</f>
        <v>82609.999999999985</v>
      </c>
      <c r="AB233" s="124">
        <f>SUMIFS(Collection!O:O, Collection!B:B, "*" &amp; 'Bucket Counts'!Y233 &amp; "*", Collection!A:A, "&lt;" &amp; 'Bucket Counts'!A233,Collection!A:A,  "&gt;=" &amp; 'Bucket Counts'!$A$135)</f>
        <v>0</v>
      </c>
      <c r="AC233" s="161">
        <f>AA233/(Z233+AB233)</f>
        <v>0.87920391656023822</v>
      </c>
    </row>
    <row r="234" spans="1:29" s="80" customFormat="1">
      <c r="A234" s="77">
        <v>42898</v>
      </c>
      <c r="B234" s="78"/>
      <c r="C234" s="78"/>
      <c r="D234" s="80" t="s">
        <v>88</v>
      </c>
      <c r="E234" s="80">
        <v>6</v>
      </c>
      <c r="F234" s="87">
        <v>180</v>
      </c>
      <c r="G234" s="87">
        <v>0.5</v>
      </c>
      <c r="H234" s="80">
        <v>725</v>
      </c>
      <c r="I234" s="80">
        <v>37</v>
      </c>
      <c r="J234" s="80">
        <v>0</v>
      </c>
      <c r="K234" s="80">
        <v>35</v>
      </c>
      <c r="L234" s="80">
        <v>0</v>
      </c>
      <c r="M234" s="80">
        <v>29</v>
      </c>
      <c r="N234" s="80">
        <v>0</v>
      </c>
      <c r="P234" s="124">
        <f t="shared" si="19"/>
        <v>48816.666666666664</v>
      </c>
      <c r="Q234" s="124">
        <f t="shared" si="20"/>
        <v>0</v>
      </c>
      <c r="R234" s="161">
        <f t="shared" si="21"/>
        <v>1</v>
      </c>
      <c r="S234" s="187">
        <f>(SUM(P233:P236)/(SUM(P233:Q236)))</f>
        <v>0.93576241778638591</v>
      </c>
      <c r="T234" s="81"/>
      <c r="U234" s="81"/>
      <c r="V234" s="81"/>
      <c r="Y234" s="87"/>
      <c r="Z234" s="361"/>
      <c r="AA234" s="124"/>
      <c r="AB234" s="124"/>
    </row>
    <row r="235" spans="1:29" s="80" customFormat="1">
      <c r="A235" s="77">
        <v>42898</v>
      </c>
      <c r="B235" s="78"/>
      <c r="C235" s="78"/>
      <c r="D235" s="80" t="s">
        <v>88</v>
      </c>
      <c r="E235" s="80">
        <v>6</v>
      </c>
      <c r="F235" s="87">
        <v>100</v>
      </c>
      <c r="G235" s="87">
        <v>1</v>
      </c>
      <c r="H235" s="80">
        <v>520</v>
      </c>
      <c r="I235" s="80">
        <v>40</v>
      </c>
      <c r="J235" s="80">
        <v>1</v>
      </c>
      <c r="K235" s="80">
        <v>52</v>
      </c>
      <c r="L235" s="80">
        <v>0</v>
      </c>
      <c r="M235" s="80">
        <v>46</v>
      </c>
      <c r="N235" s="80">
        <v>0</v>
      </c>
      <c r="P235" s="124">
        <f t="shared" si="19"/>
        <v>23920</v>
      </c>
      <c r="Q235" s="124">
        <f t="shared" si="20"/>
        <v>173.33333333333331</v>
      </c>
      <c r="R235" s="161">
        <f t="shared" si="21"/>
        <v>0.9928057553956835</v>
      </c>
      <c r="S235" s="188"/>
      <c r="T235" s="81"/>
      <c r="U235" s="81"/>
      <c r="V235" s="81"/>
      <c r="Y235" s="87"/>
      <c r="Z235" s="361"/>
      <c r="AA235" s="124"/>
      <c r="AB235" s="124"/>
    </row>
    <row r="236" spans="1:29" s="80" customFormat="1">
      <c r="A236" s="77">
        <v>42898</v>
      </c>
      <c r="B236" s="78"/>
      <c r="C236" s="78"/>
      <c r="D236" s="80" t="s">
        <v>88</v>
      </c>
      <c r="E236" s="80">
        <v>6</v>
      </c>
      <c r="F236" s="87" t="s">
        <v>203</v>
      </c>
      <c r="G236" s="87">
        <v>1</v>
      </c>
      <c r="H236" s="80">
        <v>350</v>
      </c>
      <c r="I236" s="80">
        <v>12</v>
      </c>
      <c r="J236" s="80">
        <v>14</v>
      </c>
      <c r="K236" s="80">
        <v>6</v>
      </c>
      <c r="L236" s="80">
        <v>13</v>
      </c>
      <c r="M236" s="80">
        <v>7</v>
      </c>
      <c r="N236" s="80">
        <v>17</v>
      </c>
      <c r="P236" s="124">
        <f t="shared" si="19"/>
        <v>2916.666666666667</v>
      </c>
      <c r="Q236" s="124">
        <f t="shared" si="20"/>
        <v>5133.333333333333</v>
      </c>
      <c r="R236" s="161">
        <f t="shared" si="21"/>
        <v>0.3623188405797102</v>
      </c>
      <c r="S236" s="188"/>
      <c r="T236" s="81"/>
      <c r="U236" s="81"/>
      <c r="V236" s="81"/>
      <c r="Y236" s="87"/>
      <c r="Z236" s="361"/>
      <c r="AA236" s="124"/>
      <c r="AB236" s="124"/>
    </row>
    <row r="237" spans="1:29" s="80" customFormat="1">
      <c r="A237" s="77">
        <v>42898</v>
      </c>
      <c r="B237" s="78"/>
      <c r="C237" s="78"/>
      <c r="D237" s="80" t="s">
        <v>109</v>
      </c>
      <c r="E237" s="80">
        <v>6</v>
      </c>
      <c r="F237" s="87">
        <v>224</v>
      </c>
      <c r="G237" s="87">
        <v>1</v>
      </c>
      <c r="H237" s="80">
        <v>330</v>
      </c>
      <c r="I237" s="80">
        <v>11</v>
      </c>
      <c r="J237" s="80">
        <v>0</v>
      </c>
      <c r="K237" s="80">
        <v>11</v>
      </c>
      <c r="L237" s="80">
        <v>0</v>
      </c>
      <c r="M237" s="80">
        <v>9</v>
      </c>
      <c r="N237" s="80">
        <v>0</v>
      </c>
      <c r="P237" s="124">
        <f t="shared" si="19"/>
        <v>3410</v>
      </c>
      <c r="Q237" s="124">
        <f t="shared" si="20"/>
        <v>0</v>
      </c>
      <c r="R237" s="161">
        <f t="shared" si="21"/>
        <v>1</v>
      </c>
      <c r="S237" s="189" t="str">
        <f>D237</f>
        <v>HL-10 Low</v>
      </c>
      <c r="T237" s="81"/>
      <c r="U237" s="81"/>
      <c r="V237" s="81"/>
      <c r="Y237" s="87" t="str">
        <f>D237</f>
        <v>HL-10 Low</v>
      </c>
      <c r="Z237" s="361">
        <f>SUMIFS($P$135:$P$192, $D$135:$D$192, Y237, $F$135:$F$192, "&lt;200") + SUMIFS($Q$135:$Q$192, $D$135:$D$192, Y237, $F$135:$F$192, "&lt;200")</f>
        <v>56246.666666666664</v>
      </c>
      <c r="AA237" s="124">
        <f>SUM(P237:Q240)</f>
        <v>106951.66666666667</v>
      </c>
      <c r="AB237" s="124">
        <f>SUMIFS(Collection!O:O, Collection!B:B, "*" &amp; 'Bucket Counts'!Y237 &amp; "*", Collection!A:A, "&lt;" &amp; 'Bucket Counts'!A237,Collection!A:A,  "&gt;=" &amp; 'Bucket Counts'!$A$135)</f>
        <v>54200</v>
      </c>
      <c r="AC237" s="161">
        <f>AA237/(Z237+AB237)</f>
        <v>0.96835576748958785</v>
      </c>
    </row>
    <row r="238" spans="1:29" s="80" customFormat="1">
      <c r="A238" s="77">
        <v>42898</v>
      </c>
      <c r="B238" s="78"/>
      <c r="C238" s="78"/>
      <c r="D238" s="80" t="s">
        <v>109</v>
      </c>
      <c r="E238" s="80">
        <v>6</v>
      </c>
      <c r="F238" s="87">
        <v>180</v>
      </c>
      <c r="G238" s="87">
        <v>0.5</v>
      </c>
      <c r="H238" s="80">
        <v>625</v>
      </c>
      <c r="I238" s="80">
        <v>45</v>
      </c>
      <c r="J238" s="80">
        <v>0</v>
      </c>
      <c r="K238" s="80">
        <v>35</v>
      </c>
      <c r="L238" s="80">
        <v>0</v>
      </c>
      <c r="M238" s="80">
        <v>32</v>
      </c>
      <c r="N238" s="80">
        <v>0</v>
      </c>
      <c r="P238" s="124">
        <f t="shared" si="19"/>
        <v>46666.666666666672</v>
      </c>
      <c r="Q238" s="124">
        <f t="shared" si="20"/>
        <v>0</v>
      </c>
      <c r="R238" s="161">
        <f t="shared" si="21"/>
        <v>1</v>
      </c>
      <c r="S238" s="187">
        <f>(SUM(P237:P240)/(SUM(P237:Q240)))</f>
        <v>0.80832463262221255</v>
      </c>
      <c r="T238" s="81"/>
      <c r="U238" s="81"/>
      <c r="V238" s="81"/>
      <c r="Y238" s="87"/>
      <c r="Z238" s="361"/>
      <c r="AA238" s="124"/>
      <c r="AB238" s="124"/>
    </row>
    <row r="239" spans="1:29" s="80" customFormat="1">
      <c r="A239" s="77">
        <v>42898</v>
      </c>
      <c r="B239" s="78"/>
      <c r="C239" s="78"/>
      <c r="D239" s="80" t="s">
        <v>109</v>
      </c>
      <c r="E239" s="80">
        <v>6</v>
      </c>
      <c r="F239" s="87">
        <v>100</v>
      </c>
      <c r="G239" s="87">
        <v>1</v>
      </c>
      <c r="H239" s="80">
        <v>450</v>
      </c>
      <c r="I239" s="80">
        <v>94</v>
      </c>
      <c r="J239" s="80">
        <v>0</v>
      </c>
      <c r="K239" s="80">
        <v>74</v>
      </c>
      <c r="L239" s="80">
        <v>0</v>
      </c>
      <c r="M239" s="80">
        <v>72</v>
      </c>
      <c r="N239" s="80">
        <v>0</v>
      </c>
      <c r="P239" s="124">
        <f t="shared" si="19"/>
        <v>36000</v>
      </c>
      <c r="Q239" s="124">
        <f t="shared" si="20"/>
        <v>0</v>
      </c>
      <c r="R239" s="161">
        <f t="shared" si="21"/>
        <v>1</v>
      </c>
      <c r="S239" s="188"/>
      <c r="T239" s="81"/>
      <c r="U239" s="81"/>
      <c r="V239" s="81"/>
      <c r="Y239" s="87"/>
      <c r="Z239" s="361"/>
      <c r="AA239" s="124"/>
      <c r="AB239" s="124"/>
    </row>
    <row r="240" spans="1:29" s="80" customFormat="1">
      <c r="A240" s="77">
        <v>42898</v>
      </c>
      <c r="B240" s="78"/>
      <c r="C240" s="78"/>
      <c r="D240" s="80" t="s">
        <v>109</v>
      </c>
      <c r="E240" s="80">
        <v>6</v>
      </c>
      <c r="F240" s="87" t="s">
        <v>203</v>
      </c>
      <c r="G240" s="87">
        <v>1</v>
      </c>
      <c r="H240" s="80">
        <v>375</v>
      </c>
      <c r="I240" s="80">
        <v>1</v>
      </c>
      <c r="J240" s="80">
        <v>57</v>
      </c>
      <c r="K240" s="80">
        <v>1</v>
      </c>
      <c r="L240" s="80">
        <v>68</v>
      </c>
      <c r="M240" s="80">
        <v>1</v>
      </c>
      <c r="N240" s="80">
        <v>39</v>
      </c>
      <c r="P240" s="124">
        <f t="shared" si="19"/>
        <v>375</v>
      </c>
      <c r="Q240" s="124">
        <f t="shared" si="20"/>
        <v>20500</v>
      </c>
      <c r="R240" s="161">
        <f t="shared" si="21"/>
        <v>1.7964071856287425E-2</v>
      </c>
      <c r="S240" s="188"/>
      <c r="T240" s="81"/>
      <c r="U240" s="81"/>
      <c r="V240" s="81"/>
      <c r="Y240" s="87"/>
      <c r="Z240" s="361"/>
      <c r="AA240" s="124"/>
      <c r="AB240" s="124"/>
    </row>
    <row r="241" spans="1:30" s="80" customFormat="1">
      <c r="A241" s="77">
        <v>42898</v>
      </c>
      <c r="B241" s="78"/>
      <c r="C241" s="78"/>
      <c r="D241" s="80" t="s">
        <v>17</v>
      </c>
      <c r="E241" s="80">
        <v>7</v>
      </c>
      <c r="F241" s="87">
        <v>224</v>
      </c>
      <c r="G241" s="87">
        <v>1</v>
      </c>
      <c r="H241" s="80">
        <v>350</v>
      </c>
      <c r="I241" s="80">
        <v>15</v>
      </c>
      <c r="J241" s="80">
        <v>1</v>
      </c>
      <c r="K241" s="80">
        <v>7</v>
      </c>
      <c r="L241" s="80">
        <v>0</v>
      </c>
      <c r="M241" s="80">
        <v>9</v>
      </c>
      <c r="N241" s="80">
        <v>0</v>
      </c>
      <c r="P241" s="124">
        <f t="shared" si="19"/>
        <v>3616.666666666667</v>
      </c>
      <c r="Q241" s="124">
        <f t="shared" si="20"/>
        <v>116.66666666666666</v>
      </c>
      <c r="R241" s="161">
        <f t="shared" si="21"/>
        <v>0.96875</v>
      </c>
      <c r="S241" s="189" t="str">
        <f>D241</f>
        <v>K-10 Ambient</v>
      </c>
      <c r="T241" s="81"/>
      <c r="U241" s="81"/>
      <c r="V241" s="81"/>
      <c r="Y241" s="87" t="str">
        <f>D241</f>
        <v>K-10 Ambient</v>
      </c>
      <c r="Z241" s="361">
        <f>SUMIFS($P$135:$P$192, $D$135:$D$192, Y241, $F$135:$F$192, "&lt;200") + SUMIFS($Q$135:$Q$192, $D$135:$D$192, Y241, $F$135:$F$192, "&lt;200")</f>
        <v>85933.333333333328</v>
      </c>
      <c r="AA241" s="124">
        <f>SUM(P241:Q244)</f>
        <v>79396.666666666657</v>
      </c>
      <c r="AB241" s="124">
        <f>SUMIFS(Collection!O:O, Collection!B:B, "*" &amp; 'Bucket Counts'!Y241 &amp; "*", Collection!A:A, "&lt;" &amp; 'Bucket Counts'!A241,Collection!A:A,  "&gt;=" &amp; 'Bucket Counts'!$A$135)</f>
        <v>0</v>
      </c>
      <c r="AC241" s="161">
        <f>AA241/(Z241+AB241)</f>
        <v>0.92393328161365396</v>
      </c>
    </row>
    <row r="242" spans="1:30" s="80" customFormat="1">
      <c r="A242" s="77">
        <v>42898</v>
      </c>
      <c r="B242" s="78"/>
      <c r="C242" s="78"/>
      <c r="D242" s="80" t="s">
        <v>17</v>
      </c>
      <c r="E242" s="80">
        <v>7</v>
      </c>
      <c r="F242" s="87">
        <v>180</v>
      </c>
      <c r="G242" s="87">
        <v>1</v>
      </c>
      <c r="H242" s="80">
        <v>500</v>
      </c>
      <c r="I242" s="80">
        <v>67</v>
      </c>
      <c r="J242" s="80">
        <v>0</v>
      </c>
      <c r="K242" s="80">
        <v>55</v>
      </c>
      <c r="L242" s="80">
        <v>0</v>
      </c>
      <c r="M242" s="80">
        <v>56</v>
      </c>
      <c r="N242" s="80">
        <v>0</v>
      </c>
      <c r="P242" s="124">
        <f t="shared" si="19"/>
        <v>29666.666666666668</v>
      </c>
      <c r="Q242" s="124">
        <f t="shared" si="20"/>
        <v>0</v>
      </c>
      <c r="R242" s="161">
        <f t="shared" si="21"/>
        <v>1</v>
      </c>
      <c r="S242" s="187">
        <f>(SUM(P241:P244)/(SUM(P241:Q244)))</f>
        <v>0.84646710609177567</v>
      </c>
      <c r="T242" s="81"/>
      <c r="U242" s="81"/>
      <c r="V242" s="81"/>
      <c r="Y242" s="87"/>
      <c r="Z242" s="361"/>
      <c r="AA242" s="124"/>
      <c r="AB242" s="124"/>
    </row>
    <row r="243" spans="1:30" s="80" customFormat="1">
      <c r="A243" s="77">
        <v>42898</v>
      </c>
      <c r="B243" s="78"/>
      <c r="C243" s="78"/>
      <c r="D243" s="80" t="s">
        <v>17</v>
      </c>
      <c r="E243" s="80">
        <v>7</v>
      </c>
      <c r="F243" s="87">
        <v>100</v>
      </c>
      <c r="G243" s="87">
        <v>1</v>
      </c>
      <c r="H243" s="80">
        <v>520</v>
      </c>
      <c r="I243" s="80">
        <v>64</v>
      </c>
      <c r="J243" s="80">
        <v>0</v>
      </c>
      <c r="K243" s="80">
        <v>67</v>
      </c>
      <c r="L243" s="80">
        <v>0</v>
      </c>
      <c r="M243" s="80">
        <v>60</v>
      </c>
      <c r="N243" s="80">
        <v>1</v>
      </c>
      <c r="P243" s="124">
        <f t="shared" si="19"/>
        <v>33106.666666666664</v>
      </c>
      <c r="Q243" s="124">
        <f t="shared" si="20"/>
        <v>173.33333333333331</v>
      </c>
      <c r="R243" s="161">
        <f t="shared" si="21"/>
        <v>0.99479166666666663</v>
      </c>
      <c r="S243" s="188"/>
      <c r="T243" s="81"/>
      <c r="U243" s="81"/>
      <c r="V243" s="81"/>
      <c r="Y243" s="87"/>
      <c r="Z243" s="361"/>
      <c r="AA243" s="124"/>
      <c r="AB243" s="124"/>
    </row>
    <row r="244" spans="1:30" s="80" customFormat="1">
      <c r="A244" s="77">
        <v>42898</v>
      </c>
      <c r="B244" s="78"/>
      <c r="C244" s="78"/>
      <c r="D244" s="80" t="s">
        <v>17</v>
      </c>
      <c r="E244" s="80">
        <v>7</v>
      </c>
      <c r="F244" s="87" t="s">
        <v>203</v>
      </c>
      <c r="G244" s="87">
        <v>1</v>
      </c>
      <c r="H244" s="80">
        <v>350</v>
      </c>
      <c r="I244" s="80">
        <v>2</v>
      </c>
      <c r="J244" s="80">
        <v>21</v>
      </c>
      <c r="K244" s="80">
        <v>2</v>
      </c>
      <c r="L244" s="80">
        <v>18</v>
      </c>
      <c r="M244" s="80">
        <v>3</v>
      </c>
      <c r="N244" s="80">
        <v>63</v>
      </c>
      <c r="P244" s="124">
        <f t="shared" si="19"/>
        <v>816.66666666666674</v>
      </c>
      <c r="Q244" s="124">
        <f t="shared" si="20"/>
        <v>11900</v>
      </c>
      <c r="R244" s="161">
        <f t="shared" si="21"/>
        <v>6.4220183486238536E-2</v>
      </c>
      <c r="S244" s="188"/>
      <c r="T244" s="81"/>
      <c r="U244" s="81"/>
      <c r="V244" s="81"/>
      <c r="Y244" s="87"/>
      <c r="Z244" s="361"/>
      <c r="AA244" s="124"/>
      <c r="AB244" s="124"/>
    </row>
    <row r="245" spans="1:30" s="80" customFormat="1">
      <c r="A245" s="77">
        <v>42898</v>
      </c>
      <c r="B245" s="78"/>
      <c r="C245" s="78"/>
      <c r="D245" s="80" t="s">
        <v>38</v>
      </c>
      <c r="E245" s="80">
        <v>7</v>
      </c>
      <c r="F245" s="87">
        <v>224</v>
      </c>
      <c r="G245" s="87">
        <v>1</v>
      </c>
      <c r="H245" s="80">
        <v>400</v>
      </c>
      <c r="I245" s="80">
        <v>7</v>
      </c>
      <c r="J245" s="80">
        <v>0</v>
      </c>
      <c r="K245" s="80">
        <v>5</v>
      </c>
      <c r="L245" s="80">
        <v>0</v>
      </c>
      <c r="M245" s="80">
        <v>4</v>
      </c>
      <c r="N245" s="80">
        <v>0</v>
      </c>
      <c r="P245" s="124">
        <f t="shared" si="19"/>
        <v>2133.333333333333</v>
      </c>
      <c r="Q245" s="124">
        <f t="shared" si="20"/>
        <v>0</v>
      </c>
      <c r="R245" s="161">
        <f t="shared" si="21"/>
        <v>1</v>
      </c>
      <c r="S245" s="189" t="str">
        <f>D245</f>
        <v>K-6 Ambient</v>
      </c>
      <c r="T245" s="81"/>
      <c r="U245" s="81"/>
      <c r="V245" s="81"/>
      <c r="Y245" s="87" t="str">
        <f>D245</f>
        <v>K-6 Ambient</v>
      </c>
      <c r="Z245" s="361">
        <f>SUMIFS($P$135:$P$192, $D$135:$D$192, Y245, $F$135:$F$192, "&lt;200") + SUMIFS($Q$135:$Q$192, $D$135:$D$192, Y245, $F$135:$F$192, "&lt;200")</f>
        <v>47886.666666666664</v>
      </c>
      <c r="AA245" s="124">
        <f>SUM(P245:Q248)</f>
        <v>93113.333333333343</v>
      </c>
      <c r="AB245" s="124">
        <f>SUMIFS(Collection!O:O, Collection!B:B, "*" &amp; 'Bucket Counts'!Y245 &amp; "*", Collection!A:A, "&lt;" &amp; 'Bucket Counts'!A245,Collection!A:A,  "&gt;=" &amp; 'Bucket Counts'!$A$135)</f>
        <v>51466.666666666664</v>
      </c>
      <c r="AC245" s="161">
        <f>AA245/(Z245+AB245)</f>
        <v>0.93719385358652629</v>
      </c>
    </row>
    <row r="246" spans="1:30" s="80" customFormat="1">
      <c r="A246" s="77">
        <v>42898</v>
      </c>
      <c r="B246" s="78"/>
      <c r="C246" s="78"/>
      <c r="D246" s="80" t="s">
        <v>38</v>
      </c>
      <c r="E246" s="80">
        <v>7</v>
      </c>
      <c r="F246" s="87">
        <v>180</v>
      </c>
      <c r="G246" s="87">
        <v>1</v>
      </c>
      <c r="H246" s="80">
        <v>600</v>
      </c>
      <c r="I246" s="80">
        <v>69</v>
      </c>
      <c r="J246" s="80">
        <v>0</v>
      </c>
      <c r="K246" s="80">
        <v>74</v>
      </c>
      <c r="L246" s="80">
        <v>0</v>
      </c>
      <c r="M246" s="80">
        <v>60</v>
      </c>
      <c r="N246" s="80">
        <v>1</v>
      </c>
      <c r="P246" s="124">
        <f t="shared" si="19"/>
        <v>40600</v>
      </c>
      <c r="Q246" s="124">
        <f t="shared" si="20"/>
        <v>200</v>
      </c>
      <c r="R246" s="161">
        <f t="shared" si="21"/>
        <v>0.99509803921568629</v>
      </c>
      <c r="S246" s="187">
        <f>(SUM(P245:P248)/(SUM(P245:Q248)))</f>
        <v>0.99785207990262759</v>
      </c>
      <c r="T246" s="81"/>
      <c r="Y246" s="87"/>
      <c r="Z246" s="361"/>
      <c r="AA246" s="124"/>
      <c r="AB246" s="124"/>
    </row>
    <row r="247" spans="1:30" s="80" customFormat="1">
      <c r="A247" s="77">
        <v>42898</v>
      </c>
      <c r="B247" s="78"/>
      <c r="C247" s="78"/>
      <c r="D247" s="80" t="s">
        <v>38</v>
      </c>
      <c r="E247" s="80">
        <v>7</v>
      </c>
      <c r="F247" s="87">
        <v>100</v>
      </c>
      <c r="G247" s="87">
        <v>1</v>
      </c>
      <c r="H247" s="80">
        <v>540</v>
      </c>
      <c r="I247" s="80">
        <v>91</v>
      </c>
      <c r="J247" s="80">
        <v>0</v>
      </c>
      <c r="K247" s="80">
        <v>96</v>
      </c>
      <c r="L247" s="80">
        <v>0</v>
      </c>
      <c r="M247" s="80">
        <v>89</v>
      </c>
      <c r="N247" s="80">
        <v>0</v>
      </c>
      <c r="P247" s="124">
        <f t="shared" si="19"/>
        <v>49680</v>
      </c>
      <c r="Q247" s="124">
        <f t="shared" si="20"/>
        <v>0</v>
      </c>
      <c r="R247" s="161">
        <f t="shared" si="21"/>
        <v>1</v>
      </c>
      <c r="S247" s="188"/>
      <c r="T247" s="81"/>
      <c r="Y247" s="87"/>
      <c r="Z247" s="361"/>
      <c r="AA247" s="124"/>
      <c r="AB247" s="124"/>
    </row>
    <row r="248" spans="1:30" s="80" customFormat="1">
      <c r="A248" s="77">
        <v>42898</v>
      </c>
      <c r="B248" s="78"/>
      <c r="C248" s="78"/>
      <c r="D248" s="80" t="s">
        <v>38</v>
      </c>
      <c r="E248" s="80">
        <v>7</v>
      </c>
      <c r="F248" s="87" t="s">
        <v>203</v>
      </c>
      <c r="G248" s="87">
        <v>1</v>
      </c>
      <c r="H248" s="80">
        <v>500</v>
      </c>
      <c r="I248" s="80">
        <v>0</v>
      </c>
      <c r="J248" s="80">
        <v>0</v>
      </c>
      <c r="K248" s="80">
        <v>1</v>
      </c>
      <c r="L248" s="80">
        <v>0</v>
      </c>
      <c r="M248" s="80">
        <v>2</v>
      </c>
      <c r="N248" s="80">
        <v>0</v>
      </c>
      <c r="P248" s="124">
        <f t="shared" si="19"/>
        <v>500</v>
      </c>
      <c r="Q248" s="124">
        <f t="shared" si="20"/>
        <v>0</v>
      </c>
      <c r="R248" s="161">
        <f t="shared" si="21"/>
        <v>1</v>
      </c>
      <c r="S248" s="188"/>
      <c r="T248" s="81"/>
      <c r="Y248" s="87"/>
      <c r="Z248" s="361"/>
      <c r="AA248" s="124"/>
      <c r="AB248" s="124"/>
    </row>
    <row r="249" spans="1:30" s="80" customFormat="1">
      <c r="A249" s="77">
        <v>42898</v>
      </c>
      <c r="B249" s="78"/>
      <c r="C249" s="78"/>
      <c r="D249" s="79" t="s">
        <v>46</v>
      </c>
      <c r="E249" s="80">
        <v>8</v>
      </c>
      <c r="F249" s="87">
        <v>224</v>
      </c>
      <c r="G249" s="87">
        <v>2</v>
      </c>
      <c r="H249" s="80">
        <v>375</v>
      </c>
      <c r="I249" s="80">
        <v>1</v>
      </c>
      <c r="J249" s="80">
        <v>0</v>
      </c>
      <c r="K249" s="80">
        <v>5</v>
      </c>
      <c r="L249" s="80">
        <v>0</v>
      </c>
      <c r="M249" s="80">
        <v>7</v>
      </c>
      <c r="N249" s="80">
        <v>0</v>
      </c>
      <c r="P249" s="124">
        <f t="shared" si="19"/>
        <v>812.5</v>
      </c>
      <c r="Q249" s="124">
        <f t="shared" si="20"/>
        <v>0</v>
      </c>
      <c r="R249" s="161">
        <f t="shared" si="21"/>
        <v>1</v>
      </c>
      <c r="S249" s="189" t="str">
        <f>D249</f>
        <v>K-6 Low</v>
      </c>
      <c r="T249" s="81"/>
      <c r="Y249" s="87" t="str">
        <f>D249</f>
        <v>K-6 Low</v>
      </c>
      <c r="Z249" s="361">
        <f>SUMIFS($P$135:$P$192, $D$135:$D$192, Y249, $F$135:$F$192, "&lt;200") + SUMIFS($Q$135:$Q$192, $D$135:$D$192, Y249, $F$135:$F$192, "&lt;200")</f>
        <v>55050</v>
      </c>
      <c r="AA249" s="124">
        <f>SUM(P249:Q252)</f>
        <v>51105.833333333336</v>
      </c>
      <c r="AB249" s="124">
        <f>SUMIFS(Collection!O:O, Collection!B:B, "*" &amp; 'Bucket Counts'!Y249 &amp; "*", Collection!A:A, "&lt;" &amp; 'Bucket Counts'!A249,Collection!A:A,  "&gt;=" &amp; 'Bucket Counts'!$A$135)</f>
        <v>0</v>
      </c>
      <c r="AC249" s="161">
        <f>AA249/(Z249+AB249)</f>
        <v>0.92835301241295798</v>
      </c>
    </row>
    <row r="250" spans="1:30" s="80" customFormat="1">
      <c r="A250" s="77">
        <v>42898</v>
      </c>
      <c r="B250" s="78"/>
      <c r="C250" s="78"/>
      <c r="D250" s="79" t="s">
        <v>46</v>
      </c>
      <c r="E250" s="80">
        <v>8</v>
      </c>
      <c r="F250" s="87">
        <v>180</v>
      </c>
      <c r="G250" s="87">
        <v>2</v>
      </c>
      <c r="H250" s="80">
        <v>400</v>
      </c>
      <c r="I250" s="80">
        <v>1</v>
      </c>
      <c r="J250" s="80">
        <v>0</v>
      </c>
      <c r="K250" s="80">
        <v>5</v>
      </c>
      <c r="L250" s="80">
        <v>0</v>
      </c>
      <c r="M250" s="80">
        <v>7</v>
      </c>
      <c r="N250" s="80">
        <v>0</v>
      </c>
      <c r="P250" s="124">
        <f t="shared" si="19"/>
        <v>866.66666666666663</v>
      </c>
      <c r="Q250" s="124">
        <f t="shared" si="20"/>
        <v>0</v>
      </c>
      <c r="R250" s="161">
        <f t="shared" si="21"/>
        <v>1</v>
      </c>
      <c r="S250" s="187">
        <f>(SUM(P249:P252)/(SUM(P249:Q252)))</f>
        <v>0.96843152282029121</v>
      </c>
      <c r="T250" s="81"/>
      <c r="Y250" s="87"/>
      <c r="Z250" s="361"/>
      <c r="AA250" s="124"/>
      <c r="AB250" s="124"/>
    </row>
    <row r="251" spans="1:30" s="80" customFormat="1">
      <c r="A251" s="77">
        <v>42898</v>
      </c>
      <c r="B251" s="78"/>
      <c r="C251" s="78"/>
      <c r="D251" s="79" t="s">
        <v>46</v>
      </c>
      <c r="E251" s="80">
        <v>8</v>
      </c>
      <c r="F251" s="87">
        <v>100</v>
      </c>
      <c r="G251" s="87">
        <v>1</v>
      </c>
      <c r="H251" s="80">
        <v>525</v>
      </c>
      <c r="I251" s="80">
        <v>99</v>
      </c>
      <c r="J251" s="80">
        <v>0</v>
      </c>
      <c r="K251" s="80">
        <v>86</v>
      </c>
      <c r="L251" s="80">
        <v>0</v>
      </c>
      <c r="M251" s="80">
        <v>79</v>
      </c>
      <c r="N251" s="80">
        <v>0</v>
      </c>
      <c r="P251" s="124">
        <f t="shared" si="19"/>
        <v>46200</v>
      </c>
      <c r="Q251" s="124">
        <f t="shared" si="20"/>
        <v>0</v>
      </c>
      <c r="R251" s="161">
        <f t="shared" si="21"/>
        <v>1</v>
      </c>
      <c r="S251" s="188"/>
      <c r="T251" s="81"/>
      <c r="Y251" s="87"/>
      <c r="Z251" s="361"/>
      <c r="AA251" s="124"/>
      <c r="AB251" s="124"/>
    </row>
    <row r="252" spans="1:30" s="85" customFormat="1" ht="16" thickBot="1">
      <c r="A252" s="82">
        <v>42898</v>
      </c>
      <c r="B252" s="83"/>
      <c r="C252" s="83"/>
      <c r="D252" s="84" t="s">
        <v>46</v>
      </c>
      <c r="E252" s="85">
        <v>8</v>
      </c>
      <c r="F252" s="140" t="s">
        <v>203</v>
      </c>
      <c r="G252" s="85">
        <v>1</v>
      </c>
      <c r="H252" s="85">
        <v>440</v>
      </c>
      <c r="I252" s="85">
        <v>3</v>
      </c>
      <c r="J252" s="85">
        <v>4</v>
      </c>
      <c r="K252" s="85">
        <v>4</v>
      </c>
      <c r="L252" s="85">
        <v>3</v>
      </c>
      <c r="M252" s="85">
        <v>4</v>
      </c>
      <c r="N252" s="85">
        <v>4</v>
      </c>
      <c r="P252" s="141">
        <f t="shared" si="19"/>
        <v>1613.3333333333333</v>
      </c>
      <c r="Q252" s="141">
        <f t="shared" si="20"/>
        <v>1613.3333333333333</v>
      </c>
      <c r="R252" s="164">
        <f t="shared" si="21"/>
        <v>0.5</v>
      </c>
      <c r="S252" s="199"/>
      <c r="Y252" s="140"/>
      <c r="Z252" s="363"/>
      <c r="AA252" s="141"/>
      <c r="AB252" s="141"/>
    </row>
    <row r="253" spans="1:30" s="137" customFormat="1">
      <c r="A253" s="134">
        <v>42901</v>
      </c>
      <c r="B253" s="135"/>
      <c r="C253" s="135"/>
      <c r="D253" s="197" t="s">
        <v>77</v>
      </c>
      <c r="E253" s="137">
        <v>1</v>
      </c>
      <c r="F253" s="153">
        <v>224</v>
      </c>
      <c r="G253" s="153">
        <v>1</v>
      </c>
      <c r="H253" s="137">
        <v>400</v>
      </c>
      <c r="I253" s="137">
        <v>4</v>
      </c>
      <c r="J253" s="137">
        <v>0</v>
      </c>
      <c r="K253" s="137">
        <v>5</v>
      </c>
      <c r="L253" s="137">
        <v>1</v>
      </c>
      <c r="M253" s="137">
        <v>6</v>
      </c>
      <c r="N253" s="137">
        <v>0</v>
      </c>
      <c r="P253" s="198">
        <f>(AVERAGE(I253,K253,M253)/G253)*H253</f>
        <v>2000</v>
      </c>
      <c r="Q253" s="198">
        <f t="shared" si="20"/>
        <v>133.33333333333331</v>
      </c>
      <c r="R253" s="171">
        <f t="shared" si="21"/>
        <v>0.93749999999999989</v>
      </c>
      <c r="S253" s="180" t="str">
        <f>D253</f>
        <v>SN-6 Low</v>
      </c>
      <c r="T253" s="170"/>
      <c r="U253" s="170"/>
      <c r="V253" s="170"/>
      <c r="Y253" s="89" t="str">
        <f>D253</f>
        <v>SN-6 Low</v>
      </c>
      <c r="Z253" s="351">
        <f>SUMIFS($P$193:$P$252, $D$193:$D$252, Y253, $F$193:$F$252, "&lt;200") + SUMIFS($Q$193:$Q$252, $D$193:$D$252, Y253, $F$193:$F$252, "&lt;200")</f>
        <v>53446.666666666664</v>
      </c>
      <c r="AA253" s="120">
        <f>SUM(P253:Q256)</f>
        <v>160618.33333333331</v>
      </c>
      <c r="AB253" s="120">
        <f>SUMIFS(Collection!O:O, Collection!B:B, "*" &amp; 'Bucket Counts'!Y253 &amp; "*", Collection!A:A, "&lt;" &amp; 'Bucket Counts'!A253,Collection!A:A,  "&gt;=" &amp; 'Bucket Counts'!$A$193)</f>
        <v>136200</v>
      </c>
      <c r="AC253" s="106">
        <f>AA253/(Z253+AB253)</f>
        <v>0.84693465040250282</v>
      </c>
      <c r="AD253" s="370">
        <f>AVERAGE(AC253:AC316)</f>
        <v>0.92344473488183876</v>
      </c>
    </row>
    <row r="254" spans="1:30" s="62" customFormat="1">
      <c r="A254" s="59">
        <v>42901</v>
      </c>
      <c r="B254" s="60"/>
      <c r="C254" s="60"/>
      <c r="D254" s="61" t="s">
        <v>77</v>
      </c>
      <c r="E254" s="62">
        <v>1</v>
      </c>
      <c r="F254" s="89">
        <v>180</v>
      </c>
      <c r="G254" s="89">
        <v>1</v>
      </c>
      <c r="H254" s="62">
        <v>600</v>
      </c>
      <c r="I254" s="62">
        <v>57</v>
      </c>
      <c r="J254" s="62">
        <v>2</v>
      </c>
      <c r="K254" s="62">
        <v>54</v>
      </c>
      <c r="L254" s="62">
        <v>4</v>
      </c>
      <c r="M254" s="89" t="s">
        <v>207</v>
      </c>
      <c r="N254" s="62">
        <v>5</v>
      </c>
      <c r="P254" s="120">
        <f t="shared" ref="P254:P316" si="22">(AVERAGE(I254,K254,M254)/G254)*H254</f>
        <v>33300</v>
      </c>
      <c r="Q254" s="120">
        <f t="shared" si="20"/>
        <v>2200</v>
      </c>
      <c r="R254" s="106">
        <f t="shared" si="21"/>
        <v>0.93802816901408448</v>
      </c>
      <c r="S254" s="181">
        <f>(SUM(P253:P256)/(SUM(P253:Q256)))</f>
        <v>0.6144172001950795</v>
      </c>
      <c r="T254" s="65"/>
      <c r="U254" s="65"/>
      <c r="V254" s="65"/>
      <c r="W254" s="62" t="s">
        <v>208</v>
      </c>
      <c r="Y254" s="89"/>
      <c r="Z254" s="357"/>
      <c r="AA254" s="120"/>
      <c r="AB254" s="120"/>
    </row>
    <row r="255" spans="1:30" s="62" customFormat="1">
      <c r="A255" s="59">
        <v>42901</v>
      </c>
      <c r="B255" s="60"/>
      <c r="C255" s="60"/>
      <c r="D255" s="61" t="s">
        <v>77</v>
      </c>
      <c r="E255" s="62">
        <v>1</v>
      </c>
      <c r="F255" s="89">
        <v>100</v>
      </c>
      <c r="G255" s="89">
        <v>1</v>
      </c>
      <c r="H255" s="62">
        <v>625</v>
      </c>
      <c r="I255" s="62">
        <v>83</v>
      </c>
      <c r="J255" s="62">
        <v>4</v>
      </c>
      <c r="K255" s="62">
        <v>70</v>
      </c>
      <c r="L255" s="62">
        <v>1</v>
      </c>
      <c r="M255" s="62">
        <v>83</v>
      </c>
      <c r="N255" s="62">
        <v>2</v>
      </c>
      <c r="P255" s="120">
        <f t="shared" si="22"/>
        <v>49166.666666666672</v>
      </c>
      <c r="Q255" s="120">
        <f t="shared" si="20"/>
        <v>1458.3333333333335</v>
      </c>
      <c r="R255" s="106">
        <f t="shared" si="21"/>
        <v>0.97119341563785999</v>
      </c>
      <c r="S255" s="179"/>
      <c r="T255" s="65"/>
      <c r="U255" s="65"/>
      <c r="V255" s="65"/>
      <c r="Y255" s="89"/>
      <c r="Z255" s="357"/>
      <c r="AA255" s="120"/>
      <c r="AB255" s="120"/>
    </row>
    <row r="256" spans="1:30" s="62" customFormat="1">
      <c r="A256" s="59">
        <v>42901</v>
      </c>
      <c r="B256" s="60"/>
      <c r="C256" s="60"/>
      <c r="D256" s="61" t="s">
        <v>77</v>
      </c>
      <c r="E256" s="62">
        <v>1</v>
      </c>
      <c r="F256" s="89" t="s">
        <v>203</v>
      </c>
      <c r="G256" s="89">
        <v>1</v>
      </c>
      <c r="H256" s="62">
        <v>540</v>
      </c>
      <c r="I256" s="62">
        <v>24</v>
      </c>
      <c r="J256" s="62">
        <v>118</v>
      </c>
      <c r="K256" s="62">
        <v>35</v>
      </c>
      <c r="L256" s="62">
        <v>109</v>
      </c>
      <c r="M256" s="62">
        <v>20</v>
      </c>
      <c r="N256" s="62">
        <v>96</v>
      </c>
      <c r="P256" s="120">
        <f t="shared" si="22"/>
        <v>14220</v>
      </c>
      <c r="Q256" s="120">
        <f t="shared" si="20"/>
        <v>58140</v>
      </c>
      <c r="R256" s="106">
        <f t="shared" si="21"/>
        <v>0.19651741293532338</v>
      </c>
      <c r="S256" s="182"/>
      <c r="T256" s="65"/>
      <c r="U256" s="65"/>
      <c r="V256" s="65"/>
      <c r="Y256" s="89"/>
      <c r="Z256" s="357"/>
      <c r="AA256" s="120"/>
      <c r="AB256" s="120"/>
    </row>
    <row r="257" spans="1:29" s="62" customFormat="1">
      <c r="A257" s="59">
        <v>42901</v>
      </c>
      <c r="B257" s="60"/>
      <c r="C257" s="60"/>
      <c r="D257" s="62" t="s">
        <v>105</v>
      </c>
      <c r="E257" s="62">
        <v>1</v>
      </c>
      <c r="F257" s="89">
        <v>224</v>
      </c>
      <c r="G257" s="89">
        <v>2</v>
      </c>
      <c r="H257" s="62">
        <v>500</v>
      </c>
      <c r="I257" s="62">
        <v>0</v>
      </c>
      <c r="J257" s="62">
        <v>0</v>
      </c>
      <c r="K257" s="62">
        <v>2</v>
      </c>
      <c r="L257" s="62">
        <v>0</v>
      </c>
      <c r="M257" s="62">
        <v>2</v>
      </c>
      <c r="N257" s="62">
        <v>0</v>
      </c>
      <c r="P257" s="120">
        <f t="shared" si="22"/>
        <v>333.33333333333331</v>
      </c>
      <c r="Q257" s="120">
        <f t="shared" si="20"/>
        <v>0</v>
      </c>
      <c r="R257" s="106">
        <f t="shared" si="21"/>
        <v>1</v>
      </c>
      <c r="S257" s="183" t="str">
        <f>D257</f>
        <v>NF-6 Low</v>
      </c>
      <c r="T257" s="65"/>
      <c r="U257" s="65"/>
      <c r="V257" s="65"/>
      <c r="Y257" s="89" t="str">
        <f>D257</f>
        <v>NF-6 Low</v>
      </c>
      <c r="Z257" s="351">
        <f>SUMIFS($P$193:$P$252, $D$193:$D$252, Y257, $F$193:$F$252, "&lt;200") + SUMIFS($Q$193:$Q$252, $D$193:$D$252, Y257, $F$193:$F$252, "&lt;200")</f>
        <v>72761.111111111109</v>
      </c>
      <c r="AA257" s="120">
        <f>SUM(P257:Q260)</f>
        <v>86340</v>
      </c>
      <c r="AB257" s="120">
        <f>SUMIFS(Collection!O:O, Collection!B:B, "*" &amp; 'Bucket Counts'!Y257 &amp; "*", Collection!A:A, "&lt;" &amp; 'Bucket Counts'!A257,Collection!A:A,  "&gt;=" &amp; 'Bucket Counts'!$A$193)</f>
        <v>9400</v>
      </c>
      <c r="AC257" s="106">
        <f>AA257/(Z257+AB257)</f>
        <v>1.0508621272567449</v>
      </c>
    </row>
    <row r="258" spans="1:29" s="62" customFormat="1">
      <c r="A258" s="59">
        <v>42901</v>
      </c>
      <c r="B258" s="60"/>
      <c r="C258" s="60"/>
      <c r="D258" s="62" t="s">
        <v>105</v>
      </c>
      <c r="E258" s="62">
        <v>1</v>
      </c>
      <c r="F258" s="89">
        <v>180</v>
      </c>
      <c r="G258" s="89">
        <v>1</v>
      </c>
      <c r="H258" s="62">
        <v>600</v>
      </c>
      <c r="I258" s="62">
        <v>6</v>
      </c>
      <c r="J258" s="62">
        <v>1</v>
      </c>
      <c r="K258" s="62">
        <v>10</v>
      </c>
      <c r="L258" s="62">
        <v>0</v>
      </c>
      <c r="M258" s="62">
        <v>6</v>
      </c>
      <c r="N258" s="62">
        <v>2</v>
      </c>
      <c r="P258" s="120">
        <f t="shared" si="22"/>
        <v>4400</v>
      </c>
      <c r="Q258" s="120">
        <f t="shared" si="20"/>
        <v>600</v>
      </c>
      <c r="R258" s="106">
        <f t="shared" si="21"/>
        <v>0.88</v>
      </c>
      <c r="S258" s="181">
        <f>(SUM(P257:P260)/(SUM(P257:Q260)))</f>
        <v>0.8087020307312176</v>
      </c>
      <c r="T258" s="65"/>
      <c r="U258" s="65"/>
      <c r="V258" s="65"/>
      <c r="Y258" s="89"/>
      <c r="Z258" s="357"/>
      <c r="AA258" s="120"/>
      <c r="AB258" s="120"/>
    </row>
    <row r="259" spans="1:29" s="62" customFormat="1">
      <c r="A259" s="59">
        <v>42901</v>
      </c>
      <c r="B259" s="60"/>
      <c r="C259" s="60"/>
      <c r="D259" s="62" t="s">
        <v>105</v>
      </c>
      <c r="E259" s="62">
        <v>1</v>
      </c>
      <c r="F259" s="89">
        <v>100</v>
      </c>
      <c r="G259" s="89">
        <v>1</v>
      </c>
      <c r="H259" s="62">
        <v>690</v>
      </c>
      <c r="I259" s="62">
        <v>91</v>
      </c>
      <c r="J259" s="62">
        <v>0</v>
      </c>
      <c r="K259" s="62">
        <v>96</v>
      </c>
      <c r="L259" s="62">
        <v>4</v>
      </c>
      <c r="M259" s="62">
        <v>96</v>
      </c>
      <c r="N259" s="62">
        <v>2</v>
      </c>
      <c r="P259" s="120">
        <f t="shared" si="22"/>
        <v>65090</v>
      </c>
      <c r="Q259" s="120">
        <f t="shared" si="20"/>
        <v>1380</v>
      </c>
      <c r="R259" s="106">
        <f t="shared" si="21"/>
        <v>0.97923875432525953</v>
      </c>
      <c r="S259" s="182"/>
      <c r="T259" s="65"/>
      <c r="U259" s="65"/>
      <c r="V259" s="65"/>
      <c r="Y259" s="89"/>
      <c r="Z259" s="357"/>
      <c r="AA259" s="120"/>
      <c r="AB259" s="120"/>
    </row>
    <row r="260" spans="1:29" s="62" customFormat="1">
      <c r="A260" s="59">
        <v>42901</v>
      </c>
      <c r="B260" s="60"/>
      <c r="C260" s="60"/>
      <c r="D260" s="62" t="s">
        <v>105</v>
      </c>
      <c r="E260" s="62">
        <v>1</v>
      </c>
      <c r="F260" s="89" t="s">
        <v>203</v>
      </c>
      <c r="G260" s="89">
        <v>1</v>
      </c>
      <c r="H260" s="62">
        <v>490</v>
      </c>
      <c r="I260" s="62">
        <v>0</v>
      </c>
      <c r="J260" s="62">
        <v>21</v>
      </c>
      <c r="K260" s="62">
        <v>0</v>
      </c>
      <c r="L260" s="62">
        <v>47</v>
      </c>
      <c r="M260" s="62">
        <v>0</v>
      </c>
      <c r="N260" s="62">
        <v>21</v>
      </c>
      <c r="P260" s="120">
        <f t="shared" si="22"/>
        <v>0</v>
      </c>
      <c r="Q260" s="120">
        <f t="shared" si="20"/>
        <v>14536.666666666668</v>
      </c>
      <c r="R260" s="106">
        <f t="shared" si="21"/>
        <v>0</v>
      </c>
      <c r="S260" s="182"/>
      <c r="T260" s="65"/>
      <c r="U260" s="65"/>
      <c r="V260" s="65"/>
      <c r="Y260" s="89"/>
      <c r="Z260" s="357"/>
      <c r="AA260" s="120"/>
      <c r="AB260" s="120"/>
    </row>
    <row r="261" spans="1:29" s="62" customFormat="1">
      <c r="A261" s="59">
        <v>42901</v>
      </c>
      <c r="B261" s="60"/>
      <c r="C261" s="60"/>
      <c r="D261" s="62" t="s">
        <v>86</v>
      </c>
      <c r="E261" s="62">
        <v>2</v>
      </c>
      <c r="F261" s="89">
        <v>224</v>
      </c>
      <c r="G261" s="89">
        <v>1</v>
      </c>
      <c r="H261" s="62">
        <v>650</v>
      </c>
      <c r="I261" s="62">
        <v>39</v>
      </c>
      <c r="J261" s="62">
        <v>0</v>
      </c>
      <c r="K261" s="62">
        <v>47</v>
      </c>
      <c r="L261" s="62">
        <v>0</v>
      </c>
      <c r="M261" s="62">
        <v>54</v>
      </c>
      <c r="N261" s="62">
        <v>0</v>
      </c>
      <c r="P261" s="346">
        <f t="shared" si="22"/>
        <v>30333.333333333332</v>
      </c>
      <c r="Q261" s="120">
        <f t="shared" si="20"/>
        <v>0</v>
      </c>
      <c r="R261" s="106">
        <f t="shared" si="21"/>
        <v>1</v>
      </c>
      <c r="S261" s="183" t="str">
        <f>D261</f>
        <v>SN-10 Ambient</v>
      </c>
      <c r="T261" s="65"/>
      <c r="U261" s="65"/>
      <c r="V261" s="65"/>
      <c r="W261" s="62" t="s">
        <v>209</v>
      </c>
      <c r="Y261" s="89" t="str">
        <f>D261</f>
        <v>SN-10 Ambient</v>
      </c>
      <c r="Z261" s="351">
        <f>SUMIFS($P$193:$P$252, $D$193:$D$252, Y261, $F$193:$F$252, "&lt;200") + SUMIFS($Q$193:$Q$252, $D$193:$D$252, Y261, $F$193:$F$252, "&lt;200")</f>
        <v>115416.66666666666</v>
      </c>
      <c r="AA261" s="120">
        <f>SUM(P261:Q264)</f>
        <v>145153.33333333331</v>
      </c>
      <c r="AB261" s="120">
        <f>SUMIFS(Collection!O:O, Collection!B:B, "*" &amp; 'Bucket Counts'!Y261 &amp; "*", Collection!A:A, "&lt;" &amp; 'Bucket Counts'!A261,Collection!A:A,  "&gt;=" &amp; 'Bucket Counts'!$A$193)</f>
        <v>39000</v>
      </c>
      <c r="AC261" s="106">
        <f>AA261/(Z261+AB261)</f>
        <v>0.94001079330814885</v>
      </c>
    </row>
    <row r="262" spans="1:29" s="62" customFormat="1">
      <c r="A262" s="59">
        <v>42901</v>
      </c>
      <c r="B262" s="60"/>
      <c r="C262" s="60"/>
      <c r="D262" s="62" t="s">
        <v>86</v>
      </c>
      <c r="E262" s="62">
        <v>2</v>
      </c>
      <c r="F262" s="89">
        <v>180</v>
      </c>
      <c r="G262" s="89">
        <v>1</v>
      </c>
      <c r="H262" s="62">
        <v>700</v>
      </c>
      <c r="I262" s="62">
        <v>92</v>
      </c>
      <c r="J262" s="62">
        <v>13</v>
      </c>
      <c r="K262" s="62">
        <v>84</v>
      </c>
      <c r="L262" s="62">
        <v>7</v>
      </c>
      <c r="M262" s="62">
        <v>87</v>
      </c>
      <c r="N262" s="62">
        <v>8</v>
      </c>
      <c r="P262" s="120">
        <f t="shared" si="22"/>
        <v>61366.666666666672</v>
      </c>
      <c r="Q262" s="120">
        <f t="shared" si="20"/>
        <v>6533.3333333333339</v>
      </c>
      <c r="R262" s="106">
        <f t="shared" si="21"/>
        <v>0.90378006872852246</v>
      </c>
      <c r="S262" s="181">
        <f>(SUM(P261:P264)/(SUM(P261:Q264)))</f>
        <v>0.89498461397143259</v>
      </c>
      <c r="T262" s="65"/>
      <c r="U262" s="65"/>
      <c r="V262" s="65"/>
      <c r="Y262" s="89"/>
      <c r="Z262" s="357"/>
      <c r="AA262" s="120"/>
      <c r="AB262" s="120"/>
    </row>
    <row r="263" spans="1:29" s="62" customFormat="1">
      <c r="A263" s="59">
        <v>42901</v>
      </c>
      <c r="B263" s="60"/>
      <c r="C263" s="60"/>
      <c r="D263" s="62" t="s">
        <v>86</v>
      </c>
      <c r="E263" s="62">
        <v>2</v>
      </c>
      <c r="F263" s="89">
        <v>100</v>
      </c>
      <c r="G263" s="89">
        <v>1</v>
      </c>
      <c r="H263" s="62">
        <v>450</v>
      </c>
      <c r="I263" s="62">
        <v>77</v>
      </c>
      <c r="J263" s="62">
        <v>1</v>
      </c>
      <c r="K263" s="62">
        <v>67</v>
      </c>
      <c r="L263" s="62">
        <v>0</v>
      </c>
      <c r="M263" s="62">
        <v>74</v>
      </c>
      <c r="N263" s="62">
        <v>1</v>
      </c>
      <c r="P263" s="120">
        <f t="shared" si="22"/>
        <v>32700.000000000004</v>
      </c>
      <c r="Q263" s="120">
        <f t="shared" si="20"/>
        <v>300</v>
      </c>
      <c r="R263" s="106">
        <f t="shared" si="21"/>
        <v>0.99090909090909107</v>
      </c>
      <c r="S263" s="182"/>
      <c r="T263" s="65"/>
      <c r="U263" s="65"/>
      <c r="V263" s="65"/>
      <c r="Y263" s="89"/>
      <c r="Z263" s="357"/>
      <c r="AA263" s="120"/>
      <c r="AB263" s="120"/>
    </row>
    <row r="264" spans="1:29" s="62" customFormat="1">
      <c r="A264" s="59">
        <v>42901</v>
      </c>
      <c r="B264" s="60"/>
      <c r="C264" s="60"/>
      <c r="D264" s="62" t="s">
        <v>86</v>
      </c>
      <c r="E264" s="62">
        <v>2</v>
      </c>
      <c r="F264" s="89" t="s">
        <v>203</v>
      </c>
      <c r="G264" s="89">
        <v>1</v>
      </c>
      <c r="H264" s="62">
        <v>435</v>
      </c>
      <c r="I264" s="62">
        <v>17</v>
      </c>
      <c r="J264" s="62">
        <v>11</v>
      </c>
      <c r="K264" s="62">
        <v>5</v>
      </c>
      <c r="L264" s="62">
        <v>13</v>
      </c>
      <c r="M264" s="62">
        <v>16</v>
      </c>
      <c r="N264" s="62">
        <v>34</v>
      </c>
      <c r="P264" s="120">
        <f>(AVERAGE(I264,K264,M264)/G264)*H264</f>
        <v>5510</v>
      </c>
      <c r="Q264" s="120">
        <f t="shared" si="20"/>
        <v>8410</v>
      </c>
      <c r="R264" s="106">
        <f t="shared" si="21"/>
        <v>0.39583333333333331</v>
      </c>
      <c r="S264" s="182"/>
      <c r="T264" s="65"/>
      <c r="U264" s="65"/>
      <c r="V264" s="65"/>
      <c r="Y264" s="89"/>
      <c r="Z264" s="357"/>
      <c r="AA264" s="120"/>
      <c r="AB264" s="120"/>
    </row>
    <row r="265" spans="1:29" s="62" customFormat="1">
      <c r="A265" s="59">
        <v>42901</v>
      </c>
      <c r="B265" s="60"/>
      <c r="C265" s="60"/>
      <c r="D265" s="61" t="s">
        <v>74</v>
      </c>
      <c r="E265" s="62">
        <v>2</v>
      </c>
      <c r="F265" s="89">
        <v>224</v>
      </c>
      <c r="G265" s="89">
        <v>1</v>
      </c>
      <c r="H265" s="151">
        <v>400</v>
      </c>
      <c r="I265" s="62">
        <v>1</v>
      </c>
      <c r="J265" s="62">
        <v>3</v>
      </c>
      <c r="K265" s="62">
        <v>3</v>
      </c>
      <c r="L265" s="62">
        <v>6</v>
      </c>
      <c r="M265" s="62">
        <v>8</v>
      </c>
      <c r="N265" s="62">
        <v>0</v>
      </c>
      <c r="P265" s="120">
        <f>(AVERAGE(I265,K265,M265)/G265)*H265</f>
        <v>1600</v>
      </c>
      <c r="Q265" s="120">
        <f t="shared" si="20"/>
        <v>1200</v>
      </c>
      <c r="R265" s="106">
        <f t="shared" si="21"/>
        <v>0.5714285714285714</v>
      </c>
      <c r="S265" s="183" t="str">
        <f>D265</f>
        <v>SN-10 Low</v>
      </c>
      <c r="T265" s="65"/>
      <c r="U265" s="65"/>
      <c r="V265" s="65"/>
      <c r="W265" s="62" t="s">
        <v>206</v>
      </c>
      <c r="Y265" s="89" t="str">
        <f>D265</f>
        <v>SN-10 Low</v>
      </c>
      <c r="Z265" s="351">
        <f>SUMIFS($P$193:$P$252, $D$193:$D$252, Y265, $F$193:$F$252, "&lt;200") + SUMIFS($Q$193:$Q$252, $D$193:$D$252, Y265, $F$193:$F$252, "&lt;200")</f>
        <v>37893.333333333336</v>
      </c>
      <c r="AA265" s="120">
        <f>SUM(P265:Q268)</f>
        <v>130966.66666666667</v>
      </c>
      <c r="AB265" s="120">
        <f>SUMIFS(Collection!O:O, Collection!B:B, "*" &amp; 'Bucket Counts'!Y265 &amp; "*", Collection!A:A, "&lt;" &amp; 'Bucket Counts'!A265,Collection!A:A,  "&gt;=" &amp; 'Bucket Counts'!$A$193)</f>
        <v>79566.666666666672</v>
      </c>
      <c r="AC265" s="106">
        <f>AA265/(Z265+AB265)</f>
        <v>1.1149894999716217</v>
      </c>
    </row>
    <row r="266" spans="1:29" s="62" customFormat="1">
      <c r="A266" s="59">
        <v>42901</v>
      </c>
      <c r="B266" s="60"/>
      <c r="C266" s="60"/>
      <c r="D266" s="61" t="s">
        <v>74</v>
      </c>
      <c r="E266" s="62">
        <v>2</v>
      </c>
      <c r="F266" s="89">
        <v>180</v>
      </c>
      <c r="G266" s="89">
        <v>1</v>
      </c>
      <c r="H266" s="151">
        <v>600</v>
      </c>
      <c r="I266" s="62">
        <v>36</v>
      </c>
      <c r="J266" s="62">
        <v>15</v>
      </c>
      <c r="K266" s="62">
        <v>26</v>
      </c>
      <c r="L266" s="62">
        <v>9</v>
      </c>
      <c r="M266" s="62">
        <v>22</v>
      </c>
      <c r="N266" s="62">
        <v>14</v>
      </c>
      <c r="P266" s="120">
        <f t="shared" si="22"/>
        <v>16800</v>
      </c>
      <c r="Q266" s="120">
        <f t="shared" si="20"/>
        <v>7600</v>
      </c>
      <c r="R266" s="106">
        <f t="shared" si="21"/>
        <v>0.68852459016393441</v>
      </c>
      <c r="S266" s="181">
        <f>(SUM(P265:P268)/(SUM(P265:Q268)))</f>
        <v>0.8653601425299059</v>
      </c>
      <c r="T266" s="65"/>
      <c r="U266" s="65"/>
      <c r="V266" s="65"/>
      <c r="W266" s="62" t="s">
        <v>206</v>
      </c>
      <c r="Y266" s="89"/>
      <c r="Z266" s="357"/>
      <c r="AA266" s="120"/>
      <c r="AB266" s="120"/>
    </row>
    <row r="267" spans="1:29" s="62" customFormat="1">
      <c r="A267" s="59">
        <v>42901</v>
      </c>
      <c r="B267" s="60"/>
      <c r="C267" s="60"/>
      <c r="D267" s="61" t="s">
        <v>74</v>
      </c>
      <c r="E267" s="62">
        <v>2</v>
      </c>
      <c r="F267" s="89">
        <v>100</v>
      </c>
      <c r="G267" s="89">
        <v>1</v>
      </c>
      <c r="H267" s="151">
        <v>700</v>
      </c>
      <c r="I267" s="62">
        <v>122</v>
      </c>
      <c r="J267" s="62">
        <v>1</v>
      </c>
      <c r="K267" s="62">
        <v>135</v>
      </c>
      <c r="L267" s="62">
        <v>0</v>
      </c>
      <c r="M267" s="62">
        <v>128</v>
      </c>
      <c r="N267" s="62">
        <v>0</v>
      </c>
      <c r="P267" s="120">
        <f t="shared" si="22"/>
        <v>89833.333333333343</v>
      </c>
      <c r="Q267" s="120">
        <f t="shared" si="20"/>
        <v>233.33333333333331</v>
      </c>
      <c r="R267" s="106">
        <f t="shared" si="21"/>
        <v>0.99740932642487057</v>
      </c>
      <c r="S267" s="182"/>
      <c r="T267" s="65"/>
      <c r="U267" s="65"/>
      <c r="V267" s="65"/>
      <c r="W267" s="62" t="s">
        <v>206</v>
      </c>
      <c r="Y267" s="89"/>
      <c r="Z267" s="357"/>
      <c r="AA267" s="120"/>
      <c r="AB267" s="120"/>
    </row>
    <row r="268" spans="1:29" s="62" customFormat="1">
      <c r="A268" s="59">
        <v>42901</v>
      </c>
      <c r="B268" s="60"/>
      <c r="C268" s="60"/>
      <c r="D268" s="61" t="s">
        <v>74</v>
      </c>
      <c r="E268" s="62">
        <v>2</v>
      </c>
      <c r="F268" s="89" t="s">
        <v>203</v>
      </c>
      <c r="G268" s="89">
        <v>1</v>
      </c>
      <c r="H268" s="151">
        <v>300</v>
      </c>
      <c r="I268" s="62">
        <v>16</v>
      </c>
      <c r="J268" s="62">
        <v>29</v>
      </c>
      <c r="K268" s="62">
        <v>7</v>
      </c>
      <c r="L268" s="62">
        <v>33</v>
      </c>
      <c r="M268" s="62">
        <v>28</v>
      </c>
      <c r="N268" s="62">
        <v>24</v>
      </c>
      <c r="P268" s="120">
        <f t="shared" si="22"/>
        <v>5100</v>
      </c>
      <c r="Q268" s="120">
        <f t="shared" si="20"/>
        <v>8600</v>
      </c>
      <c r="R268" s="106">
        <f t="shared" si="21"/>
        <v>0.37226277372262773</v>
      </c>
      <c r="S268" s="182"/>
      <c r="T268" s="65"/>
      <c r="U268" s="65"/>
      <c r="V268" s="65"/>
      <c r="W268" s="62" t="s">
        <v>206</v>
      </c>
      <c r="Y268" s="89"/>
      <c r="Z268" s="357"/>
      <c r="AA268" s="120"/>
      <c r="AB268" s="120"/>
    </row>
    <row r="269" spans="1:29" s="62" customFormat="1">
      <c r="A269" s="59">
        <v>42901</v>
      </c>
      <c r="B269" s="60"/>
      <c r="C269" s="60"/>
      <c r="D269" s="62" t="s">
        <v>85</v>
      </c>
      <c r="E269" s="62">
        <v>3</v>
      </c>
      <c r="F269" s="89">
        <v>224</v>
      </c>
      <c r="G269" s="89">
        <v>1</v>
      </c>
      <c r="H269" s="62">
        <v>150</v>
      </c>
      <c r="I269" s="62">
        <v>11</v>
      </c>
      <c r="J269" s="62">
        <v>4</v>
      </c>
      <c r="K269" s="62">
        <v>8</v>
      </c>
      <c r="L269" s="62">
        <v>0</v>
      </c>
      <c r="M269" s="62">
        <v>5</v>
      </c>
      <c r="N269" s="62">
        <v>0</v>
      </c>
      <c r="P269" s="120">
        <f t="shared" si="22"/>
        <v>1200</v>
      </c>
      <c r="Q269" s="120">
        <f t="shared" si="20"/>
        <v>200</v>
      </c>
      <c r="R269" s="106">
        <f t="shared" si="21"/>
        <v>0.8571428571428571</v>
      </c>
      <c r="S269" s="183" t="str">
        <f>D269</f>
        <v>NF-6 Ambient</v>
      </c>
      <c r="T269" s="65"/>
      <c r="U269" s="65"/>
      <c r="V269" s="65"/>
      <c r="Y269" s="89" t="str">
        <f>D269</f>
        <v>NF-6 Ambient</v>
      </c>
      <c r="Z269" s="351">
        <f>SUMIFS($P$193:$P$252, $D$193:$D$252, Y269, $F$193:$F$252, "&lt;200") + SUMIFS($Q$193:$Q$252, $D$193:$D$252, Y269, $F$193:$F$252, "&lt;200")</f>
        <v>45686.666666666672</v>
      </c>
      <c r="AA269" s="120">
        <f>SUM(P269:Q272)</f>
        <v>30173.333333333328</v>
      </c>
      <c r="AB269" s="120">
        <f>SUMIFS(Collection!O:O, Collection!B:B, "*" &amp; 'Bucket Counts'!Y269 &amp; "*", Collection!A:A, "&lt;" &amp; 'Bucket Counts'!A269,Collection!A:A,  "&gt;=" &amp; 'Bucket Counts'!$A$193)</f>
        <v>0</v>
      </c>
      <c r="AC269" s="106">
        <f>AA269/(Z269+AB269)</f>
        <v>0.66044068291259284</v>
      </c>
    </row>
    <row r="270" spans="1:29" s="62" customFormat="1">
      <c r="A270" s="59">
        <v>42901</v>
      </c>
      <c r="B270" s="60"/>
      <c r="C270" s="60"/>
      <c r="D270" s="62" t="s">
        <v>85</v>
      </c>
      <c r="E270" s="62">
        <v>3</v>
      </c>
      <c r="F270" s="89">
        <v>180</v>
      </c>
      <c r="G270" s="89">
        <v>1</v>
      </c>
      <c r="H270" s="62">
        <v>700</v>
      </c>
      <c r="I270" s="62">
        <v>28</v>
      </c>
      <c r="J270" s="62">
        <v>7</v>
      </c>
      <c r="K270" s="62">
        <v>35</v>
      </c>
      <c r="L270" s="62">
        <v>4</v>
      </c>
      <c r="M270" s="62">
        <v>28</v>
      </c>
      <c r="N270" s="62">
        <v>2</v>
      </c>
      <c r="P270" s="120">
        <f t="shared" si="22"/>
        <v>21233.333333333332</v>
      </c>
      <c r="Q270" s="120">
        <f t="shared" si="20"/>
        <v>3033.333333333333</v>
      </c>
      <c r="R270" s="106">
        <f t="shared" si="21"/>
        <v>0.875</v>
      </c>
      <c r="S270" s="181">
        <f>(SUM(P269:P272)/(SUM(P269:Q272)))</f>
        <v>0.83241272646928866</v>
      </c>
      <c r="T270" s="65"/>
      <c r="U270" s="65"/>
      <c r="V270" s="65"/>
      <c r="Y270" s="89"/>
      <c r="Z270" s="357"/>
      <c r="AA270" s="120"/>
      <c r="AB270" s="120"/>
    </row>
    <row r="271" spans="1:29" s="62" customFormat="1">
      <c r="A271" s="59">
        <v>42901</v>
      </c>
      <c r="B271" s="60"/>
      <c r="C271" s="60"/>
      <c r="D271" s="62" t="s">
        <v>85</v>
      </c>
      <c r="E271" s="62">
        <v>3</v>
      </c>
      <c r="F271" s="89">
        <v>100</v>
      </c>
      <c r="G271" s="89">
        <v>1</v>
      </c>
      <c r="H271" s="62">
        <v>350</v>
      </c>
      <c r="I271" s="62">
        <v>8</v>
      </c>
      <c r="J271" s="62">
        <v>1</v>
      </c>
      <c r="K271" s="62">
        <v>9</v>
      </c>
      <c r="L271" s="62">
        <v>0</v>
      </c>
      <c r="M271" s="62">
        <v>6</v>
      </c>
      <c r="N271" s="62">
        <v>2</v>
      </c>
      <c r="P271" s="120">
        <f t="shared" si="22"/>
        <v>2683.3333333333335</v>
      </c>
      <c r="Q271" s="120">
        <f t="shared" si="20"/>
        <v>350</v>
      </c>
      <c r="R271" s="106">
        <f t="shared" si="21"/>
        <v>0.88461538461538458</v>
      </c>
      <c r="S271" s="182"/>
      <c r="T271" s="65"/>
      <c r="U271" s="65"/>
      <c r="V271" s="65"/>
      <c r="Y271" s="89"/>
      <c r="Z271" s="357"/>
      <c r="AA271" s="120"/>
      <c r="AB271" s="120"/>
    </row>
    <row r="272" spans="1:29" s="62" customFormat="1">
      <c r="A272" s="59">
        <v>42901</v>
      </c>
      <c r="B272" s="60"/>
      <c r="C272" s="60"/>
      <c r="D272" s="62" t="s">
        <v>85</v>
      </c>
      <c r="E272" s="62">
        <v>3</v>
      </c>
      <c r="F272" s="89" t="s">
        <v>203</v>
      </c>
      <c r="G272" s="89">
        <v>1</v>
      </c>
      <c r="H272" s="62">
        <v>340</v>
      </c>
      <c r="I272" s="62">
        <v>0</v>
      </c>
      <c r="J272" s="62">
        <v>5</v>
      </c>
      <c r="K272" s="62">
        <v>0</v>
      </c>
      <c r="L272" s="62">
        <v>2</v>
      </c>
      <c r="M272" s="62">
        <v>0</v>
      </c>
      <c r="N272" s="62">
        <v>6</v>
      </c>
      <c r="P272" s="120">
        <f t="shared" si="22"/>
        <v>0</v>
      </c>
      <c r="Q272" s="120">
        <f t="shared" si="20"/>
        <v>1473.3333333333333</v>
      </c>
      <c r="R272" s="106">
        <f t="shared" si="21"/>
        <v>0</v>
      </c>
      <c r="S272" s="182"/>
      <c r="T272" s="65"/>
      <c r="U272" s="65"/>
      <c r="V272" s="65"/>
      <c r="Y272" s="89"/>
      <c r="Z272" s="357"/>
      <c r="AA272" s="120"/>
      <c r="AB272" s="120"/>
    </row>
    <row r="273" spans="1:29" s="62" customFormat="1">
      <c r="A273" s="59">
        <v>42901</v>
      </c>
      <c r="B273" s="60"/>
      <c r="C273" s="60"/>
      <c r="D273" s="62" t="s">
        <v>83</v>
      </c>
      <c r="E273" s="62">
        <v>3</v>
      </c>
      <c r="F273" s="89">
        <v>224</v>
      </c>
      <c r="G273" s="89">
        <v>1</v>
      </c>
      <c r="H273" s="62">
        <v>400</v>
      </c>
      <c r="I273" s="62">
        <v>6</v>
      </c>
      <c r="J273" s="62">
        <v>3</v>
      </c>
      <c r="K273" s="62">
        <v>6</v>
      </c>
      <c r="L273" s="62">
        <v>3</v>
      </c>
      <c r="M273" s="62">
        <v>2</v>
      </c>
      <c r="N273" s="62">
        <v>2</v>
      </c>
      <c r="P273" s="120">
        <f t="shared" si="22"/>
        <v>1866.6666666666667</v>
      </c>
      <c r="Q273" s="120">
        <f t="shared" si="20"/>
        <v>1066.6666666666665</v>
      </c>
      <c r="R273" s="106">
        <f t="shared" si="21"/>
        <v>0.63636363636363646</v>
      </c>
      <c r="S273" s="183" t="str">
        <f>D273</f>
        <v>NF-10 Low</v>
      </c>
      <c r="T273" s="65"/>
      <c r="U273" s="65"/>
      <c r="V273" s="65"/>
      <c r="Y273" s="89" t="str">
        <f>D273</f>
        <v>NF-10 Low</v>
      </c>
      <c r="Z273" s="351">
        <f>SUMIFS($P$193:$P$252, $D$193:$D$252, Y273, $F$193:$F$252, "&lt;200") + SUMIFS($Q$193:$Q$252, $D$193:$D$252, Y273, $F$193:$F$252, "&lt;200")</f>
        <v>48113.333333333336</v>
      </c>
      <c r="AA273" s="120">
        <f>SUM(P273:Q276)</f>
        <v>30950</v>
      </c>
      <c r="AB273" s="120">
        <f>SUMIFS(Collection!O:O, Collection!B:B, "*" &amp; 'Bucket Counts'!Y273 &amp; "*", Collection!A:A, "&lt;" &amp; 'Bucket Counts'!A273,Collection!A:A,  "&gt;=" &amp; 'Bucket Counts'!$A$193)</f>
        <v>0</v>
      </c>
      <c r="AC273" s="106">
        <f>AA273/(Z273+AB273)</f>
        <v>0.64327282804489394</v>
      </c>
    </row>
    <row r="274" spans="1:29" s="62" customFormat="1">
      <c r="A274" s="59">
        <v>42901</v>
      </c>
      <c r="B274" s="60"/>
      <c r="C274" s="60"/>
      <c r="D274" s="62" t="s">
        <v>83</v>
      </c>
      <c r="E274" s="62">
        <v>3</v>
      </c>
      <c r="F274" s="89">
        <v>180</v>
      </c>
      <c r="G274" s="89">
        <v>1</v>
      </c>
      <c r="H274" s="62">
        <v>575</v>
      </c>
      <c r="I274" s="62">
        <v>40</v>
      </c>
      <c r="J274" s="62">
        <v>13</v>
      </c>
      <c r="K274" s="62">
        <v>42</v>
      </c>
      <c r="L274" s="62">
        <v>10</v>
      </c>
      <c r="M274" s="62">
        <v>20</v>
      </c>
      <c r="N274" s="62">
        <v>9</v>
      </c>
      <c r="P274" s="120">
        <f t="shared" si="22"/>
        <v>19550</v>
      </c>
      <c r="Q274" s="120">
        <f t="shared" si="20"/>
        <v>6133.333333333333</v>
      </c>
      <c r="R274" s="106">
        <f t="shared" si="21"/>
        <v>0.76119402985074636</v>
      </c>
      <c r="S274" s="181">
        <f>(SUM(P273:P276)/(SUM(P273:Q276)))</f>
        <v>0.73128702207862151</v>
      </c>
      <c r="T274" s="65"/>
      <c r="Y274" s="89"/>
      <c r="Z274" s="357"/>
      <c r="AA274" s="120"/>
      <c r="AB274" s="120"/>
    </row>
    <row r="275" spans="1:29" s="62" customFormat="1">
      <c r="A275" s="59">
        <v>42901</v>
      </c>
      <c r="B275" s="60"/>
      <c r="C275" s="60"/>
      <c r="D275" s="62" t="s">
        <v>83</v>
      </c>
      <c r="E275" s="62">
        <v>3</v>
      </c>
      <c r="F275" s="89">
        <v>100</v>
      </c>
      <c r="G275" s="89">
        <v>1</v>
      </c>
      <c r="H275" s="62">
        <v>300</v>
      </c>
      <c r="I275" s="62">
        <v>5</v>
      </c>
      <c r="J275" s="62">
        <v>1</v>
      </c>
      <c r="K275" s="62">
        <v>5</v>
      </c>
      <c r="L275" s="62">
        <v>0</v>
      </c>
      <c r="M275" s="62">
        <v>1</v>
      </c>
      <c r="N275" s="62">
        <v>2</v>
      </c>
      <c r="P275" s="120">
        <f t="shared" si="22"/>
        <v>1100</v>
      </c>
      <c r="Q275" s="120">
        <f t="shared" si="20"/>
        <v>300</v>
      </c>
      <c r="R275" s="106">
        <f t="shared" si="21"/>
        <v>0.7857142857142857</v>
      </c>
      <c r="S275" s="182"/>
      <c r="T275" s="65"/>
      <c r="Y275" s="89"/>
      <c r="Z275" s="357"/>
      <c r="AA275" s="120"/>
      <c r="AB275" s="120"/>
    </row>
    <row r="276" spans="1:29" s="62" customFormat="1">
      <c r="A276" s="59">
        <v>42901</v>
      </c>
      <c r="B276" s="60"/>
      <c r="C276" s="60"/>
      <c r="D276" s="62" t="s">
        <v>83</v>
      </c>
      <c r="E276" s="62">
        <v>3</v>
      </c>
      <c r="F276" s="89" t="s">
        <v>203</v>
      </c>
      <c r="G276" s="89">
        <v>1</v>
      </c>
      <c r="H276" s="62">
        <v>350</v>
      </c>
      <c r="I276" s="62">
        <v>0</v>
      </c>
      <c r="J276" s="62">
        <v>1</v>
      </c>
      <c r="K276" s="62">
        <v>0</v>
      </c>
      <c r="L276" s="62">
        <v>4</v>
      </c>
      <c r="M276" s="62">
        <v>1</v>
      </c>
      <c r="N276" s="62">
        <v>2</v>
      </c>
      <c r="P276" s="120">
        <f t="shared" si="22"/>
        <v>116.66666666666666</v>
      </c>
      <c r="Q276" s="120">
        <f t="shared" si="20"/>
        <v>816.66666666666674</v>
      </c>
      <c r="R276" s="106">
        <f t="shared" si="21"/>
        <v>0.12499999999999999</v>
      </c>
      <c r="S276" s="182"/>
      <c r="T276" s="65"/>
      <c r="Y276" s="89"/>
      <c r="Z276" s="357"/>
      <c r="AA276" s="120"/>
      <c r="AB276" s="120"/>
    </row>
    <row r="277" spans="1:29" s="62" customFormat="1">
      <c r="A277" s="59">
        <v>42901</v>
      </c>
      <c r="B277" s="60"/>
      <c r="C277" s="60"/>
      <c r="D277" s="61" t="s">
        <v>21</v>
      </c>
      <c r="E277" s="62">
        <v>4</v>
      </c>
      <c r="F277" s="89">
        <v>224</v>
      </c>
      <c r="G277" s="89">
        <v>1</v>
      </c>
      <c r="H277" s="62">
        <v>0</v>
      </c>
      <c r="I277" s="62">
        <v>0</v>
      </c>
      <c r="J277" s="62">
        <v>0</v>
      </c>
      <c r="K277" s="62">
        <v>0</v>
      </c>
      <c r="L277" s="62">
        <v>0</v>
      </c>
      <c r="M277" s="62">
        <v>0</v>
      </c>
      <c r="N277" s="62">
        <v>0</v>
      </c>
      <c r="P277" s="120">
        <f t="shared" si="22"/>
        <v>0</v>
      </c>
      <c r="Q277" s="120">
        <f t="shared" si="20"/>
        <v>0</v>
      </c>
      <c r="R277" s="106" t="e">
        <f t="shared" si="21"/>
        <v>#DIV/0!</v>
      </c>
      <c r="S277" s="180" t="str">
        <f>D277</f>
        <v>HL-6 Low</v>
      </c>
      <c r="T277" s="65"/>
      <c r="Y277" s="89" t="str">
        <f>D277</f>
        <v>HL-6 Low</v>
      </c>
      <c r="Z277" s="351">
        <f>SUMIFS($P$193:$P$252, $D$193:$D$252, Y277, $F$193:$F$252, "&lt;200") + SUMIFS($Q$193:$Q$252, $D$193:$D$252, Y277, $F$193:$F$252, "&lt;200")</f>
        <v>71866.666666666657</v>
      </c>
      <c r="AA277" s="120">
        <f>SUM(P277:Q280)</f>
        <v>29000</v>
      </c>
      <c r="AB277" s="120">
        <f>SUMIFS(Collection!O:O, Collection!B:B, "*" &amp; 'Bucket Counts'!Y277 &amp; "*", Collection!A:A, "&lt;" &amp; 'Bucket Counts'!A277,Collection!A:A,  "&gt;=" &amp; 'Bucket Counts'!$A$193)</f>
        <v>0</v>
      </c>
      <c r="AC277" s="106">
        <f>AA277/(Z277+AB277)</f>
        <v>0.40352504638218928</v>
      </c>
    </row>
    <row r="278" spans="1:29" s="62" customFormat="1">
      <c r="A278" s="59">
        <v>42901</v>
      </c>
      <c r="B278" s="60"/>
      <c r="C278" s="60"/>
      <c r="D278" s="61" t="s">
        <v>21</v>
      </c>
      <c r="E278" s="62">
        <v>4</v>
      </c>
      <c r="F278" s="89">
        <v>180</v>
      </c>
      <c r="G278" s="89">
        <v>1</v>
      </c>
      <c r="H278" s="62">
        <v>0</v>
      </c>
      <c r="I278" s="62">
        <v>0</v>
      </c>
      <c r="J278" s="62">
        <v>0</v>
      </c>
      <c r="K278" s="62">
        <v>0</v>
      </c>
      <c r="L278" s="62">
        <v>0</v>
      </c>
      <c r="M278" s="62">
        <v>0</v>
      </c>
      <c r="N278" s="62">
        <v>0</v>
      </c>
      <c r="P278" s="120">
        <f t="shared" si="22"/>
        <v>0</v>
      </c>
      <c r="Q278" s="120">
        <f t="shared" si="20"/>
        <v>0</v>
      </c>
      <c r="R278" s="106" t="e">
        <f t="shared" si="21"/>
        <v>#DIV/0!</v>
      </c>
      <c r="S278" s="181">
        <f>(SUM(P277:P280)/(SUM(P277:Q280)))</f>
        <v>0.97701149425287348</v>
      </c>
      <c r="T278" s="65"/>
      <c r="Y278" s="89"/>
      <c r="Z278" s="357"/>
      <c r="AA278" s="120"/>
      <c r="AB278" s="120"/>
    </row>
    <row r="279" spans="1:29" s="62" customFormat="1">
      <c r="A279" s="59">
        <v>42901</v>
      </c>
      <c r="B279" s="60"/>
      <c r="C279" s="60"/>
      <c r="D279" s="61" t="s">
        <v>21</v>
      </c>
      <c r="E279" s="62">
        <v>4</v>
      </c>
      <c r="F279" s="89">
        <v>100</v>
      </c>
      <c r="G279" s="89">
        <v>1</v>
      </c>
      <c r="H279" s="150">
        <v>500</v>
      </c>
      <c r="I279" s="62">
        <v>40</v>
      </c>
      <c r="J279" s="62">
        <v>0</v>
      </c>
      <c r="K279" s="62">
        <v>53</v>
      </c>
      <c r="L279" s="62">
        <v>0</v>
      </c>
      <c r="M279" s="62">
        <v>77</v>
      </c>
      <c r="N279" s="62">
        <v>0</v>
      </c>
      <c r="P279" s="120">
        <f t="shared" si="22"/>
        <v>28333.333333333332</v>
      </c>
      <c r="Q279" s="120">
        <f t="shared" si="20"/>
        <v>0</v>
      </c>
      <c r="R279" s="106">
        <f t="shared" si="21"/>
        <v>1</v>
      </c>
      <c r="S279" s="179"/>
      <c r="T279" s="65"/>
      <c r="Y279" s="89"/>
      <c r="Z279" s="357"/>
      <c r="AA279" s="120"/>
      <c r="AB279" s="120"/>
    </row>
    <row r="280" spans="1:29" s="62" customFormat="1">
      <c r="A280" s="59">
        <v>42901</v>
      </c>
      <c r="B280" s="60"/>
      <c r="C280" s="60"/>
      <c r="D280" s="61" t="s">
        <v>21</v>
      </c>
      <c r="E280" s="62">
        <v>4</v>
      </c>
      <c r="F280" s="89" t="s">
        <v>203</v>
      </c>
      <c r="G280" s="89">
        <v>1</v>
      </c>
      <c r="H280" s="150">
        <v>400</v>
      </c>
      <c r="I280" s="62">
        <v>0</v>
      </c>
      <c r="J280" s="62">
        <v>1</v>
      </c>
      <c r="K280" s="62">
        <v>0</v>
      </c>
      <c r="L280" s="62">
        <v>1</v>
      </c>
      <c r="M280" s="62">
        <v>0</v>
      </c>
      <c r="N280" s="62">
        <v>3</v>
      </c>
      <c r="P280" s="120">
        <f>(AVERAGE(I280,K280,M280)/G280)*H280</f>
        <v>0</v>
      </c>
      <c r="Q280" s="120">
        <f t="shared" si="20"/>
        <v>666.66666666666674</v>
      </c>
      <c r="R280" s="106">
        <f t="shared" si="21"/>
        <v>0</v>
      </c>
      <c r="S280" s="182"/>
      <c r="T280" s="65"/>
      <c r="Y280" s="89"/>
      <c r="Z280" s="357"/>
      <c r="AA280" s="120"/>
      <c r="AB280" s="120"/>
    </row>
    <row r="281" spans="1:29" s="62" customFormat="1">
      <c r="A281" s="59">
        <v>42901</v>
      </c>
      <c r="B281" s="60"/>
      <c r="C281" s="60"/>
      <c r="D281" s="61" t="s">
        <v>119</v>
      </c>
      <c r="E281" s="62">
        <v>4</v>
      </c>
      <c r="F281" s="89">
        <v>224</v>
      </c>
      <c r="G281" s="89">
        <v>1</v>
      </c>
      <c r="H281" s="62">
        <v>0</v>
      </c>
      <c r="I281" s="62">
        <v>0</v>
      </c>
      <c r="J281" s="62">
        <v>0</v>
      </c>
      <c r="K281" s="62">
        <v>0</v>
      </c>
      <c r="L281" s="62">
        <v>0</v>
      </c>
      <c r="M281" s="62">
        <v>0</v>
      </c>
      <c r="N281" s="62">
        <v>0</v>
      </c>
      <c r="P281" s="120">
        <f t="shared" si="22"/>
        <v>0</v>
      </c>
      <c r="Q281" s="120">
        <f t="shared" si="20"/>
        <v>0</v>
      </c>
      <c r="R281" s="106" t="e">
        <f t="shared" si="21"/>
        <v>#DIV/0!</v>
      </c>
      <c r="S281" s="183" t="str">
        <f>D281</f>
        <v>HL-6 Ambient</v>
      </c>
      <c r="T281" s="65"/>
      <c r="Y281" s="89" t="str">
        <f>D281</f>
        <v>HL-6 Ambient</v>
      </c>
      <c r="Z281" s="351">
        <f>SUMIFS($P$193:$P$252, $D$193:$D$252, Y281, $F$193:$F$252, "&lt;200") + SUMIFS($Q$193:$Q$252, $D$193:$D$252, Y281, $F$193:$F$252, "&lt;200")</f>
        <v>0</v>
      </c>
      <c r="AA281" s="120">
        <f>SUM(P281:Q284)</f>
        <v>66200</v>
      </c>
      <c r="AB281" s="120">
        <f>SUMIFS(Collection!O:O, Collection!B:B, "*" &amp; 'Bucket Counts'!Y281 &amp; "*", Collection!A:A, "&lt;" &amp; 'Bucket Counts'!A281,Collection!A:A,  "&gt;=" &amp; 'Bucket Counts'!$A$193)</f>
        <v>65666.666666666672</v>
      </c>
      <c r="AC281" s="106">
        <f>AA281/(Z281+AB281)</f>
        <v>1.0081218274111674</v>
      </c>
    </row>
    <row r="282" spans="1:29" s="62" customFormat="1">
      <c r="A282" s="59">
        <v>42901</v>
      </c>
      <c r="B282" s="60"/>
      <c r="C282" s="60"/>
      <c r="D282" s="61" t="s">
        <v>119</v>
      </c>
      <c r="E282" s="62">
        <v>4</v>
      </c>
      <c r="F282" s="89">
        <v>180</v>
      </c>
      <c r="G282" s="89">
        <v>1</v>
      </c>
      <c r="H282" s="62">
        <v>0</v>
      </c>
      <c r="I282" s="62">
        <v>0</v>
      </c>
      <c r="J282" s="62">
        <v>0</v>
      </c>
      <c r="K282" s="62">
        <v>0</v>
      </c>
      <c r="L282" s="62">
        <v>0</v>
      </c>
      <c r="M282" s="62">
        <v>0</v>
      </c>
      <c r="N282" s="62">
        <v>0</v>
      </c>
      <c r="P282" s="120">
        <f t="shared" si="22"/>
        <v>0</v>
      </c>
      <c r="Q282" s="120">
        <f t="shared" si="20"/>
        <v>0</v>
      </c>
      <c r="R282" s="106" t="e">
        <f t="shared" si="21"/>
        <v>#DIV/0!</v>
      </c>
      <c r="S282" s="181">
        <f>(SUM(P281:P284)/(SUM(P281:Q284)))</f>
        <v>0.97079556898288022</v>
      </c>
      <c r="T282" s="65"/>
      <c r="Y282" s="89"/>
      <c r="Z282" s="357"/>
      <c r="AA282" s="120"/>
      <c r="AB282" s="120"/>
    </row>
    <row r="283" spans="1:29" s="62" customFormat="1">
      <c r="A283" s="59">
        <v>42901</v>
      </c>
      <c r="B283" s="60"/>
      <c r="C283" s="60"/>
      <c r="D283" s="61" t="s">
        <v>119</v>
      </c>
      <c r="E283" s="62">
        <v>4</v>
      </c>
      <c r="F283" s="89">
        <v>100</v>
      </c>
      <c r="G283" s="89">
        <v>1</v>
      </c>
      <c r="H283" s="150">
        <v>500</v>
      </c>
      <c r="I283" s="62">
        <v>107</v>
      </c>
      <c r="J283" s="62">
        <v>0</v>
      </c>
      <c r="K283" s="62">
        <v>102</v>
      </c>
      <c r="L283" s="62">
        <v>1</v>
      </c>
      <c r="M283" s="62">
        <v>123</v>
      </c>
      <c r="N283" s="62">
        <v>1</v>
      </c>
      <c r="P283" s="120">
        <f t="shared" si="22"/>
        <v>55333.333333333336</v>
      </c>
      <c r="Q283" s="120">
        <f t="shared" si="20"/>
        <v>333.33333333333331</v>
      </c>
      <c r="R283" s="106">
        <f t="shared" si="21"/>
        <v>0.99401197604790414</v>
      </c>
      <c r="S283" s="182"/>
      <c r="T283" s="65"/>
      <c r="Y283" s="89"/>
      <c r="Z283" s="357"/>
      <c r="AA283" s="120"/>
      <c r="AB283" s="120"/>
    </row>
    <row r="284" spans="1:29" s="62" customFormat="1">
      <c r="A284" s="59">
        <v>42901</v>
      </c>
      <c r="B284" s="60"/>
      <c r="C284" s="60"/>
      <c r="D284" s="61" t="s">
        <v>119</v>
      </c>
      <c r="E284" s="62">
        <v>4</v>
      </c>
      <c r="F284" s="89" t="s">
        <v>203</v>
      </c>
      <c r="G284" s="89">
        <v>1</v>
      </c>
      <c r="H284" s="150">
        <v>400</v>
      </c>
      <c r="I284" s="62">
        <v>22</v>
      </c>
      <c r="J284" s="62">
        <v>6</v>
      </c>
      <c r="K284" s="62">
        <v>17</v>
      </c>
      <c r="L284" s="62">
        <v>4</v>
      </c>
      <c r="M284" s="62">
        <v>28</v>
      </c>
      <c r="N284" s="62">
        <v>2</v>
      </c>
      <c r="P284" s="120">
        <f t="shared" si="22"/>
        <v>8933.3333333333321</v>
      </c>
      <c r="Q284" s="120">
        <f t="shared" si="20"/>
        <v>1600</v>
      </c>
      <c r="R284" s="106">
        <f t="shared" si="21"/>
        <v>0.84810126582278478</v>
      </c>
      <c r="S284" s="182"/>
      <c r="T284" s="65"/>
      <c r="Y284" s="89"/>
      <c r="Z284" s="357"/>
      <c r="AA284" s="120"/>
      <c r="AB284" s="120"/>
    </row>
    <row r="285" spans="1:29" s="62" customFormat="1">
      <c r="A285" s="59">
        <v>42901</v>
      </c>
      <c r="B285" s="60"/>
      <c r="C285" s="60"/>
      <c r="D285" s="62" t="s">
        <v>84</v>
      </c>
      <c r="E285" s="62">
        <v>5</v>
      </c>
      <c r="F285" s="89">
        <v>224</v>
      </c>
      <c r="G285" s="62">
        <v>1</v>
      </c>
      <c r="H285" s="62">
        <v>350</v>
      </c>
      <c r="I285" s="62">
        <v>1</v>
      </c>
      <c r="J285" s="62">
        <v>0</v>
      </c>
      <c r="K285" s="62">
        <v>0</v>
      </c>
      <c r="L285" s="62">
        <v>1</v>
      </c>
      <c r="M285" s="62">
        <v>3</v>
      </c>
      <c r="N285" s="62">
        <v>0</v>
      </c>
      <c r="P285" s="120">
        <f t="shared" si="22"/>
        <v>466.66666666666663</v>
      </c>
      <c r="Q285" s="120">
        <f t="shared" si="20"/>
        <v>116.66666666666666</v>
      </c>
      <c r="R285" s="106">
        <f t="shared" si="21"/>
        <v>0.8</v>
      </c>
      <c r="S285" s="183" t="str">
        <f>D285</f>
        <v>NF-10 Ambient</v>
      </c>
      <c r="Y285" s="89" t="str">
        <f>D285</f>
        <v>NF-10 Ambient</v>
      </c>
      <c r="Z285" s="351">
        <f>SUMIFS($P$193:$P$252, $D$193:$D$252, Y285, $F$193:$F$252, "&lt;200") + SUMIFS($Q$193:$Q$252, $D$193:$D$252, Y285, $F$193:$F$252, "&lt;200")</f>
        <v>82966.666666666657</v>
      </c>
      <c r="AA285" s="120">
        <f>SUM(P285:Q288)</f>
        <v>121966.66666666666</v>
      </c>
      <c r="AB285" s="120">
        <f>SUMIFS(Collection!O:O, Collection!B:B, "*" &amp; 'Bucket Counts'!Y285 &amp; "*", Collection!A:A, "&lt;" &amp; 'Bucket Counts'!A285,Collection!A:A,  "&gt;=" &amp; 'Bucket Counts'!$A$193)</f>
        <v>57866.666666666664</v>
      </c>
      <c r="AC285" s="106">
        <f>AA285/(Z285+AB285)</f>
        <v>0.86603550295857989</v>
      </c>
    </row>
    <row r="286" spans="1:29" s="62" customFormat="1">
      <c r="A286" s="59">
        <v>42901</v>
      </c>
      <c r="B286" s="60"/>
      <c r="C286" s="60"/>
      <c r="D286" s="62" t="s">
        <v>84</v>
      </c>
      <c r="E286" s="62">
        <v>5</v>
      </c>
      <c r="F286" s="89">
        <v>180</v>
      </c>
      <c r="G286" s="62">
        <v>1</v>
      </c>
      <c r="H286" s="62">
        <v>550</v>
      </c>
      <c r="I286" s="62">
        <v>25</v>
      </c>
      <c r="J286" s="62">
        <v>0</v>
      </c>
      <c r="K286" s="62">
        <v>37</v>
      </c>
      <c r="L286" s="62">
        <v>7</v>
      </c>
      <c r="M286" s="62">
        <v>22</v>
      </c>
      <c r="N286" s="62">
        <v>1</v>
      </c>
      <c r="P286" s="120">
        <f t="shared" si="22"/>
        <v>15400</v>
      </c>
      <c r="Q286" s="120">
        <f t="shared" si="20"/>
        <v>1466.6666666666665</v>
      </c>
      <c r="R286" s="106">
        <f t="shared" si="21"/>
        <v>0.91304347826086951</v>
      </c>
      <c r="S286" s="181">
        <f>(SUM(P285:P288)/(SUM(P285:Q288)))</f>
        <v>0.77275211806504518</v>
      </c>
      <c r="Y286" s="89"/>
      <c r="Z286" s="357"/>
      <c r="AA286" s="120"/>
      <c r="AB286" s="120"/>
    </row>
    <row r="287" spans="1:29" s="62" customFormat="1">
      <c r="A287" s="59">
        <v>42901</v>
      </c>
      <c r="B287" s="60"/>
      <c r="C287" s="60"/>
      <c r="D287" s="62" t="s">
        <v>84</v>
      </c>
      <c r="E287" s="62">
        <v>5</v>
      </c>
      <c r="F287" s="89">
        <v>100</v>
      </c>
      <c r="G287" s="62">
        <v>1</v>
      </c>
      <c r="H287" s="62">
        <v>550</v>
      </c>
      <c r="I287" s="62">
        <v>121</v>
      </c>
      <c r="J287" s="62">
        <v>4</v>
      </c>
      <c r="K287" s="62">
        <v>141</v>
      </c>
      <c r="L287" s="62">
        <v>1</v>
      </c>
      <c r="M287" s="62">
        <v>151</v>
      </c>
      <c r="N287" s="62">
        <v>3</v>
      </c>
      <c r="P287" s="120">
        <f t="shared" si="22"/>
        <v>75716.666666666657</v>
      </c>
      <c r="Q287" s="120">
        <f t="shared" si="20"/>
        <v>1466.6666666666665</v>
      </c>
      <c r="R287" s="106">
        <f t="shared" si="21"/>
        <v>0.98099762470308782</v>
      </c>
      <c r="S287" s="182"/>
      <c r="Y287" s="89"/>
      <c r="Z287" s="357"/>
      <c r="AA287" s="120"/>
      <c r="AB287" s="120"/>
    </row>
    <row r="288" spans="1:29" s="62" customFormat="1">
      <c r="A288" s="59">
        <v>42901</v>
      </c>
      <c r="B288" s="60"/>
      <c r="C288" s="60"/>
      <c r="D288" s="62" t="s">
        <v>84</v>
      </c>
      <c r="E288" s="62">
        <v>5</v>
      </c>
      <c r="F288" s="89" t="s">
        <v>203</v>
      </c>
      <c r="G288" s="62">
        <v>1</v>
      </c>
      <c r="H288" s="62">
        <v>400</v>
      </c>
      <c r="I288" s="62">
        <v>9</v>
      </c>
      <c r="J288" s="62">
        <v>85</v>
      </c>
      <c r="K288" s="62">
        <v>8</v>
      </c>
      <c r="L288" s="62">
        <v>62</v>
      </c>
      <c r="M288" s="62">
        <v>3</v>
      </c>
      <c r="N288" s="62">
        <v>38</v>
      </c>
      <c r="P288" s="120">
        <f t="shared" si="22"/>
        <v>2666.666666666667</v>
      </c>
      <c r="Q288" s="120">
        <f t="shared" si="20"/>
        <v>24666.666666666664</v>
      </c>
      <c r="R288" s="106">
        <f t="shared" si="21"/>
        <v>9.7560975609756115E-2</v>
      </c>
      <c r="S288" s="182"/>
      <c r="Y288" s="89"/>
      <c r="Z288" s="357"/>
      <c r="AA288" s="120"/>
      <c r="AB288" s="120"/>
    </row>
    <row r="289" spans="1:29" s="62" customFormat="1">
      <c r="A289" s="59">
        <v>42901</v>
      </c>
      <c r="B289" s="60"/>
      <c r="C289" s="60"/>
      <c r="D289" s="62" t="s">
        <v>20</v>
      </c>
      <c r="E289" s="62">
        <v>5</v>
      </c>
      <c r="F289" s="89">
        <v>224</v>
      </c>
      <c r="G289" s="89">
        <v>2</v>
      </c>
      <c r="H289" s="62">
        <v>340</v>
      </c>
      <c r="I289" s="62">
        <v>0</v>
      </c>
      <c r="J289" s="62">
        <v>0</v>
      </c>
      <c r="K289" s="62">
        <v>0</v>
      </c>
      <c r="L289" s="62">
        <v>0</v>
      </c>
      <c r="M289" s="62">
        <v>0</v>
      </c>
      <c r="N289" s="62">
        <v>0</v>
      </c>
      <c r="P289" s="120">
        <f t="shared" si="22"/>
        <v>0</v>
      </c>
      <c r="Q289" s="120">
        <f t="shared" si="20"/>
        <v>0</v>
      </c>
      <c r="R289" s="106" t="e">
        <f t="shared" si="21"/>
        <v>#DIV/0!</v>
      </c>
      <c r="S289" s="183" t="str">
        <f>D289</f>
        <v>K-10 Low</v>
      </c>
      <c r="T289" s="65"/>
      <c r="U289" s="65"/>
      <c r="V289" s="65"/>
      <c r="Y289" s="89" t="str">
        <f>D289</f>
        <v>K-10 Low</v>
      </c>
      <c r="Z289" s="351">
        <f>SUMIFS($P$193:$P$252, $D$193:$D$252, Y289, $F$193:$F$252, "&lt;200") + SUMIFS($Q$193:$Q$252, $D$193:$D$252, Y289, $F$193:$F$252, "&lt;200")</f>
        <v>24120</v>
      </c>
      <c r="AA289" s="120">
        <f>SUM(P289:Q292)</f>
        <v>23150</v>
      </c>
      <c r="AB289" s="120">
        <f>SUMIFS(Collection!O:O, Collection!B:B, "*" &amp; 'Bucket Counts'!Y289 &amp; "*", Collection!A:A, "&lt;" &amp; 'Bucket Counts'!A289,Collection!A:A,  "&gt;=" &amp; 'Bucket Counts'!$A$193)</f>
        <v>0</v>
      </c>
      <c r="AC289" s="106">
        <f>AA289/(Z289+AB289)</f>
        <v>0.95978441127694858</v>
      </c>
    </row>
    <row r="290" spans="1:29" s="62" customFormat="1">
      <c r="A290" s="59">
        <v>42901</v>
      </c>
      <c r="B290" s="60"/>
      <c r="C290" s="60"/>
      <c r="D290" s="62" t="s">
        <v>20</v>
      </c>
      <c r="E290" s="62">
        <v>5</v>
      </c>
      <c r="F290" s="89">
        <v>180</v>
      </c>
      <c r="G290" s="89">
        <v>2</v>
      </c>
      <c r="H290" s="62">
        <v>350</v>
      </c>
      <c r="I290" s="62">
        <v>7</v>
      </c>
      <c r="J290" s="62">
        <v>0</v>
      </c>
      <c r="K290" s="62">
        <v>3</v>
      </c>
      <c r="L290" s="62">
        <v>0</v>
      </c>
      <c r="M290" s="62">
        <v>3</v>
      </c>
      <c r="N290" s="62">
        <v>1</v>
      </c>
      <c r="P290" s="120">
        <f t="shared" si="22"/>
        <v>758.33333333333326</v>
      </c>
      <c r="Q290" s="120">
        <f t="shared" si="20"/>
        <v>58.333333333333329</v>
      </c>
      <c r="R290" s="106">
        <f t="shared" si="21"/>
        <v>0.92857142857142849</v>
      </c>
      <c r="S290" s="181">
        <f>(SUM(P289:P292)/(SUM(P289:Q292)))</f>
        <v>0.16666666666666666</v>
      </c>
      <c r="T290" s="65"/>
      <c r="U290" s="65"/>
      <c r="V290" s="65"/>
      <c r="Y290" s="89"/>
      <c r="Z290" s="357"/>
      <c r="AA290" s="120"/>
      <c r="AB290" s="120"/>
    </row>
    <row r="291" spans="1:29" s="62" customFormat="1">
      <c r="A291" s="59">
        <v>42901</v>
      </c>
      <c r="B291" s="60"/>
      <c r="C291" s="60"/>
      <c r="D291" s="62" t="s">
        <v>20</v>
      </c>
      <c r="E291" s="62">
        <v>5</v>
      </c>
      <c r="F291" s="89">
        <v>100</v>
      </c>
      <c r="G291" s="89">
        <v>2</v>
      </c>
      <c r="H291" s="62">
        <v>350</v>
      </c>
      <c r="I291" s="62">
        <v>14</v>
      </c>
      <c r="J291" s="62">
        <v>5</v>
      </c>
      <c r="K291" s="62">
        <v>13</v>
      </c>
      <c r="L291" s="62">
        <v>1</v>
      </c>
      <c r="M291" s="62">
        <v>17</v>
      </c>
      <c r="N291" s="62">
        <v>6</v>
      </c>
      <c r="P291" s="120">
        <f t="shared" si="22"/>
        <v>2566.6666666666665</v>
      </c>
      <c r="Q291" s="120">
        <f t="shared" si="20"/>
        <v>700</v>
      </c>
      <c r="R291" s="106">
        <f t="shared" si="21"/>
        <v>0.7857142857142857</v>
      </c>
      <c r="S291" s="182"/>
      <c r="T291" s="65"/>
      <c r="U291" s="65"/>
      <c r="V291" s="65"/>
      <c r="Y291" s="89"/>
      <c r="Z291" s="357"/>
      <c r="AA291" s="120"/>
      <c r="AB291" s="120"/>
    </row>
    <row r="292" spans="1:29" s="62" customFormat="1">
      <c r="A292" s="59">
        <v>42901</v>
      </c>
      <c r="B292" s="60"/>
      <c r="C292" s="60"/>
      <c r="D292" s="62" t="s">
        <v>20</v>
      </c>
      <c r="E292" s="62">
        <v>5</v>
      </c>
      <c r="F292" s="89" t="s">
        <v>203</v>
      </c>
      <c r="G292" s="89">
        <v>1</v>
      </c>
      <c r="H292" s="62">
        <v>400</v>
      </c>
      <c r="I292" s="62">
        <v>0</v>
      </c>
      <c r="J292" s="62">
        <v>29</v>
      </c>
      <c r="K292" s="62">
        <v>1</v>
      </c>
      <c r="L292" s="62">
        <v>70</v>
      </c>
      <c r="M292" s="62">
        <v>3</v>
      </c>
      <c r="N292" s="62">
        <v>40</v>
      </c>
      <c r="P292" s="120">
        <f t="shared" si="22"/>
        <v>533.33333333333326</v>
      </c>
      <c r="Q292" s="120">
        <f t="shared" ref="Q292:Q355" si="23">(AVERAGE(J292,L292,N292)/G292)*H292</f>
        <v>18533.333333333336</v>
      </c>
      <c r="R292" s="106">
        <f t="shared" ref="R292:R355" si="24">P292/(P292+Q292)</f>
        <v>2.7972027972027965E-2</v>
      </c>
      <c r="S292" s="182"/>
      <c r="T292" s="65"/>
      <c r="U292" s="65"/>
      <c r="V292" s="65"/>
      <c r="Y292" s="89"/>
      <c r="Z292" s="357"/>
      <c r="AA292" s="120"/>
      <c r="AB292" s="120"/>
    </row>
    <row r="293" spans="1:29" s="62" customFormat="1">
      <c r="A293" s="59">
        <v>42901</v>
      </c>
      <c r="B293" s="60"/>
      <c r="C293" s="60"/>
      <c r="D293" s="62" t="s">
        <v>87</v>
      </c>
      <c r="E293" s="62">
        <v>6</v>
      </c>
      <c r="F293" s="89">
        <v>224</v>
      </c>
      <c r="G293" s="89">
        <v>1</v>
      </c>
      <c r="H293" s="62">
        <v>350</v>
      </c>
      <c r="I293" s="62">
        <v>1</v>
      </c>
      <c r="J293" s="62">
        <v>0</v>
      </c>
      <c r="K293" s="62">
        <v>1</v>
      </c>
      <c r="L293" s="62">
        <v>0</v>
      </c>
      <c r="M293" s="62">
        <v>1</v>
      </c>
      <c r="N293" s="62">
        <v>0</v>
      </c>
      <c r="P293" s="120">
        <f t="shared" si="22"/>
        <v>350</v>
      </c>
      <c r="Q293" s="120">
        <f t="shared" si="23"/>
        <v>0</v>
      </c>
      <c r="R293" s="106">
        <f t="shared" si="24"/>
        <v>1</v>
      </c>
      <c r="S293" s="183" t="str">
        <f>D293</f>
        <v>SN-6 Ambient</v>
      </c>
      <c r="T293" s="65"/>
      <c r="U293" s="65"/>
      <c r="V293" s="65"/>
      <c r="Y293" s="89" t="str">
        <f>D293</f>
        <v>SN-6 Ambient</v>
      </c>
      <c r="Z293" s="351">
        <f>SUMIFS($P$193:$P$252, $D$193:$D$252, Y293, $F$193:$F$252, "&lt;200") + SUMIFS($Q$193:$Q$252, $D$193:$D$252, Y293, $F$193:$F$252, "&lt;200")</f>
        <v>37833.333333333336</v>
      </c>
      <c r="AA293" s="120">
        <f>SUM(P293:Q296)</f>
        <v>40668.333333333336</v>
      </c>
      <c r="AB293" s="120">
        <f>SUMIFS(Collection!O:O, Collection!B:B, "*" &amp; 'Bucket Counts'!Y293 &amp; "*", Collection!A:A, "&lt;" &amp; 'Bucket Counts'!A293,Collection!A:A,  "&gt;=" &amp; 'Bucket Counts'!$A$193)</f>
        <v>0</v>
      </c>
      <c r="AC293" s="106">
        <f>AA293/(Z293+AB293)</f>
        <v>1.0749339207048458</v>
      </c>
    </row>
    <row r="294" spans="1:29" s="62" customFormat="1">
      <c r="A294" s="59">
        <v>42901</v>
      </c>
      <c r="B294" s="60"/>
      <c r="C294" s="60"/>
      <c r="D294" s="62" t="s">
        <v>87</v>
      </c>
      <c r="E294" s="62">
        <v>6</v>
      </c>
      <c r="F294" s="89">
        <v>180</v>
      </c>
      <c r="G294" s="89">
        <v>1</v>
      </c>
      <c r="H294" s="62">
        <v>510</v>
      </c>
      <c r="I294" s="62">
        <v>50</v>
      </c>
      <c r="J294" s="62">
        <v>0</v>
      </c>
      <c r="L294" s="62">
        <v>49</v>
      </c>
      <c r="M294" s="62">
        <v>0</v>
      </c>
      <c r="N294" s="62">
        <v>54</v>
      </c>
      <c r="P294" s="120">
        <f>(AVERAGE(I294,K294,M294)/G294)*H294</f>
        <v>12750</v>
      </c>
      <c r="Q294" s="120">
        <f t="shared" si="23"/>
        <v>17510</v>
      </c>
      <c r="R294" s="106">
        <f t="shared" si="24"/>
        <v>0.42134831460674155</v>
      </c>
      <c r="S294" s="181">
        <f>(SUM(P293:P296)/(SUM(P293:Q296)))</f>
        <v>0.53665833367484927</v>
      </c>
      <c r="T294" s="65"/>
      <c r="U294" s="65"/>
      <c r="V294" s="65"/>
      <c r="Y294" s="89"/>
      <c r="Z294" s="357"/>
      <c r="AA294" s="120"/>
      <c r="AB294" s="120"/>
    </row>
    <row r="295" spans="1:29" s="62" customFormat="1">
      <c r="A295" s="59">
        <v>42901</v>
      </c>
      <c r="B295" s="60"/>
      <c r="C295" s="60"/>
      <c r="D295" s="62" t="s">
        <v>87</v>
      </c>
      <c r="E295" s="62">
        <v>6</v>
      </c>
      <c r="F295" s="89">
        <v>100</v>
      </c>
      <c r="G295" s="89">
        <v>1</v>
      </c>
      <c r="H295" s="62">
        <v>425</v>
      </c>
      <c r="I295" s="62">
        <v>23</v>
      </c>
      <c r="J295" s="62">
        <v>1</v>
      </c>
      <c r="K295" s="62">
        <v>15</v>
      </c>
      <c r="L295" s="62">
        <v>1</v>
      </c>
      <c r="M295" s="62">
        <v>17</v>
      </c>
      <c r="N295" s="62">
        <v>0</v>
      </c>
      <c r="P295" s="120">
        <f t="shared" si="22"/>
        <v>7791.6666666666661</v>
      </c>
      <c r="Q295" s="120">
        <f t="shared" si="23"/>
        <v>283.33333333333331</v>
      </c>
      <c r="R295" s="106">
        <f t="shared" si="24"/>
        <v>0.96491228070175439</v>
      </c>
      <c r="S295" s="182"/>
      <c r="T295" s="65"/>
      <c r="U295" s="65"/>
      <c r="V295" s="65"/>
      <c r="Y295" s="89"/>
      <c r="Z295" s="357"/>
      <c r="AA295" s="120"/>
      <c r="AB295" s="120"/>
    </row>
    <row r="296" spans="1:29" s="62" customFormat="1">
      <c r="A296" s="59">
        <v>42901</v>
      </c>
      <c r="B296" s="60"/>
      <c r="C296" s="60"/>
      <c r="D296" s="62" t="s">
        <v>87</v>
      </c>
      <c r="E296" s="62">
        <v>6</v>
      </c>
      <c r="F296" s="89" t="s">
        <v>203</v>
      </c>
      <c r="G296" s="89">
        <v>1</v>
      </c>
      <c r="H296" s="62">
        <v>350</v>
      </c>
      <c r="I296" s="62">
        <v>3</v>
      </c>
      <c r="J296" s="62">
        <v>1</v>
      </c>
      <c r="K296" s="62">
        <v>1</v>
      </c>
      <c r="L296" s="62">
        <v>5</v>
      </c>
      <c r="M296" s="62">
        <v>4</v>
      </c>
      <c r="N296" s="62">
        <v>3</v>
      </c>
      <c r="P296" s="120">
        <f t="shared" si="22"/>
        <v>933.33333333333326</v>
      </c>
      <c r="Q296" s="120">
        <f t="shared" si="23"/>
        <v>1050</v>
      </c>
      <c r="R296" s="106">
        <f t="shared" si="24"/>
        <v>0.47058823529411764</v>
      </c>
      <c r="S296" s="182"/>
      <c r="T296" s="65"/>
      <c r="U296" s="65"/>
      <c r="V296" s="65"/>
      <c r="Y296" s="89"/>
      <c r="Z296" s="357"/>
      <c r="AA296" s="120"/>
      <c r="AB296" s="120"/>
    </row>
    <row r="297" spans="1:29" s="62" customFormat="1">
      <c r="A297" s="59">
        <v>42901</v>
      </c>
      <c r="B297" s="60"/>
      <c r="C297" s="60"/>
      <c r="D297" s="62" t="s">
        <v>88</v>
      </c>
      <c r="E297" s="62">
        <v>6</v>
      </c>
      <c r="F297" s="89">
        <v>224</v>
      </c>
      <c r="G297" s="89">
        <v>1</v>
      </c>
      <c r="H297" s="62">
        <v>325</v>
      </c>
      <c r="I297" s="62">
        <v>2</v>
      </c>
      <c r="J297" s="62">
        <v>0</v>
      </c>
      <c r="K297" s="62">
        <v>8</v>
      </c>
      <c r="L297" s="62">
        <v>0</v>
      </c>
      <c r="M297" s="62">
        <v>4</v>
      </c>
      <c r="N297" s="62">
        <v>0</v>
      </c>
      <c r="P297" s="120">
        <f t="shared" si="22"/>
        <v>1516.6666666666667</v>
      </c>
      <c r="Q297" s="120">
        <f t="shared" si="23"/>
        <v>0</v>
      </c>
      <c r="R297" s="106">
        <f t="shared" si="24"/>
        <v>1</v>
      </c>
      <c r="S297" s="183" t="str">
        <f>D297</f>
        <v>HL-10 Ambient</v>
      </c>
      <c r="T297" s="65"/>
      <c r="U297" s="65"/>
      <c r="V297" s="65"/>
      <c r="Y297" s="89" t="str">
        <f>D297</f>
        <v>HL-10 Ambient</v>
      </c>
      <c r="Z297" s="351">
        <f>SUMIFS($P$193:$P$252, $D$193:$D$252, Y297, $F$193:$F$252, "&lt;200") + SUMIFS($Q$193:$Q$252, $D$193:$D$252, Y297, $F$193:$F$252, "&lt;200")</f>
        <v>72909.999999999985</v>
      </c>
      <c r="AA297" s="120">
        <f>SUM(P297:Q300)</f>
        <v>79940</v>
      </c>
      <c r="AB297" s="120">
        <f>SUMIFS(Collection!O:O, Collection!B:B, "*" &amp; 'Bucket Counts'!Y297 &amp; "*", Collection!A:A, "&lt;" &amp; 'Bucket Counts'!A297,Collection!A:A,  "&gt;=" &amp; 'Bucket Counts'!$A$193)</f>
        <v>0</v>
      </c>
      <c r="AC297" s="106">
        <f>AA297/(Z297+AB297)</f>
        <v>1.0964202441366071</v>
      </c>
    </row>
    <row r="298" spans="1:29" s="62" customFormat="1">
      <c r="A298" s="59">
        <v>42901</v>
      </c>
      <c r="B298" s="60"/>
      <c r="C298" s="60"/>
      <c r="D298" s="62" t="s">
        <v>88</v>
      </c>
      <c r="E298" s="62">
        <v>6</v>
      </c>
      <c r="F298" s="89">
        <v>180</v>
      </c>
      <c r="G298" s="89">
        <v>1</v>
      </c>
      <c r="H298" s="62">
        <v>600</v>
      </c>
      <c r="I298" s="62">
        <v>58</v>
      </c>
      <c r="J298" s="62">
        <v>0</v>
      </c>
      <c r="K298" s="62">
        <v>70</v>
      </c>
      <c r="L298" s="62">
        <v>2</v>
      </c>
      <c r="M298" s="62">
        <v>66</v>
      </c>
      <c r="N298" s="62">
        <v>1</v>
      </c>
      <c r="P298" s="120">
        <f t="shared" si="22"/>
        <v>38800</v>
      </c>
      <c r="Q298" s="120">
        <f t="shared" si="23"/>
        <v>600</v>
      </c>
      <c r="R298" s="106">
        <f t="shared" si="24"/>
        <v>0.98477157360406087</v>
      </c>
      <c r="S298" s="181">
        <f>(SUM(P297:P300)/(SUM(P297:Q300)))</f>
        <v>0.65169710616295551</v>
      </c>
      <c r="T298" s="65"/>
      <c r="U298" s="65"/>
      <c r="V298" s="65"/>
      <c r="Y298" s="89"/>
      <c r="Z298" s="357"/>
      <c r="AA298" s="120"/>
      <c r="AB298" s="120"/>
    </row>
    <row r="299" spans="1:29" s="62" customFormat="1">
      <c r="A299" s="59">
        <v>42901</v>
      </c>
      <c r="B299" s="60"/>
      <c r="C299" s="60"/>
      <c r="D299" s="62" t="s">
        <v>88</v>
      </c>
      <c r="E299" s="62">
        <v>6</v>
      </c>
      <c r="F299" s="89">
        <v>100</v>
      </c>
      <c r="G299" s="89">
        <v>1</v>
      </c>
      <c r="H299" s="62">
        <v>420</v>
      </c>
      <c r="I299" s="62">
        <v>22</v>
      </c>
      <c r="J299" s="62">
        <v>1</v>
      </c>
      <c r="K299" s="62">
        <v>17</v>
      </c>
      <c r="L299" s="62">
        <v>0</v>
      </c>
      <c r="M299" s="62">
        <v>25</v>
      </c>
      <c r="N299" s="62">
        <v>0</v>
      </c>
      <c r="P299" s="120">
        <f t="shared" si="22"/>
        <v>8960</v>
      </c>
      <c r="Q299" s="120">
        <f t="shared" si="23"/>
        <v>140</v>
      </c>
      <c r="R299" s="106">
        <f t="shared" si="24"/>
        <v>0.98461538461538467</v>
      </c>
      <c r="S299" s="182"/>
      <c r="T299" s="65"/>
      <c r="U299" s="65"/>
      <c r="V299" s="65"/>
      <c r="Y299" s="89"/>
      <c r="Z299" s="357"/>
      <c r="AA299" s="120"/>
      <c r="AB299" s="120"/>
    </row>
    <row r="300" spans="1:29" s="62" customFormat="1">
      <c r="A300" s="59">
        <v>42901</v>
      </c>
      <c r="B300" s="60"/>
      <c r="C300" s="60"/>
      <c r="D300" s="62" t="s">
        <v>88</v>
      </c>
      <c r="E300" s="62">
        <v>6</v>
      </c>
      <c r="F300" s="89" t="s">
        <v>203</v>
      </c>
      <c r="G300" s="89">
        <v>1</v>
      </c>
      <c r="H300" s="62">
        <v>470</v>
      </c>
      <c r="I300" s="62">
        <v>4</v>
      </c>
      <c r="J300" s="62">
        <v>63</v>
      </c>
      <c r="K300" s="62">
        <v>8</v>
      </c>
      <c r="L300" s="62">
        <v>54</v>
      </c>
      <c r="M300" s="62">
        <v>6</v>
      </c>
      <c r="N300" s="62">
        <v>56</v>
      </c>
      <c r="P300" s="120">
        <f t="shared" si="22"/>
        <v>2820</v>
      </c>
      <c r="Q300" s="120">
        <f t="shared" si="23"/>
        <v>27103.333333333332</v>
      </c>
      <c r="R300" s="106">
        <f t="shared" si="24"/>
        <v>9.4240837696335081E-2</v>
      </c>
      <c r="S300" s="182"/>
      <c r="T300" s="65"/>
      <c r="U300" s="65"/>
      <c r="V300" s="65"/>
      <c r="Y300" s="89"/>
      <c r="Z300" s="357"/>
      <c r="AA300" s="120"/>
      <c r="AB300" s="120"/>
    </row>
    <row r="301" spans="1:29" s="62" customFormat="1">
      <c r="A301" s="59">
        <v>42901</v>
      </c>
      <c r="B301" s="60"/>
      <c r="C301" s="60"/>
      <c r="D301" s="62" t="s">
        <v>109</v>
      </c>
      <c r="E301" s="62">
        <v>7</v>
      </c>
      <c r="F301" s="89">
        <v>224</v>
      </c>
      <c r="G301" s="89">
        <v>1</v>
      </c>
      <c r="H301" s="62">
        <v>525</v>
      </c>
      <c r="I301" s="62">
        <v>9</v>
      </c>
      <c r="J301" s="62">
        <v>0</v>
      </c>
      <c r="K301" s="62">
        <v>12</v>
      </c>
      <c r="L301" s="62">
        <v>0</v>
      </c>
      <c r="M301" s="62">
        <v>11</v>
      </c>
      <c r="N301" s="62">
        <v>0</v>
      </c>
      <c r="P301" s="120">
        <f t="shared" si="22"/>
        <v>5600</v>
      </c>
      <c r="Q301" s="120">
        <f t="shared" si="23"/>
        <v>0</v>
      </c>
      <c r="R301" s="106">
        <f t="shared" si="24"/>
        <v>1</v>
      </c>
      <c r="S301" s="183" t="str">
        <f>D301</f>
        <v>HL-10 Low</v>
      </c>
      <c r="T301" s="65"/>
      <c r="U301" s="65"/>
      <c r="V301" s="65"/>
      <c r="Y301" s="89" t="str">
        <f>D301</f>
        <v>HL-10 Low</v>
      </c>
      <c r="Z301" s="351">
        <f>SUMIFS($P$193:$P$252, $D$193:$D$252, Y301, $F$193:$F$252, "&lt;200") + SUMIFS($Q$193:$Q$252, $D$193:$D$252, Y301, $F$193:$F$252, "&lt;200")</f>
        <v>82666.666666666672</v>
      </c>
      <c r="AA301" s="120">
        <f>SUM(P301:Q304)</f>
        <v>155225</v>
      </c>
      <c r="AB301" s="120">
        <f>SUMIFS(Collection!O:O, Collection!B:B, "*" &amp; 'Bucket Counts'!Y301 &amp; "*", Collection!A:A, "&lt;" &amp; 'Bucket Counts'!A301,Collection!A:A,  "&gt;=" &amp; 'Bucket Counts'!$A$193)</f>
        <v>53333.333333333336</v>
      </c>
      <c r="AC301" s="106">
        <f>AA301/(Z301+AB301)</f>
        <v>1.1413602941176471</v>
      </c>
    </row>
    <row r="302" spans="1:29" s="62" customFormat="1">
      <c r="A302" s="59">
        <v>42901</v>
      </c>
      <c r="B302" s="60"/>
      <c r="C302" s="60"/>
      <c r="D302" s="62" t="s">
        <v>109</v>
      </c>
      <c r="E302" s="62">
        <v>7</v>
      </c>
      <c r="F302" s="89">
        <v>180</v>
      </c>
      <c r="G302" s="89">
        <v>1</v>
      </c>
      <c r="H302" s="62">
        <v>625</v>
      </c>
      <c r="I302" s="62">
        <v>73</v>
      </c>
      <c r="J302" s="62">
        <v>0</v>
      </c>
      <c r="K302" s="62">
        <v>82</v>
      </c>
      <c r="L302" s="62">
        <v>0</v>
      </c>
      <c r="M302" s="62">
        <v>72</v>
      </c>
      <c r="N302" s="62">
        <v>0</v>
      </c>
      <c r="P302" s="120">
        <f t="shared" si="22"/>
        <v>47291.666666666672</v>
      </c>
      <c r="Q302" s="120">
        <f t="shared" si="23"/>
        <v>0</v>
      </c>
      <c r="R302" s="106">
        <f t="shared" si="24"/>
        <v>1</v>
      </c>
      <c r="S302" s="181">
        <f>(SUM(P301:P304)/(SUM(P301:Q304)))</f>
        <v>0.85204273366618355</v>
      </c>
      <c r="T302" s="65"/>
      <c r="U302" s="65"/>
      <c r="V302" s="65"/>
      <c r="Y302" s="89"/>
      <c r="Z302" s="357"/>
      <c r="AA302" s="120"/>
      <c r="AB302" s="120"/>
    </row>
    <row r="303" spans="1:29" s="62" customFormat="1">
      <c r="A303" s="59">
        <v>42901</v>
      </c>
      <c r="B303" s="60"/>
      <c r="C303" s="60"/>
      <c r="D303" s="62" t="s">
        <v>109</v>
      </c>
      <c r="E303" s="62">
        <v>7</v>
      </c>
      <c r="F303" s="89">
        <v>100</v>
      </c>
      <c r="G303" s="89">
        <v>1</v>
      </c>
      <c r="H303" s="62">
        <v>500</v>
      </c>
      <c r="I303" s="62">
        <v>141</v>
      </c>
      <c r="J303" s="62">
        <v>3</v>
      </c>
      <c r="K303" s="62">
        <v>153</v>
      </c>
      <c r="L303" s="62">
        <v>3</v>
      </c>
      <c r="M303" s="62">
        <v>175</v>
      </c>
      <c r="N303" s="62">
        <v>4</v>
      </c>
      <c r="P303" s="120">
        <f t="shared" si="22"/>
        <v>78166.666666666672</v>
      </c>
      <c r="Q303" s="120">
        <f t="shared" si="23"/>
        <v>1666.6666666666667</v>
      </c>
      <c r="R303" s="106">
        <f t="shared" si="24"/>
        <v>0.97912317327766174</v>
      </c>
      <c r="S303" s="182"/>
      <c r="T303" s="65"/>
      <c r="U303" s="65"/>
      <c r="V303" s="65"/>
      <c r="Y303" s="89"/>
      <c r="Z303" s="357"/>
      <c r="AA303" s="120"/>
      <c r="AB303" s="120"/>
    </row>
    <row r="304" spans="1:29" s="62" customFormat="1">
      <c r="A304" s="59">
        <v>42901</v>
      </c>
      <c r="B304" s="60"/>
      <c r="C304" s="60"/>
      <c r="D304" s="62" t="s">
        <v>109</v>
      </c>
      <c r="E304" s="62">
        <v>7</v>
      </c>
      <c r="F304" s="89" t="s">
        <v>203</v>
      </c>
      <c r="G304" s="89">
        <v>1</v>
      </c>
      <c r="H304" s="62">
        <v>450</v>
      </c>
      <c r="I304" s="62">
        <v>3</v>
      </c>
      <c r="J304" s="62">
        <v>44</v>
      </c>
      <c r="K304" s="62">
        <v>1</v>
      </c>
      <c r="L304" s="62">
        <v>39</v>
      </c>
      <c r="M304" s="62">
        <v>4</v>
      </c>
      <c r="N304" s="62">
        <v>59</v>
      </c>
      <c r="P304" s="120">
        <f t="shared" si="22"/>
        <v>1200</v>
      </c>
      <c r="Q304" s="120">
        <f t="shared" si="23"/>
        <v>21300</v>
      </c>
      <c r="R304" s="106">
        <f t="shared" si="24"/>
        <v>5.3333333333333337E-2</v>
      </c>
      <c r="S304" s="182"/>
      <c r="T304" s="65"/>
      <c r="U304" s="65"/>
      <c r="V304" s="65"/>
      <c r="Y304" s="89"/>
      <c r="Z304" s="357"/>
      <c r="AA304" s="120"/>
      <c r="AB304" s="120"/>
    </row>
    <row r="305" spans="1:30" s="62" customFormat="1">
      <c r="A305" s="59">
        <v>42901</v>
      </c>
      <c r="B305" s="60"/>
      <c r="C305" s="60"/>
      <c r="D305" s="62" t="s">
        <v>17</v>
      </c>
      <c r="E305" s="62">
        <v>7</v>
      </c>
      <c r="F305" s="89">
        <v>224</v>
      </c>
      <c r="G305" s="89">
        <v>1</v>
      </c>
      <c r="H305" s="62">
        <v>450</v>
      </c>
      <c r="I305" s="62">
        <v>4</v>
      </c>
      <c r="J305" s="62">
        <v>0</v>
      </c>
      <c r="K305" s="62">
        <v>8</v>
      </c>
      <c r="L305" s="62">
        <v>0</v>
      </c>
      <c r="M305" s="62">
        <v>3</v>
      </c>
      <c r="N305" s="62">
        <v>0</v>
      </c>
      <c r="P305" s="120">
        <f t="shared" si="22"/>
        <v>2250</v>
      </c>
      <c r="Q305" s="120">
        <f t="shared" si="23"/>
        <v>0</v>
      </c>
      <c r="R305" s="106">
        <f t="shared" si="24"/>
        <v>1</v>
      </c>
      <c r="S305" s="183" t="str">
        <f>D305</f>
        <v>K-10 Ambient</v>
      </c>
      <c r="T305" s="65"/>
      <c r="U305" s="65"/>
      <c r="V305" s="65"/>
      <c r="Y305" s="89" t="str">
        <f>D305</f>
        <v>K-10 Ambient</v>
      </c>
      <c r="Z305" s="351">
        <f>SUMIFS($P$193:$P$252, $D$193:$D$252, Y305, $F$193:$F$252, "&lt;200") + SUMIFS($Q$193:$Q$252, $D$193:$D$252, Y305, $F$193:$F$252, "&lt;200")</f>
        <v>62946.666666666664</v>
      </c>
      <c r="AA305" s="120">
        <f>SUM(P305:Q308)</f>
        <v>71141.666666666672</v>
      </c>
      <c r="AB305" s="120">
        <f>SUMIFS(Collection!O:O, Collection!B:B, "*" &amp; 'Bucket Counts'!Y305 &amp; "*", Collection!A:A, "&lt;" &amp; 'Bucket Counts'!A305,Collection!A:A,  "&gt;=" &amp; 'Bucket Counts'!$A$193)</f>
        <v>0</v>
      </c>
      <c r="AC305" s="106">
        <f>AA305/(Z305+AB305)</f>
        <v>1.1301895784791358</v>
      </c>
    </row>
    <row r="306" spans="1:30" s="62" customFormat="1">
      <c r="A306" s="59">
        <v>42901</v>
      </c>
      <c r="B306" s="60"/>
      <c r="C306" s="60"/>
      <c r="D306" s="62" t="s">
        <v>17</v>
      </c>
      <c r="E306" s="62">
        <v>7</v>
      </c>
      <c r="F306" s="89">
        <v>180</v>
      </c>
      <c r="G306" s="89">
        <v>1</v>
      </c>
      <c r="H306" s="62">
        <v>500</v>
      </c>
      <c r="I306" s="62">
        <v>63</v>
      </c>
      <c r="J306" s="62">
        <v>4</v>
      </c>
      <c r="K306" s="62">
        <v>39</v>
      </c>
      <c r="L306" s="62">
        <v>1</v>
      </c>
      <c r="M306" s="62">
        <v>50</v>
      </c>
      <c r="N306" s="62">
        <v>3</v>
      </c>
      <c r="P306" s="120">
        <f t="shared" si="22"/>
        <v>25333.333333333332</v>
      </c>
      <c r="Q306" s="120">
        <f t="shared" si="23"/>
        <v>1333.3333333333333</v>
      </c>
      <c r="R306" s="106">
        <f t="shared" si="24"/>
        <v>0.95000000000000007</v>
      </c>
      <c r="S306" s="181">
        <f>(SUM(P305:P308)/(SUM(P305:Q308)))</f>
        <v>0.76490570458006313</v>
      </c>
      <c r="T306" s="65"/>
      <c r="U306" s="65"/>
      <c r="V306" s="65"/>
      <c r="Y306" s="89"/>
      <c r="Z306" s="357"/>
      <c r="AA306" s="120"/>
      <c r="AB306" s="120"/>
    </row>
    <row r="307" spans="1:30" s="62" customFormat="1">
      <c r="A307" s="59">
        <v>42901</v>
      </c>
      <c r="B307" s="60"/>
      <c r="C307" s="60"/>
      <c r="D307" s="62" t="s">
        <v>17</v>
      </c>
      <c r="E307" s="62">
        <v>7</v>
      </c>
      <c r="F307" s="89">
        <v>100</v>
      </c>
      <c r="G307" s="89">
        <v>1</v>
      </c>
      <c r="H307" s="62">
        <v>500</v>
      </c>
      <c r="I307" s="62">
        <v>53</v>
      </c>
      <c r="J307" s="62">
        <v>3</v>
      </c>
      <c r="K307" s="62">
        <v>58</v>
      </c>
      <c r="L307" s="62">
        <v>5</v>
      </c>
      <c r="M307" s="62">
        <v>50</v>
      </c>
      <c r="N307" s="62">
        <v>7</v>
      </c>
      <c r="P307" s="120">
        <f t="shared" si="22"/>
        <v>26833.333333333332</v>
      </c>
      <c r="Q307" s="120">
        <f t="shared" si="23"/>
        <v>2500</v>
      </c>
      <c r="R307" s="106">
        <f t="shared" si="24"/>
        <v>0.91477272727272729</v>
      </c>
      <c r="S307" s="182"/>
      <c r="T307" s="65"/>
      <c r="U307" s="65"/>
      <c r="V307" s="65"/>
      <c r="Y307" s="89"/>
      <c r="Z307" s="357"/>
      <c r="AA307" s="120"/>
      <c r="AB307" s="120"/>
    </row>
    <row r="308" spans="1:30" s="62" customFormat="1">
      <c r="A308" s="59">
        <v>42901</v>
      </c>
      <c r="B308" s="60"/>
      <c r="C308" s="60"/>
      <c r="D308" s="62" t="s">
        <v>17</v>
      </c>
      <c r="E308" s="62">
        <v>7</v>
      </c>
      <c r="F308" s="89" t="s">
        <v>203</v>
      </c>
      <c r="G308" s="89">
        <v>1</v>
      </c>
      <c r="H308" s="62">
        <v>425</v>
      </c>
      <c r="I308" s="62">
        <v>0</v>
      </c>
      <c r="J308" s="62">
        <v>28</v>
      </c>
      <c r="K308" s="62">
        <v>0</v>
      </c>
      <c r="L308" s="62">
        <v>20</v>
      </c>
      <c r="M308" s="62">
        <v>0</v>
      </c>
      <c r="N308" s="62">
        <v>43</v>
      </c>
      <c r="P308" s="120">
        <f t="shared" si="22"/>
        <v>0</v>
      </c>
      <c r="Q308" s="120">
        <f t="shared" si="23"/>
        <v>12891.666666666666</v>
      </c>
      <c r="R308" s="106">
        <f t="shared" si="24"/>
        <v>0</v>
      </c>
      <c r="S308" s="182"/>
      <c r="T308" s="65"/>
      <c r="U308" s="65"/>
      <c r="V308" s="65"/>
      <c r="Y308" s="89"/>
      <c r="Z308" s="357"/>
      <c r="AA308" s="120"/>
      <c r="AB308" s="120"/>
    </row>
    <row r="309" spans="1:30" s="62" customFormat="1">
      <c r="A309" s="59">
        <v>42901</v>
      </c>
      <c r="B309" s="60"/>
      <c r="C309" s="60"/>
      <c r="D309" s="62" t="s">
        <v>38</v>
      </c>
      <c r="E309" s="62">
        <v>8</v>
      </c>
      <c r="F309" s="89">
        <v>224</v>
      </c>
      <c r="G309" s="89">
        <v>1</v>
      </c>
      <c r="H309" s="62">
        <v>525</v>
      </c>
      <c r="I309" s="62">
        <v>5</v>
      </c>
      <c r="J309" s="62">
        <v>0</v>
      </c>
      <c r="K309" s="62">
        <v>10</v>
      </c>
      <c r="L309" s="62">
        <v>0</v>
      </c>
      <c r="M309" s="62">
        <v>8</v>
      </c>
      <c r="N309" s="62">
        <v>0</v>
      </c>
      <c r="P309" s="120">
        <f t="shared" si="22"/>
        <v>4025</v>
      </c>
      <c r="Q309" s="120">
        <f t="shared" si="23"/>
        <v>0</v>
      </c>
      <c r="R309" s="106">
        <f t="shared" si="24"/>
        <v>1</v>
      </c>
      <c r="S309" s="183" t="str">
        <f>D309</f>
        <v>K-6 Ambient</v>
      </c>
      <c r="T309" s="65"/>
      <c r="U309" s="65"/>
      <c r="V309" s="65"/>
      <c r="Y309" s="89" t="str">
        <f>D309</f>
        <v>K-6 Ambient</v>
      </c>
      <c r="Z309" s="351">
        <f>SUMIFS($P$193:$P$252, $D$193:$D$252, Y309, $F$193:$F$252, "&lt;200") + SUMIFS($Q$193:$Q$252, $D$193:$D$252, Y309, $F$193:$F$252, "&lt;200")</f>
        <v>90480</v>
      </c>
      <c r="AA309" s="120">
        <f>SUM(P309:Q312)</f>
        <v>102624.99999999999</v>
      </c>
      <c r="AB309" s="120">
        <f>SUMIFS(Collection!O:O, Collection!B:B, "*" &amp; 'Bucket Counts'!Y309 &amp; "*", Collection!A:A, "&lt;" &amp; 'Bucket Counts'!A309,Collection!A:A,  "&gt;=" &amp; 'Bucket Counts'!$A$193)</f>
        <v>4200</v>
      </c>
      <c r="AC309" s="106">
        <f>AA309/(Z309+AB309)</f>
        <v>1.0839142374313475</v>
      </c>
    </row>
    <row r="310" spans="1:30" s="62" customFormat="1">
      <c r="A310" s="59">
        <v>42901</v>
      </c>
      <c r="B310" s="60"/>
      <c r="C310" s="60"/>
      <c r="D310" s="62" t="s">
        <v>38</v>
      </c>
      <c r="E310" s="62">
        <v>8</v>
      </c>
      <c r="F310" s="89">
        <v>180</v>
      </c>
      <c r="G310" s="89">
        <v>1</v>
      </c>
      <c r="H310" s="62">
        <v>560</v>
      </c>
      <c r="I310" s="62">
        <v>53</v>
      </c>
      <c r="J310" s="62">
        <v>0</v>
      </c>
      <c r="K310" s="62">
        <v>61</v>
      </c>
      <c r="L310" s="62">
        <v>0</v>
      </c>
      <c r="M310" s="62">
        <v>45</v>
      </c>
      <c r="N310" s="62">
        <v>1</v>
      </c>
      <c r="P310" s="120">
        <f t="shared" si="22"/>
        <v>29680</v>
      </c>
      <c r="Q310" s="120">
        <f t="shared" si="23"/>
        <v>186.66666666666666</v>
      </c>
      <c r="R310" s="106">
        <f t="shared" si="24"/>
        <v>0.99374999999999991</v>
      </c>
      <c r="S310" s="181">
        <f>(SUM(P309:P312)/(SUM(P309:Q312)))</f>
        <v>0.72436865611043444</v>
      </c>
      <c r="T310" s="65"/>
      <c r="Y310" s="89"/>
      <c r="Z310" s="357"/>
      <c r="AA310" s="120"/>
      <c r="AB310" s="120"/>
    </row>
    <row r="311" spans="1:30" s="62" customFormat="1">
      <c r="A311" s="59">
        <v>42901</v>
      </c>
      <c r="B311" s="60"/>
      <c r="C311" s="60"/>
      <c r="D311" s="62" t="s">
        <v>38</v>
      </c>
      <c r="E311" s="62">
        <v>8</v>
      </c>
      <c r="F311" s="89">
        <v>100</v>
      </c>
      <c r="G311" s="89">
        <v>1</v>
      </c>
      <c r="H311" s="62">
        <v>500</v>
      </c>
      <c r="I311" s="62">
        <v>69</v>
      </c>
      <c r="J311" s="62">
        <v>6</v>
      </c>
      <c r="K311" s="62">
        <v>61</v>
      </c>
      <c r="L311" s="62">
        <v>3</v>
      </c>
      <c r="M311" s="62">
        <v>77</v>
      </c>
      <c r="N311" s="62">
        <v>2</v>
      </c>
      <c r="P311" s="120">
        <f t="shared" si="22"/>
        <v>34500</v>
      </c>
      <c r="Q311" s="120">
        <f t="shared" si="23"/>
        <v>1833.3333333333333</v>
      </c>
      <c r="R311" s="106">
        <f t="shared" si="24"/>
        <v>0.94954128440366969</v>
      </c>
      <c r="S311" s="182"/>
      <c r="T311" s="65"/>
      <c r="Y311" s="89"/>
      <c r="Z311" s="357"/>
      <c r="AA311" s="120"/>
      <c r="AB311" s="120"/>
    </row>
    <row r="312" spans="1:30" s="62" customFormat="1">
      <c r="A312" s="59">
        <v>42901</v>
      </c>
      <c r="B312" s="60"/>
      <c r="C312" s="60"/>
      <c r="D312" s="62" t="s">
        <v>38</v>
      </c>
      <c r="E312" s="62">
        <v>8</v>
      </c>
      <c r="F312" s="89" t="s">
        <v>203</v>
      </c>
      <c r="G312" s="89">
        <v>1</v>
      </c>
      <c r="H312" s="62">
        <v>400</v>
      </c>
      <c r="I312" s="62">
        <v>20</v>
      </c>
      <c r="J312" s="62">
        <v>57</v>
      </c>
      <c r="K312" s="62">
        <v>4</v>
      </c>
      <c r="L312" s="62">
        <v>95</v>
      </c>
      <c r="M312" s="62">
        <v>22</v>
      </c>
      <c r="N312" s="62">
        <v>45</v>
      </c>
      <c r="P312" s="120">
        <f t="shared" si="22"/>
        <v>6133.3333333333339</v>
      </c>
      <c r="Q312" s="120">
        <f t="shared" si="23"/>
        <v>26266.666666666668</v>
      </c>
      <c r="R312" s="106">
        <f t="shared" si="24"/>
        <v>0.18930041152263377</v>
      </c>
      <c r="S312" s="182"/>
      <c r="T312" s="65"/>
      <c r="Y312" s="89"/>
      <c r="Z312" s="357"/>
      <c r="AA312" s="120"/>
      <c r="AB312" s="120"/>
    </row>
    <row r="313" spans="1:30" s="62" customFormat="1">
      <c r="A313" s="59">
        <v>42901</v>
      </c>
      <c r="B313" s="60"/>
      <c r="C313" s="60"/>
      <c r="D313" s="61" t="s">
        <v>46</v>
      </c>
      <c r="E313" s="62">
        <v>8</v>
      </c>
      <c r="F313" s="89">
        <v>224</v>
      </c>
      <c r="G313" s="89">
        <v>1</v>
      </c>
      <c r="H313" s="62">
        <v>300</v>
      </c>
      <c r="I313" s="62">
        <v>2</v>
      </c>
      <c r="J313" s="62">
        <v>0</v>
      </c>
      <c r="K313" s="62">
        <v>0</v>
      </c>
      <c r="L313" s="62">
        <v>0</v>
      </c>
      <c r="M313" s="62">
        <v>2</v>
      </c>
      <c r="N313" s="62">
        <v>0</v>
      </c>
      <c r="P313" s="120">
        <f t="shared" si="22"/>
        <v>400</v>
      </c>
      <c r="Q313" s="120">
        <f t="shared" si="23"/>
        <v>0</v>
      </c>
      <c r="R313" s="106">
        <f t="shared" si="24"/>
        <v>1</v>
      </c>
      <c r="S313" s="183" t="str">
        <f>D313</f>
        <v>K-6 Low</v>
      </c>
      <c r="T313" s="65"/>
      <c r="Y313" s="89" t="str">
        <f>D313</f>
        <v>K-6 Low</v>
      </c>
      <c r="Z313" s="351">
        <f>SUMIFS($P$193:$P$252, $D$193:$D$252, Y313, $F$193:$F$252, "&lt;200") + SUMIFS($Q$193:$Q$252, $D$193:$D$252, Y313, $F$193:$F$252, "&lt;200")</f>
        <v>47066.666666666664</v>
      </c>
      <c r="AA313" s="120">
        <f>SUM(P313:Q316)</f>
        <v>35503.333333333336</v>
      </c>
      <c r="AB313" s="120">
        <f>SUMIFS(Collection!O:O, Collection!B:B, "*" &amp; 'Bucket Counts'!Y313 &amp; "*", Collection!A:A, "&lt;" &amp; 'Bucket Counts'!A313,Collection!A:A,  "&gt;=" &amp; 'Bucket Counts'!$A$193)</f>
        <v>0</v>
      </c>
      <c r="AC313" s="106">
        <f>AA313/(Z313+AB313)</f>
        <v>0.7543201133144477</v>
      </c>
    </row>
    <row r="314" spans="1:30" s="62" customFormat="1">
      <c r="A314" s="59">
        <v>42901</v>
      </c>
      <c r="B314" s="60"/>
      <c r="C314" s="60"/>
      <c r="D314" s="61" t="s">
        <v>46</v>
      </c>
      <c r="E314" s="62">
        <v>8</v>
      </c>
      <c r="F314" s="89">
        <v>180</v>
      </c>
      <c r="G314" s="89">
        <v>1</v>
      </c>
      <c r="H314" s="62">
        <v>450</v>
      </c>
      <c r="I314" s="62">
        <v>18</v>
      </c>
      <c r="J314" s="62">
        <v>0</v>
      </c>
      <c r="K314" s="62">
        <v>17</v>
      </c>
      <c r="L314" s="62">
        <v>0</v>
      </c>
      <c r="M314" s="62">
        <v>14</v>
      </c>
      <c r="N314" s="62">
        <v>0</v>
      </c>
      <c r="P314" s="120">
        <f t="shared" si="22"/>
        <v>7349.9999999999991</v>
      </c>
      <c r="Q314" s="120">
        <f t="shared" si="23"/>
        <v>0</v>
      </c>
      <c r="R314" s="106">
        <f t="shared" si="24"/>
        <v>1</v>
      </c>
      <c r="S314" s="181">
        <f>(SUM(P313:P316)/(SUM(P313:Q316)))</f>
        <v>0.93671955684912223</v>
      </c>
      <c r="T314" s="65"/>
      <c r="Y314" s="89"/>
      <c r="Z314" s="357"/>
      <c r="AA314" s="120"/>
      <c r="AB314" s="120"/>
    </row>
    <row r="315" spans="1:30" s="62" customFormat="1">
      <c r="A315" s="59">
        <v>42901</v>
      </c>
      <c r="B315" s="60"/>
      <c r="C315" s="60"/>
      <c r="D315" s="61" t="s">
        <v>46</v>
      </c>
      <c r="E315" s="62">
        <v>8</v>
      </c>
      <c r="F315" s="89">
        <v>100</v>
      </c>
      <c r="G315" s="89">
        <v>1</v>
      </c>
      <c r="H315" s="62">
        <v>500</v>
      </c>
      <c r="I315" s="62">
        <v>46</v>
      </c>
      <c r="J315" s="62">
        <v>3</v>
      </c>
      <c r="K315" s="62">
        <v>50</v>
      </c>
      <c r="L315" s="62">
        <v>3</v>
      </c>
      <c r="M315" s="62">
        <v>52</v>
      </c>
      <c r="N315" s="62">
        <v>1</v>
      </c>
      <c r="P315" s="120">
        <f t="shared" si="22"/>
        <v>24666.666666666668</v>
      </c>
      <c r="Q315" s="120">
        <f t="shared" si="23"/>
        <v>1166.6666666666667</v>
      </c>
      <c r="R315" s="106">
        <f t="shared" si="24"/>
        <v>0.95483870967741935</v>
      </c>
      <c r="S315" s="182"/>
      <c r="T315" s="65"/>
      <c r="Y315" s="89"/>
      <c r="Z315" s="357"/>
      <c r="AA315" s="120"/>
      <c r="AB315" s="120"/>
    </row>
    <row r="316" spans="1:30" s="69" customFormat="1" ht="16" thickBot="1">
      <c r="A316" s="66">
        <v>42901</v>
      </c>
      <c r="B316" s="67"/>
      <c r="C316" s="67"/>
      <c r="D316" s="68" t="s">
        <v>46</v>
      </c>
      <c r="E316" s="69">
        <v>8</v>
      </c>
      <c r="F316" s="148" t="s">
        <v>203</v>
      </c>
      <c r="G316" s="148">
        <v>1</v>
      </c>
      <c r="H316" s="69">
        <v>360</v>
      </c>
      <c r="I316" s="69">
        <v>1</v>
      </c>
      <c r="J316" s="69">
        <v>7</v>
      </c>
      <c r="K316" s="69">
        <v>3</v>
      </c>
      <c r="L316" s="69">
        <v>2</v>
      </c>
      <c r="M316" s="69">
        <v>3</v>
      </c>
      <c r="N316" s="69">
        <v>0</v>
      </c>
      <c r="P316" s="149">
        <f t="shared" si="22"/>
        <v>840</v>
      </c>
      <c r="Q316" s="149">
        <f t="shared" si="23"/>
        <v>1080</v>
      </c>
      <c r="R316" s="165">
        <f t="shared" si="24"/>
        <v>0.4375</v>
      </c>
      <c r="S316" s="196"/>
      <c r="Y316" s="148"/>
      <c r="Z316" s="365"/>
      <c r="AA316" s="149"/>
      <c r="AB316" s="149"/>
    </row>
    <row r="317" spans="1:30" s="75" customFormat="1">
      <c r="A317" s="72">
        <v>42905</v>
      </c>
      <c r="B317" s="73"/>
      <c r="C317" s="73"/>
      <c r="D317" s="74" t="s">
        <v>105</v>
      </c>
      <c r="E317" s="75">
        <v>1</v>
      </c>
      <c r="F317" s="86">
        <v>224</v>
      </c>
      <c r="G317" s="86">
        <v>2</v>
      </c>
      <c r="H317" s="75">
        <v>360</v>
      </c>
      <c r="I317" s="75">
        <v>0</v>
      </c>
      <c r="J317" s="75">
        <v>0</v>
      </c>
      <c r="K317" s="75">
        <v>2</v>
      </c>
      <c r="L317" s="75">
        <v>0</v>
      </c>
      <c r="M317" s="75">
        <v>1</v>
      </c>
      <c r="N317" s="75">
        <v>0</v>
      </c>
      <c r="P317" s="122">
        <f>(AVERAGE(I317,K317,M317)/G317)*H317</f>
        <v>180</v>
      </c>
      <c r="Q317" s="122">
        <f t="shared" si="23"/>
        <v>0</v>
      </c>
      <c r="R317" s="160">
        <f t="shared" si="24"/>
        <v>1</v>
      </c>
      <c r="S317" s="173" t="str">
        <f>D317</f>
        <v>NF-6 Low</v>
      </c>
      <c r="T317" s="76"/>
      <c r="U317" s="76"/>
      <c r="V317" s="76"/>
      <c r="Y317" s="87" t="str">
        <f>D317</f>
        <v>NF-6 Low</v>
      </c>
      <c r="Z317" s="361">
        <f>(SUMIFS($P$253:$P$316, $D$253:$D$316, Y317, $F$253:$F$316, "&lt;200"))+(SUMIFS($Q$253:$Q$316, $D$253:$D$316, Y317, $F$253:$F$316, "&lt;200"))</f>
        <v>71470</v>
      </c>
      <c r="AA317" s="124">
        <f>SUM(P317:Q320)</f>
        <v>71113.333333333343</v>
      </c>
      <c r="AB317" s="124">
        <f>SUMIFS(Collection!O:O, Collection!B:B, "*" &amp; 'Bucket Counts'!Y317 &amp; "*", Collection!A:A, "&lt;" &amp; 'Bucket Counts'!A317,Collection!A:A,  "&gt;=" &amp; 'Bucket Counts'!$A$253)</f>
        <v>0</v>
      </c>
      <c r="AC317" s="161">
        <f>AA317/(Z317+AB317)</f>
        <v>0.99500956112121652</v>
      </c>
      <c r="AD317" s="371">
        <f>AVERAGE(AC317:AC380)</f>
        <v>0.91836897254975736</v>
      </c>
    </row>
    <row r="318" spans="1:30" s="80" customFormat="1">
      <c r="A318" s="77">
        <v>42905</v>
      </c>
      <c r="B318" s="78"/>
      <c r="C318" s="78"/>
      <c r="D318" s="79" t="s">
        <v>105</v>
      </c>
      <c r="E318" s="80">
        <v>1</v>
      </c>
      <c r="F318" s="87">
        <v>180</v>
      </c>
      <c r="G318" s="87">
        <v>1</v>
      </c>
      <c r="H318" s="80">
        <v>500</v>
      </c>
      <c r="I318" s="80">
        <v>19</v>
      </c>
      <c r="J318" s="80">
        <v>1</v>
      </c>
      <c r="K318" s="80">
        <v>16</v>
      </c>
      <c r="L318" s="80">
        <v>0</v>
      </c>
      <c r="M318" s="87">
        <v>20</v>
      </c>
      <c r="N318" s="80">
        <v>1</v>
      </c>
      <c r="P318" s="124">
        <f t="shared" ref="P318:P327" si="25">(AVERAGE(I318,K318,M318)/G318)*H318</f>
        <v>9166.6666666666661</v>
      </c>
      <c r="Q318" s="124">
        <f t="shared" si="23"/>
        <v>333.33333333333331</v>
      </c>
      <c r="R318" s="161">
        <f t="shared" si="24"/>
        <v>0.96491228070175428</v>
      </c>
      <c r="S318" s="185">
        <f>(SUM(P317:P320)/(SUM(P317:Q320)))</f>
        <v>0.91562763663635505</v>
      </c>
      <c r="T318" s="81"/>
      <c r="U318" s="81"/>
      <c r="V318" s="81"/>
      <c r="Y318" s="87"/>
      <c r="Z318" s="361"/>
      <c r="AA318" s="124"/>
      <c r="AB318" s="124"/>
    </row>
    <row r="319" spans="1:30" s="80" customFormat="1">
      <c r="A319" s="77">
        <v>42905</v>
      </c>
      <c r="B319" s="78"/>
      <c r="C319" s="78"/>
      <c r="D319" s="79" t="s">
        <v>105</v>
      </c>
      <c r="E319" s="80">
        <v>1</v>
      </c>
      <c r="F319" s="87">
        <v>100</v>
      </c>
      <c r="G319" s="87">
        <v>0.5</v>
      </c>
      <c r="H319" s="80">
        <v>800</v>
      </c>
      <c r="I319" s="80">
        <v>33</v>
      </c>
      <c r="J319" s="80">
        <v>0</v>
      </c>
      <c r="K319" s="80">
        <v>38</v>
      </c>
      <c r="L319" s="80">
        <v>0</v>
      </c>
      <c r="M319" s="80">
        <v>32</v>
      </c>
      <c r="N319" s="80">
        <v>0</v>
      </c>
      <c r="P319" s="124">
        <f t="shared" si="25"/>
        <v>54933.333333333336</v>
      </c>
      <c r="Q319" s="124">
        <f t="shared" si="23"/>
        <v>0</v>
      </c>
      <c r="R319" s="161">
        <f t="shared" si="24"/>
        <v>1</v>
      </c>
      <c r="S319" s="185"/>
      <c r="T319" s="81"/>
      <c r="U319" s="81"/>
      <c r="V319" s="81"/>
      <c r="Y319" s="87"/>
      <c r="Z319" s="361"/>
      <c r="AA319" s="124"/>
      <c r="AB319" s="124"/>
    </row>
    <row r="320" spans="1:30" s="80" customFormat="1">
      <c r="A320" s="77">
        <v>42905</v>
      </c>
      <c r="B320" s="78"/>
      <c r="C320" s="78"/>
      <c r="D320" s="79" t="s">
        <v>105</v>
      </c>
      <c r="E320" s="80">
        <v>1</v>
      </c>
      <c r="F320" s="87" t="s">
        <v>203</v>
      </c>
      <c r="G320" s="87">
        <v>1</v>
      </c>
      <c r="H320" s="80">
        <v>500</v>
      </c>
      <c r="I320" s="80">
        <v>1</v>
      </c>
      <c r="J320" s="80">
        <v>16</v>
      </c>
      <c r="K320" s="80">
        <v>2</v>
      </c>
      <c r="L320" s="80">
        <v>11</v>
      </c>
      <c r="M320" s="80">
        <v>2</v>
      </c>
      <c r="N320" s="80">
        <v>7</v>
      </c>
      <c r="P320" s="124">
        <f t="shared" si="25"/>
        <v>833.33333333333337</v>
      </c>
      <c r="Q320" s="124">
        <f t="shared" si="23"/>
        <v>5666.666666666667</v>
      </c>
      <c r="R320" s="161">
        <f t="shared" si="24"/>
        <v>0.12820512820512822</v>
      </c>
      <c r="S320" s="188"/>
      <c r="T320" s="81"/>
      <c r="U320" s="81"/>
      <c r="V320" s="81"/>
      <c r="Y320" s="87"/>
      <c r="Z320" s="361"/>
      <c r="AA320" s="124"/>
      <c r="AB320" s="124"/>
    </row>
    <row r="321" spans="1:29" s="80" customFormat="1">
      <c r="A321" s="190">
        <v>42905</v>
      </c>
      <c r="B321" s="78"/>
      <c r="C321" s="78"/>
      <c r="D321" s="80" t="s">
        <v>77</v>
      </c>
      <c r="E321" s="80">
        <v>1</v>
      </c>
      <c r="F321" s="87">
        <v>224</v>
      </c>
      <c r="G321" s="87">
        <v>1</v>
      </c>
      <c r="H321" s="80">
        <v>520</v>
      </c>
      <c r="I321" s="80">
        <v>4</v>
      </c>
      <c r="J321" s="80">
        <v>2</v>
      </c>
      <c r="K321" s="80">
        <v>3</v>
      </c>
      <c r="L321" s="80">
        <v>4</v>
      </c>
      <c r="M321" s="80">
        <v>6</v>
      </c>
      <c r="N321" s="80">
        <v>4</v>
      </c>
      <c r="P321" s="124">
        <f t="shared" si="25"/>
        <v>2253.333333333333</v>
      </c>
      <c r="Q321" s="124">
        <f t="shared" si="23"/>
        <v>1733.3333333333335</v>
      </c>
      <c r="R321" s="161">
        <f t="shared" si="24"/>
        <v>0.56521739130434778</v>
      </c>
      <c r="S321" s="189" t="str">
        <f>D321</f>
        <v>SN-6 Low</v>
      </c>
      <c r="T321" s="81"/>
      <c r="U321" s="81"/>
      <c r="V321" s="81"/>
      <c r="Y321" s="87" t="str">
        <f>D321</f>
        <v>SN-6 Low</v>
      </c>
      <c r="Z321" s="361">
        <f>(SUMIFS($P$253:$P$316, $D$253:$D$316, Y321, $F$253:$F$316, "&lt;200"))+(SUMIFS($Q$253:$Q$316, $D$253:$D$316, Y321, $F$253:$F$316, "&lt;200"))</f>
        <v>86125</v>
      </c>
      <c r="AA321" s="124">
        <f>SUM(P321:Q324)</f>
        <v>136566.66666666669</v>
      </c>
      <c r="AB321" s="124">
        <f>SUMIFS(Collection!O:O, Collection!B:B, "*" &amp; 'Bucket Counts'!Y321 &amp; "*", Collection!A:A, "&lt;" &amp; 'Bucket Counts'!A321,Collection!A:A,  "&gt;=" &amp; 'Bucket Counts'!$A$253)</f>
        <v>105233.33333333334</v>
      </c>
      <c r="AC321" s="161">
        <f>AA321/(Z321+AB321)</f>
        <v>0.71366981666158613</v>
      </c>
    </row>
    <row r="322" spans="1:29" s="80" customFormat="1">
      <c r="A322" s="190">
        <v>42905</v>
      </c>
      <c r="B322" s="78"/>
      <c r="C322" s="78"/>
      <c r="D322" s="80" t="s">
        <v>77</v>
      </c>
      <c r="E322" s="80">
        <v>1</v>
      </c>
      <c r="F322" s="87">
        <v>180</v>
      </c>
      <c r="G322" s="87">
        <v>1</v>
      </c>
      <c r="H322" s="229">
        <v>830</v>
      </c>
      <c r="I322" s="80">
        <v>4</v>
      </c>
      <c r="J322" s="80">
        <v>25</v>
      </c>
      <c r="K322" s="80">
        <v>9</v>
      </c>
      <c r="L322" s="80">
        <v>15</v>
      </c>
      <c r="M322" s="80">
        <v>8</v>
      </c>
      <c r="N322" s="80">
        <v>22</v>
      </c>
      <c r="P322" s="124">
        <f t="shared" si="25"/>
        <v>5810</v>
      </c>
      <c r="Q322" s="124">
        <f t="shared" si="23"/>
        <v>17153.333333333336</v>
      </c>
      <c r="R322" s="161">
        <f t="shared" si="24"/>
        <v>0.25301204819277107</v>
      </c>
      <c r="S322" s="187">
        <f>(SUM(P321:P324)/(SUM(P321:Q324)))</f>
        <v>0.34762020990969006</v>
      </c>
      <c r="T322" s="81"/>
      <c r="U322" s="81"/>
      <c r="V322" s="81"/>
      <c r="Y322" s="87"/>
      <c r="Z322" s="361"/>
      <c r="AA322" s="124"/>
      <c r="AB322" s="124"/>
    </row>
    <row r="323" spans="1:29" s="80" customFormat="1">
      <c r="A323" s="190">
        <v>42905</v>
      </c>
      <c r="B323" s="78"/>
      <c r="C323" s="78"/>
      <c r="D323" s="80" t="s">
        <v>77</v>
      </c>
      <c r="E323" s="80">
        <v>1</v>
      </c>
      <c r="F323" s="87">
        <v>100</v>
      </c>
      <c r="G323" s="87">
        <v>1</v>
      </c>
      <c r="H323" s="229">
        <v>580</v>
      </c>
      <c r="I323" s="80">
        <v>78</v>
      </c>
      <c r="J323" s="80">
        <v>7</v>
      </c>
      <c r="K323" s="80">
        <v>63</v>
      </c>
      <c r="L323" s="80">
        <v>2</v>
      </c>
      <c r="M323" s="80">
        <v>62</v>
      </c>
      <c r="N323" s="80">
        <v>1</v>
      </c>
      <c r="P323" s="124">
        <f t="shared" si="25"/>
        <v>39246.666666666672</v>
      </c>
      <c r="Q323" s="124">
        <f t="shared" si="23"/>
        <v>1933.3333333333335</v>
      </c>
      <c r="R323" s="161">
        <f t="shared" si="24"/>
        <v>0.95305164319248825</v>
      </c>
      <c r="S323" s="188"/>
      <c r="T323" s="81"/>
      <c r="U323" s="81"/>
      <c r="V323" s="81"/>
      <c r="Y323" s="87"/>
      <c r="Z323" s="361"/>
      <c r="AA323" s="124"/>
      <c r="AB323" s="124"/>
    </row>
    <row r="324" spans="1:29" s="80" customFormat="1">
      <c r="A324" s="190">
        <v>42905</v>
      </c>
      <c r="B324" s="78"/>
      <c r="C324" s="78"/>
      <c r="D324" s="80" t="s">
        <v>77</v>
      </c>
      <c r="E324" s="80">
        <v>1</v>
      </c>
      <c r="F324" s="87" t="s">
        <v>203</v>
      </c>
      <c r="G324" s="87">
        <v>1</v>
      </c>
      <c r="H324" s="229">
        <v>490</v>
      </c>
      <c r="I324" s="80">
        <v>1</v>
      </c>
      <c r="J324" s="80">
        <v>126</v>
      </c>
      <c r="K324" s="80">
        <v>0</v>
      </c>
      <c r="L324" s="80">
        <v>144</v>
      </c>
      <c r="M324" s="80">
        <v>0</v>
      </c>
      <c r="N324" s="80">
        <v>148</v>
      </c>
      <c r="P324" s="124">
        <f t="shared" si="25"/>
        <v>163.33333333333331</v>
      </c>
      <c r="Q324" s="124">
        <f t="shared" si="23"/>
        <v>68273.333333333343</v>
      </c>
      <c r="R324" s="161">
        <f t="shared" si="24"/>
        <v>2.3866348448687348E-3</v>
      </c>
      <c r="S324" s="188"/>
      <c r="T324" s="81"/>
      <c r="U324" s="81"/>
      <c r="V324" s="81"/>
      <c r="Y324" s="87"/>
      <c r="Z324" s="361"/>
      <c r="AA324" s="124"/>
      <c r="AB324" s="124"/>
    </row>
    <row r="325" spans="1:29" s="80" customFormat="1">
      <c r="A325" s="190">
        <v>42905</v>
      </c>
      <c r="B325" s="78"/>
      <c r="C325" s="78"/>
      <c r="D325" s="80" t="s">
        <v>85</v>
      </c>
      <c r="E325" s="80">
        <v>2</v>
      </c>
      <c r="F325" s="87">
        <v>224</v>
      </c>
      <c r="G325" s="87">
        <v>1</v>
      </c>
      <c r="H325" s="229">
        <v>500</v>
      </c>
      <c r="I325" s="80">
        <v>4</v>
      </c>
      <c r="J325" s="80">
        <v>0</v>
      </c>
      <c r="K325" s="80">
        <v>5</v>
      </c>
      <c r="L325" s="80">
        <v>1</v>
      </c>
      <c r="M325" s="80">
        <v>4</v>
      </c>
      <c r="N325" s="80">
        <v>0</v>
      </c>
      <c r="P325" s="124">
        <f t="shared" si="25"/>
        <v>2166.6666666666665</v>
      </c>
      <c r="Q325" s="124">
        <f t="shared" si="23"/>
        <v>166.66666666666666</v>
      </c>
      <c r="R325" s="161">
        <f t="shared" si="24"/>
        <v>0.9285714285714286</v>
      </c>
      <c r="S325" s="189" t="str">
        <f>D325</f>
        <v>NF-6 Ambient</v>
      </c>
      <c r="T325" s="81"/>
      <c r="U325" s="81"/>
      <c r="V325" s="81"/>
      <c r="Y325" s="87" t="str">
        <f>D325</f>
        <v>NF-6 Ambient</v>
      </c>
      <c r="Z325" s="361">
        <f>(SUMIFS($P$253:$P$316, $D$253:$D$316, Y325, $F$253:$F$316, "&lt;200"))+(SUMIFS($Q$253:$Q$316, $D$253:$D$316, Y325, $F$253:$F$316, "&lt;200"))</f>
        <v>27299.999999999996</v>
      </c>
      <c r="AA325" s="124">
        <f>SUM(P325:Q328)</f>
        <v>26453.333333333328</v>
      </c>
      <c r="AB325" s="124">
        <f>SUMIFS(Collection!O:O, Collection!B:B, "*" &amp; 'Bucket Counts'!Y325 &amp; "*", Collection!A:A, "&lt;" &amp; 'Bucket Counts'!A325,Collection!A:A,  "&gt;=" &amp; 'Bucket Counts'!$A$253)</f>
        <v>0</v>
      </c>
      <c r="AC325" s="161">
        <f>AA325/(Z325+AB325)</f>
        <v>0.96898656898656899</v>
      </c>
    </row>
    <row r="326" spans="1:29" s="80" customFormat="1">
      <c r="A326" s="190">
        <v>42905</v>
      </c>
      <c r="B326" s="78"/>
      <c r="C326" s="78"/>
      <c r="D326" s="80" t="s">
        <v>85</v>
      </c>
      <c r="E326" s="80">
        <v>2</v>
      </c>
      <c r="F326" s="87">
        <v>180</v>
      </c>
      <c r="G326" s="87">
        <v>1</v>
      </c>
      <c r="H326" s="229">
        <v>790</v>
      </c>
      <c r="I326" s="80">
        <v>23</v>
      </c>
      <c r="J326" s="80">
        <v>7</v>
      </c>
      <c r="K326" s="80">
        <v>23</v>
      </c>
      <c r="L326" s="80">
        <v>2</v>
      </c>
      <c r="M326" s="80">
        <v>20</v>
      </c>
      <c r="N326" s="80">
        <v>7</v>
      </c>
      <c r="P326" s="124">
        <f t="shared" si="25"/>
        <v>17380</v>
      </c>
      <c r="Q326" s="124">
        <f t="shared" si="23"/>
        <v>4213.333333333333</v>
      </c>
      <c r="R326" s="161">
        <f t="shared" si="24"/>
        <v>0.80487804878048785</v>
      </c>
      <c r="S326" s="187">
        <f>(SUM(P325:P328)/(SUM(P325:Q328)))</f>
        <v>0.76965725806451624</v>
      </c>
      <c r="T326" s="81"/>
      <c r="U326" s="81"/>
      <c r="V326" s="81"/>
      <c r="Y326" s="87"/>
      <c r="Z326" s="361"/>
      <c r="AA326" s="124"/>
      <c r="AB326" s="124"/>
    </row>
    <row r="327" spans="1:29" s="80" customFormat="1">
      <c r="A327" s="190">
        <v>42905</v>
      </c>
      <c r="B327" s="78"/>
      <c r="C327" s="78"/>
      <c r="D327" s="80" t="s">
        <v>85</v>
      </c>
      <c r="E327" s="80">
        <v>2</v>
      </c>
      <c r="F327" s="87">
        <v>100</v>
      </c>
      <c r="G327" s="87">
        <v>1</v>
      </c>
      <c r="H327" s="229">
        <v>475</v>
      </c>
      <c r="I327" s="80">
        <v>1</v>
      </c>
      <c r="J327" s="80">
        <v>2</v>
      </c>
      <c r="K327" s="80">
        <v>1</v>
      </c>
      <c r="L327" s="80">
        <v>0</v>
      </c>
      <c r="M327" s="80">
        <v>2</v>
      </c>
      <c r="N327" s="80">
        <v>2</v>
      </c>
      <c r="P327" s="124">
        <f t="shared" si="25"/>
        <v>633.33333333333326</v>
      </c>
      <c r="Q327" s="124">
        <f t="shared" si="23"/>
        <v>633.33333333333326</v>
      </c>
      <c r="R327" s="161">
        <f t="shared" si="24"/>
        <v>0.5</v>
      </c>
      <c r="S327" s="188"/>
      <c r="T327" s="81"/>
      <c r="U327" s="81"/>
      <c r="V327" s="81"/>
      <c r="Y327" s="87"/>
      <c r="Z327" s="361"/>
      <c r="AA327" s="124"/>
      <c r="AB327" s="124"/>
    </row>
    <row r="328" spans="1:29" s="80" customFormat="1">
      <c r="A328" s="190">
        <v>42905</v>
      </c>
      <c r="B328" s="78"/>
      <c r="C328" s="78"/>
      <c r="D328" s="80" t="s">
        <v>85</v>
      </c>
      <c r="E328" s="80">
        <v>2</v>
      </c>
      <c r="F328" s="87" t="s">
        <v>203</v>
      </c>
      <c r="G328" s="87">
        <v>1</v>
      </c>
      <c r="H328" s="229">
        <v>540</v>
      </c>
      <c r="I328" s="80">
        <v>0</v>
      </c>
      <c r="J328" s="80">
        <v>4</v>
      </c>
      <c r="K328" s="80">
        <v>0</v>
      </c>
      <c r="L328" s="80">
        <v>1</v>
      </c>
      <c r="M328" s="80">
        <v>1</v>
      </c>
      <c r="N328" s="80">
        <v>1</v>
      </c>
      <c r="P328" s="124">
        <f>(AVERAGE(I328,K328,M328)/G328)*H328</f>
        <v>180</v>
      </c>
      <c r="Q328" s="124">
        <f t="shared" si="23"/>
        <v>1080</v>
      </c>
      <c r="R328" s="161">
        <f t="shared" si="24"/>
        <v>0.14285714285714285</v>
      </c>
      <c r="S328" s="188"/>
      <c r="T328" s="81"/>
      <c r="U328" s="81"/>
      <c r="V328" s="81"/>
      <c r="Y328" s="87"/>
      <c r="Z328" s="361"/>
      <c r="AA328" s="124"/>
      <c r="AB328" s="124"/>
    </row>
    <row r="329" spans="1:29" s="80" customFormat="1">
      <c r="A329" s="190">
        <v>42905</v>
      </c>
      <c r="B329" s="78"/>
      <c r="C329" s="78"/>
      <c r="D329" s="79" t="s">
        <v>86</v>
      </c>
      <c r="E329" s="80">
        <v>2</v>
      </c>
      <c r="F329" s="87">
        <v>224</v>
      </c>
      <c r="G329" s="87">
        <v>1</v>
      </c>
      <c r="H329" s="229">
        <v>800</v>
      </c>
      <c r="I329" s="80">
        <v>32</v>
      </c>
      <c r="J329" s="80">
        <v>1</v>
      </c>
      <c r="K329" s="80">
        <v>22</v>
      </c>
      <c r="L329" s="80">
        <v>6</v>
      </c>
      <c r="M329" s="80">
        <v>19</v>
      </c>
      <c r="N329" s="80">
        <v>4</v>
      </c>
      <c r="P329" s="124">
        <f>(AVERAGE(I329,K329,M329)/G329)*H329</f>
        <v>19466.666666666664</v>
      </c>
      <c r="Q329" s="124">
        <f t="shared" si="23"/>
        <v>2933.333333333333</v>
      </c>
      <c r="R329" s="161">
        <f t="shared" si="24"/>
        <v>0.86904761904761907</v>
      </c>
      <c r="S329" s="189" t="str">
        <f>D329</f>
        <v>SN-10 Ambient</v>
      </c>
      <c r="T329" s="81"/>
      <c r="U329" s="81"/>
      <c r="V329" s="81"/>
      <c r="Y329" s="87" t="str">
        <f>D329</f>
        <v>SN-10 Ambient</v>
      </c>
      <c r="Z329" s="361">
        <f>(SUMIFS($P$253:$P$316, $D$253:$D$316, Y329, $F$253:$F$316, "&lt;200"))+(SUMIFS($Q$253:$Q$316, $D$253:$D$316, Y329, $F$253:$F$316, "&lt;200"))</f>
        <v>100900</v>
      </c>
      <c r="AA329" s="124">
        <f>SUM(P329:Q332)</f>
        <v>149733.33333333331</v>
      </c>
      <c r="AB329" s="124">
        <f>SUMIFS(Collection!O:O, Collection!B:B, "*" &amp; 'Bucket Counts'!Y329 &amp; "*", Collection!A:A, "&lt;" &amp; 'Bucket Counts'!A329,Collection!A:A,  "&gt;=" &amp; 'Bucket Counts'!$A$253)</f>
        <v>49833.333333333328</v>
      </c>
      <c r="AC329" s="161">
        <f>AA329/(Z329+AB329)</f>
        <v>0.99336576735957538</v>
      </c>
    </row>
    <row r="330" spans="1:29" s="80" customFormat="1">
      <c r="A330" s="190">
        <v>42905</v>
      </c>
      <c r="B330" s="78"/>
      <c r="C330" s="78"/>
      <c r="D330" s="79" t="s">
        <v>86</v>
      </c>
      <c r="E330" s="80">
        <v>2</v>
      </c>
      <c r="F330" s="87">
        <v>180</v>
      </c>
      <c r="G330" s="87">
        <v>1</v>
      </c>
      <c r="H330" s="229">
        <v>800</v>
      </c>
      <c r="I330" s="80">
        <v>27</v>
      </c>
      <c r="J330" s="80">
        <v>15</v>
      </c>
      <c r="K330" s="80">
        <v>40</v>
      </c>
      <c r="L330" s="80">
        <v>16</v>
      </c>
      <c r="M330" s="80">
        <v>40</v>
      </c>
      <c r="N330" s="80">
        <v>21</v>
      </c>
      <c r="P330" s="124">
        <f t="shared" ref="P330:P343" si="26">(AVERAGE(I330,K330,M330)/G330)*H330</f>
        <v>28533.333333333332</v>
      </c>
      <c r="Q330" s="124">
        <f t="shared" si="23"/>
        <v>13866.666666666666</v>
      </c>
      <c r="R330" s="161">
        <f t="shared" si="24"/>
        <v>0.67295597484276726</v>
      </c>
      <c r="S330" s="187">
        <f>(SUM(P329:P332)/(SUM(P329:Q332)))</f>
        <v>0.68926981300089052</v>
      </c>
      <c r="T330" s="81"/>
      <c r="U330" s="81"/>
      <c r="V330" s="81"/>
      <c r="Y330" s="87"/>
      <c r="Z330" s="361"/>
      <c r="AA330" s="124"/>
      <c r="AB330" s="124"/>
    </row>
    <row r="331" spans="1:29" s="80" customFormat="1">
      <c r="A331" s="190">
        <v>42905</v>
      </c>
      <c r="B331" s="78"/>
      <c r="C331" s="78"/>
      <c r="D331" s="79" t="s">
        <v>86</v>
      </c>
      <c r="E331" s="80">
        <v>2</v>
      </c>
      <c r="F331" s="87">
        <v>100</v>
      </c>
      <c r="G331" s="87">
        <v>1</v>
      </c>
      <c r="H331" s="229">
        <v>490</v>
      </c>
      <c r="I331" s="80">
        <v>137</v>
      </c>
      <c r="J331" s="80">
        <v>1</v>
      </c>
      <c r="K331" s="80">
        <v>108</v>
      </c>
      <c r="L331" s="80">
        <v>1</v>
      </c>
      <c r="M331" s="80">
        <v>92</v>
      </c>
      <c r="N331" s="80">
        <v>3</v>
      </c>
      <c r="P331" s="124">
        <f t="shared" si="26"/>
        <v>55043.333333333328</v>
      </c>
      <c r="Q331" s="124">
        <f t="shared" si="23"/>
        <v>816.66666666666674</v>
      </c>
      <c r="R331" s="161">
        <f t="shared" si="24"/>
        <v>0.98538011695906436</v>
      </c>
      <c r="S331" s="188"/>
      <c r="T331" s="81"/>
      <c r="U331" s="81"/>
      <c r="V331" s="81"/>
      <c r="Y331" s="87"/>
      <c r="Z331" s="361"/>
      <c r="AA331" s="124"/>
      <c r="AB331" s="124"/>
    </row>
    <row r="332" spans="1:29" s="80" customFormat="1">
      <c r="A332" s="190">
        <v>42905</v>
      </c>
      <c r="B332" s="78"/>
      <c r="C332" s="78"/>
      <c r="D332" s="79" t="s">
        <v>86</v>
      </c>
      <c r="E332" s="80">
        <v>2</v>
      </c>
      <c r="F332" s="87" t="s">
        <v>203</v>
      </c>
      <c r="G332" s="87">
        <v>1</v>
      </c>
      <c r="H332" s="229">
        <v>490</v>
      </c>
      <c r="I332" s="80">
        <v>0</v>
      </c>
      <c r="J332" s="80">
        <v>63</v>
      </c>
      <c r="K332" s="80">
        <v>1</v>
      </c>
      <c r="L332" s="80">
        <v>53</v>
      </c>
      <c r="M332" s="80">
        <v>0</v>
      </c>
      <c r="N332" s="80">
        <v>61</v>
      </c>
      <c r="P332" s="124">
        <f t="shared" si="26"/>
        <v>163.33333333333331</v>
      </c>
      <c r="Q332" s="124">
        <f t="shared" si="23"/>
        <v>28910</v>
      </c>
      <c r="R332" s="161">
        <f t="shared" si="24"/>
        <v>5.6179775280898875E-3</v>
      </c>
      <c r="S332" s="188"/>
      <c r="T332" s="81"/>
      <c r="U332" s="81"/>
      <c r="V332" s="81"/>
      <c r="Y332" s="87"/>
      <c r="Z332" s="361"/>
      <c r="AA332" s="124"/>
      <c r="AB332" s="124"/>
    </row>
    <row r="333" spans="1:29" s="80" customFormat="1">
      <c r="A333" s="190">
        <v>42905</v>
      </c>
      <c r="B333" s="78"/>
      <c r="C333" s="78"/>
      <c r="D333" s="80" t="s">
        <v>74</v>
      </c>
      <c r="E333" s="80">
        <v>3</v>
      </c>
      <c r="F333" s="87">
        <v>224</v>
      </c>
      <c r="G333" s="87">
        <v>1</v>
      </c>
      <c r="H333" s="229">
        <v>500</v>
      </c>
      <c r="I333" s="80">
        <v>0</v>
      </c>
      <c r="J333" s="80">
        <v>8</v>
      </c>
      <c r="K333" s="80">
        <v>1</v>
      </c>
      <c r="L333" s="80">
        <v>10</v>
      </c>
      <c r="M333" s="80">
        <v>0</v>
      </c>
      <c r="N333" s="80">
        <v>14</v>
      </c>
      <c r="P333" s="124">
        <f>(AVERAGE(I333,K333,M333)/G333)*H333</f>
        <v>166.66666666666666</v>
      </c>
      <c r="Q333" s="124">
        <f t="shared" si="23"/>
        <v>5333.333333333333</v>
      </c>
      <c r="R333" s="161">
        <f t="shared" si="24"/>
        <v>3.03030303030303E-2</v>
      </c>
      <c r="S333" s="189" t="str">
        <f>D333</f>
        <v>SN-10 Low</v>
      </c>
      <c r="T333" s="81"/>
      <c r="U333" s="81"/>
      <c r="V333" s="81"/>
      <c r="Y333" s="87" t="str">
        <f>D333</f>
        <v>SN-10 Low</v>
      </c>
      <c r="Z333" s="361">
        <f>(SUMIFS($P$253:$P$316, $D$253:$D$316, Y333, $F$253:$F$316, "&lt;200"))+(SUMIFS($Q$253:$Q$316, $D$253:$D$316, Y333, $F$253:$F$316, "&lt;200"))</f>
        <v>114466.66666666667</v>
      </c>
      <c r="AA333" s="124">
        <f>SUM(P333:Q336)</f>
        <v>102166.66666666666</v>
      </c>
      <c r="AB333" s="124">
        <f>SUMIFS(Collection!O:O, Collection!B:B, "*" &amp; 'Bucket Counts'!Y333 &amp; "*", Collection!A:A, "&lt;" &amp; 'Bucket Counts'!A333,Collection!A:A,  "&gt;=" &amp; 'Bucket Counts'!$A$253)</f>
        <v>49866.666666666664</v>
      </c>
      <c r="AC333" s="161">
        <f>AA333/(Z333+AB333)</f>
        <v>0.6217038539553752</v>
      </c>
    </row>
    <row r="334" spans="1:29" s="80" customFormat="1">
      <c r="A334" s="190">
        <v>42905</v>
      </c>
      <c r="B334" s="78"/>
      <c r="C334" s="78"/>
      <c r="D334" s="80" t="s">
        <v>74</v>
      </c>
      <c r="E334" s="80">
        <v>3</v>
      </c>
      <c r="F334" s="87">
        <v>180</v>
      </c>
      <c r="G334" s="87">
        <v>1</v>
      </c>
      <c r="H334" s="229">
        <v>500</v>
      </c>
      <c r="I334" s="80">
        <v>7</v>
      </c>
      <c r="J334" s="80">
        <v>30</v>
      </c>
      <c r="K334" s="80">
        <v>1</v>
      </c>
      <c r="L334" s="80">
        <v>32</v>
      </c>
      <c r="M334" s="80">
        <v>2</v>
      </c>
      <c r="N334" s="80">
        <v>38</v>
      </c>
      <c r="P334" s="124">
        <f t="shared" si="26"/>
        <v>1666.6666666666667</v>
      </c>
      <c r="Q334" s="124">
        <f t="shared" si="23"/>
        <v>16666.666666666668</v>
      </c>
      <c r="R334" s="161">
        <f t="shared" si="24"/>
        <v>9.0909090909090898E-2</v>
      </c>
      <c r="S334" s="187">
        <f>(SUM(P333:P336)/(SUM(P333:Q336)))</f>
        <v>0.52659053833605229</v>
      </c>
      <c r="T334" s="81"/>
      <c r="U334" s="81"/>
      <c r="V334" s="81"/>
      <c r="Y334" s="87"/>
      <c r="Z334" s="361"/>
      <c r="AA334" s="124"/>
      <c r="AB334" s="124"/>
    </row>
    <row r="335" spans="1:29" s="80" customFormat="1">
      <c r="A335" s="190">
        <v>42905</v>
      </c>
      <c r="B335" s="78"/>
      <c r="C335" s="78"/>
      <c r="D335" s="80" t="s">
        <v>74</v>
      </c>
      <c r="E335" s="80">
        <v>3</v>
      </c>
      <c r="F335" s="87">
        <v>100</v>
      </c>
      <c r="G335" s="87">
        <v>1</v>
      </c>
      <c r="H335" s="229">
        <v>800</v>
      </c>
      <c r="I335" s="80">
        <v>50</v>
      </c>
      <c r="J335" s="80">
        <v>6</v>
      </c>
      <c r="K335" s="80">
        <v>66</v>
      </c>
      <c r="L335" s="80">
        <v>4</v>
      </c>
      <c r="M335" s="80">
        <v>77</v>
      </c>
      <c r="N335" s="80">
        <v>7</v>
      </c>
      <c r="P335" s="124">
        <f t="shared" si="26"/>
        <v>51466.666666666664</v>
      </c>
      <c r="Q335" s="124">
        <f t="shared" si="23"/>
        <v>4533.3333333333339</v>
      </c>
      <c r="R335" s="161">
        <f t="shared" si="24"/>
        <v>0.919047619047619</v>
      </c>
      <c r="S335" s="188"/>
      <c r="T335" s="81"/>
      <c r="U335" s="81"/>
      <c r="V335" s="81"/>
      <c r="Y335" s="87"/>
      <c r="Z335" s="361"/>
      <c r="AA335" s="124"/>
      <c r="AB335" s="124"/>
    </row>
    <row r="336" spans="1:29" s="80" customFormat="1">
      <c r="A336" s="190">
        <v>42905</v>
      </c>
      <c r="B336" s="78"/>
      <c r="C336" s="78"/>
      <c r="D336" s="80" t="s">
        <v>74</v>
      </c>
      <c r="E336" s="80">
        <v>3</v>
      </c>
      <c r="F336" s="87" t="s">
        <v>203</v>
      </c>
      <c r="G336" s="87">
        <v>1</v>
      </c>
      <c r="H336" s="229">
        <v>500</v>
      </c>
      <c r="I336" s="80">
        <v>0</v>
      </c>
      <c r="J336" s="80">
        <v>35</v>
      </c>
      <c r="K336" s="80">
        <v>3</v>
      </c>
      <c r="L336" s="80">
        <v>48</v>
      </c>
      <c r="M336" s="80">
        <v>0</v>
      </c>
      <c r="N336" s="80">
        <v>48</v>
      </c>
      <c r="P336" s="124">
        <f t="shared" si="26"/>
        <v>500</v>
      </c>
      <c r="Q336" s="124">
        <f t="shared" si="23"/>
        <v>21833.333333333332</v>
      </c>
      <c r="R336" s="161">
        <f t="shared" si="24"/>
        <v>2.2388059701492539E-2</v>
      </c>
      <c r="S336" s="188"/>
      <c r="T336" s="81"/>
      <c r="U336" s="81"/>
      <c r="V336" s="81"/>
      <c r="Y336" s="87"/>
      <c r="Z336" s="361"/>
      <c r="AA336" s="124"/>
      <c r="AB336" s="124"/>
    </row>
    <row r="337" spans="1:29" s="80" customFormat="1">
      <c r="A337" s="190">
        <v>42905</v>
      </c>
      <c r="B337" s="78"/>
      <c r="C337" s="78"/>
      <c r="D337" s="80" t="s">
        <v>119</v>
      </c>
      <c r="E337" s="80">
        <v>3</v>
      </c>
      <c r="F337" s="87">
        <v>224</v>
      </c>
      <c r="G337" s="87">
        <v>1</v>
      </c>
      <c r="H337" s="229">
        <v>300</v>
      </c>
      <c r="I337" s="80">
        <v>0</v>
      </c>
      <c r="J337" s="80">
        <v>0</v>
      </c>
      <c r="K337" s="80">
        <v>0</v>
      </c>
      <c r="L337" s="80">
        <v>0</v>
      </c>
      <c r="M337" s="80">
        <v>0</v>
      </c>
      <c r="N337" s="80">
        <v>0</v>
      </c>
      <c r="P337" s="124">
        <f t="shared" si="26"/>
        <v>0</v>
      </c>
      <c r="Q337" s="124">
        <f t="shared" si="23"/>
        <v>0</v>
      </c>
      <c r="R337" s="161" t="e">
        <f t="shared" si="24"/>
        <v>#DIV/0!</v>
      </c>
      <c r="S337" s="189" t="str">
        <f>D337</f>
        <v>HL-6 Ambient</v>
      </c>
      <c r="T337" s="81"/>
      <c r="U337" s="81"/>
      <c r="V337" s="81"/>
      <c r="Y337" s="87" t="str">
        <f>D337</f>
        <v>HL-6 Ambient</v>
      </c>
      <c r="Z337" s="352">
        <f>(SUMIFS($P$253:$P$316, $D$253:$D$316, Y337, $F$253:$F$316, "&lt;200"))+(SUMIFS($Q$253:$Q$316, $D$253:$D$316, Y337, $F$253:$F$316, "&lt;200"))</f>
        <v>55666.666666666672</v>
      </c>
      <c r="AA337" s="124">
        <f>SUM(P337:Q340)</f>
        <v>39433.333333333343</v>
      </c>
      <c r="AB337" s="124">
        <f>SUMIFS(Collection!O:O, Collection!B:B, "*" &amp; 'Bucket Counts'!Y337 &amp; "*", Collection!A:A, "&lt;" &amp; 'Bucket Counts'!A337,Collection!A:A,  "&gt;=" &amp; 'Bucket Counts'!$A$253)</f>
        <v>0</v>
      </c>
      <c r="AC337" s="161">
        <f>AA337/(Z337+AB337)</f>
        <v>0.7083832335329342</v>
      </c>
    </row>
    <row r="338" spans="1:29" s="80" customFormat="1">
      <c r="A338" s="190">
        <v>42905</v>
      </c>
      <c r="B338" s="78"/>
      <c r="C338" s="78"/>
      <c r="D338" s="80" t="s">
        <v>119</v>
      </c>
      <c r="E338" s="80">
        <v>3</v>
      </c>
      <c r="F338" s="87">
        <v>180</v>
      </c>
      <c r="G338" s="87">
        <v>1</v>
      </c>
      <c r="H338" s="229">
        <v>320</v>
      </c>
      <c r="I338" s="80">
        <v>0</v>
      </c>
      <c r="J338" s="80">
        <v>0</v>
      </c>
      <c r="K338" s="80">
        <v>0</v>
      </c>
      <c r="L338" s="80">
        <v>0</v>
      </c>
      <c r="M338" s="80">
        <v>0</v>
      </c>
      <c r="N338" s="80">
        <v>0</v>
      </c>
      <c r="P338" s="124">
        <f t="shared" si="26"/>
        <v>0</v>
      </c>
      <c r="Q338" s="124">
        <f t="shared" si="23"/>
        <v>0</v>
      </c>
      <c r="R338" s="161" t="e">
        <f t="shared" si="24"/>
        <v>#DIV/0!</v>
      </c>
      <c r="S338" s="187">
        <f>(SUM(P337:P340)/(SUM(P337:Q340)))</f>
        <v>0.95266272189349099</v>
      </c>
      <c r="T338" s="81"/>
      <c r="Y338" s="87"/>
      <c r="Z338" s="361"/>
      <c r="AA338" s="124"/>
      <c r="AB338" s="124"/>
    </row>
    <row r="339" spans="1:29" s="80" customFormat="1">
      <c r="A339" s="190">
        <v>42905</v>
      </c>
      <c r="B339" s="78"/>
      <c r="C339" s="78"/>
      <c r="D339" s="80" t="s">
        <v>119</v>
      </c>
      <c r="E339" s="80">
        <v>3</v>
      </c>
      <c r="F339" s="87">
        <v>100</v>
      </c>
      <c r="G339" s="87">
        <v>1</v>
      </c>
      <c r="H339" s="229">
        <v>800</v>
      </c>
      <c r="I339" s="80">
        <v>42</v>
      </c>
      <c r="J339" s="80">
        <v>2</v>
      </c>
      <c r="K339" s="80">
        <v>46</v>
      </c>
      <c r="L339" s="80">
        <v>0</v>
      </c>
      <c r="M339" s="80">
        <v>51</v>
      </c>
      <c r="N339" s="80">
        <v>0</v>
      </c>
      <c r="P339" s="124">
        <f t="shared" si="26"/>
        <v>37066.666666666672</v>
      </c>
      <c r="Q339" s="124">
        <f t="shared" si="23"/>
        <v>533.33333333333326</v>
      </c>
      <c r="R339" s="161">
        <f t="shared" si="24"/>
        <v>0.98581560283687941</v>
      </c>
      <c r="S339" s="188"/>
      <c r="T339" s="81"/>
      <c r="Y339" s="87"/>
      <c r="Z339" s="361"/>
      <c r="AA339" s="124"/>
      <c r="AB339" s="124"/>
    </row>
    <row r="340" spans="1:29" s="80" customFormat="1">
      <c r="A340" s="190">
        <v>42905</v>
      </c>
      <c r="B340" s="78"/>
      <c r="C340" s="78"/>
      <c r="D340" s="80" t="s">
        <v>119</v>
      </c>
      <c r="E340" s="80">
        <v>3</v>
      </c>
      <c r="F340" s="87" t="s">
        <v>203</v>
      </c>
      <c r="G340" s="87">
        <v>1</v>
      </c>
      <c r="H340" s="229">
        <v>500</v>
      </c>
      <c r="I340" s="80">
        <v>0</v>
      </c>
      <c r="J340" s="80">
        <v>2</v>
      </c>
      <c r="K340" s="80">
        <v>0</v>
      </c>
      <c r="L340" s="80">
        <v>3</v>
      </c>
      <c r="M340" s="80">
        <v>3</v>
      </c>
      <c r="N340" s="80">
        <v>3</v>
      </c>
      <c r="P340" s="124">
        <f t="shared" si="26"/>
        <v>500</v>
      </c>
      <c r="Q340" s="124">
        <f t="shared" si="23"/>
        <v>1333.3333333333333</v>
      </c>
      <c r="R340" s="161">
        <f t="shared" si="24"/>
        <v>0.27272727272727276</v>
      </c>
      <c r="S340" s="188"/>
      <c r="T340" s="81"/>
      <c r="Y340" s="87"/>
      <c r="Z340" s="361"/>
      <c r="AA340" s="124"/>
      <c r="AB340" s="124"/>
    </row>
    <row r="341" spans="1:29" s="80" customFormat="1">
      <c r="A341" s="190">
        <v>42905</v>
      </c>
      <c r="B341" s="78"/>
      <c r="C341" s="78"/>
      <c r="D341" s="79" t="s">
        <v>21</v>
      </c>
      <c r="E341" s="80">
        <v>4</v>
      </c>
      <c r="F341" s="87">
        <v>224</v>
      </c>
      <c r="G341" s="87">
        <v>1</v>
      </c>
      <c r="H341" s="229">
        <v>280</v>
      </c>
      <c r="I341" s="80">
        <v>0</v>
      </c>
      <c r="J341" s="80">
        <v>0</v>
      </c>
      <c r="K341" s="80">
        <v>0</v>
      </c>
      <c r="L341" s="80">
        <v>0</v>
      </c>
      <c r="M341" s="80">
        <v>0</v>
      </c>
      <c r="N341" s="80">
        <v>0</v>
      </c>
      <c r="P341" s="124">
        <f t="shared" si="26"/>
        <v>0</v>
      </c>
      <c r="Q341" s="124">
        <f t="shared" si="23"/>
        <v>0</v>
      </c>
      <c r="R341" s="161" t="e">
        <f t="shared" si="24"/>
        <v>#DIV/0!</v>
      </c>
      <c r="S341" s="186" t="str">
        <f>D341</f>
        <v>HL-6 Low</v>
      </c>
      <c r="T341" s="81"/>
      <c r="Y341" s="87" t="str">
        <f>D341</f>
        <v>HL-6 Low</v>
      </c>
      <c r="Z341" s="352">
        <f>(SUMIFS($P$253:$P$316, $D$253:$D$316, Y341, $F$253:$F$316, "&lt;200"))+(SUMIFS($Q$253:$Q$316, $D$253:$D$316, Y341, $F$253:$F$316, "&lt;200"))</f>
        <v>28333.333333333332</v>
      </c>
      <c r="AA341" s="124">
        <f>SUM(P341:Q344)</f>
        <v>114666.66666666667</v>
      </c>
      <c r="AB341" s="124">
        <f>SUMIFS(Collection!O:O, Collection!B:B, "*" &amp; 'Bucket Counts'!Y341 &amp; "*", Collection!A:A, "&lt;" &amp; 'Bucket Counts'!A341,Collection!A:A,  "&gt;=" &amp; 'Bucket Counts'!$A$253)</f>
        <v>111816.66666666666</v>
      </c>
      <c r="AC341" s="161">
        <f>AA341/(Z341+AB341)</f>
        <v>0.8181710072541325</v>
      </c>
    </row>
    <row r="342" spans="1:29" s="80" customFormat="1">
      <c r="A342" s="190">
        <v>42905</v>
      </c>
      <c r="B342" s="78"/>
      <c r="C342" s="78"/>
      <c r="D342" s="79" t="s">
        <v>21</v>
      </c>
      <c r="E342" s="80">
        <v>4</v>
      </c>
      <c r="F342" s="87">
        <v>180</v>
      </c>
      <c r="G342" s="87">
        <v>1</v>
      </c>
      <c r="H342" s="229">
        <v>330</v>
      </c>
      <c r="I342" s="80">
        <v>0</v>
      </c>
      <c r="J342" s="80">
        <v>0</v>
      </c>
      <c r="K342" s="80">
        <v>0</v>
      </c>
      <c r="L342" s="80">
        <v>0</v>
      </c>
      <c r="M342" s="80">
        <v>0</v>
      </c>
      <c r="N342" s="80">
        <v>0</v>
      </c>
      <c r="P342" s="124">
        <f t="shared" si="26"/>
        <v>0</v>
      </c>
      <c r="Q342" s="124">
        <f t="shared" si="23"/>
        <v>0</v>
      </c>
      <c r="R342" s="161" t="e">
        <f t="shared" si="24"/>
        <v>#DIV/0!</v>
      </c>
      <c r="S342" s="187">
        <f>(SUM(P341:P344)/(SUM(P341:Q344)))</f>
        <v>0.89680232558139539</v>
      </c>
      <c r="T342" s="81"/>
      <c r="Y342" s="87"/>
      <c r="Z342" s="361"/>
      <c r="AA342" s="124"/>
      <c r="AB342" s="124"/>
    </row>
    <row r="343" spans="1:29" s="80" customFormat="1">
      <c r="A343" s="190">
        <v>42905</v>
      </c>
      <c r="B343" s="78"/>
      <c r="C343" s="78"/>
      <c r="D343" s="79" t="s">
        <v>21</v>
      </c>
      <c r="E343" s="80">
        <v>4</v>
      </c>
      <c r="F343" s="87">
        <v>100</v>
      </c>
      <c r="G343" s="87">
        <v>1</v>
      </c>
      <c r="H343" s="229">
        <v>800</v>
      </c>
      <c r="I343" s="80">
        <v>111</v>
      </c>
      <c r="J343" s="80">
        <v>0</v>
      </c>
      <c r="K343" s="80">
        <v>79</v>
      </c>
      <c r="L343" s="80">
        <v>0</v>
      </c>
      <c r="M343" s="80">
        <v>100</v>
      </c>
      <c r="N343" s="80">
        <v>0</v>
      </c>
      <c r="P343" s="124">
        <f t="shared" si="26"/>
        <v>77333.333333333343</v>
      </c>
      <c r="Q343" s="124">
        <f t="shared" si="23"/>
        <v>0</v>
      </c>
      <c r="R343" s="161">
        <f t="shared" si="24"/>
        <v>1</v>
      </c>
      <c r="S343" s="185"/>
      <c r="T343" s="81"/>
      <c r="Y343" s="87"/>
      <c r="Z343" s="361"/>
      <c r="AA343" s="124"/>
      <c r="AB343" s="124"/>
    </row>
    <row r="344" spans="1:29" s="80" customFormat="1" ht="14" customHeight="1">
      <c r="A344" s="190">
        <v>42905</v>
      </c>
      <c r="B344" s="78"/>
      <c r="C344" s="78"/>
      <c r="D344" s="79" t="s">
        <v>21</v>
      </c>
      <c r="E344" s="80">
        <v>4</v>
      </c>
      <c r="F344" s="87" t="s">
        <v>203</v>
      </c>
      <c r="G344" s="87">
        <v>1</v>
      </c>
      <c r="H344" s="229">
        <v>500</v>
      </c>
      <c r="I344" s="80">
        <v>49</v>
      </c>
      <c r="J344" s="80">
        <v>26</v>
      </c>
      <c r="K344" s="80">
        <v>49</v>
      </c>
      <c r="L344" s="80">
        <v>20</v>
      </c>
      <c r="M344" s="80">
        <v>55</v>
      </c>
      <c r="N344" s="80">
        <v>25</v>
      </c>
      <c r="P344" s="124">
        <f>(AVERAGE(I344,K344,M344)/G344)*H344</f>
        <v>25500</v>
      </c>
      <c r="Q344" s="124">
        <f t="shared" si="23"/>
        <v>11833.333333333334</v>
      </c>
      <c r="R344" s="161">
        <f t="shared" si="24"/>
        <v>0.68303571428571419</v>
      </c>
      <c r="S344" s="188"/>
      <c r="T344" s="81"/>
      <c r="Y344" s="87"/>
      <c r="Z344" s="361"/>
      <c r="AA344" s="124"/>
      <c r="AB344" s="124"/>
    </row>
    <row r="345" spans="1:29" s="80" customFormat="1">
      <c r="A345" s="190">
        <v>42905</v>
      </c>
      <c r="B345" s="78"/>
      <c r="C345" s="78"/>
      <c r="D345" s="79" t="s">
        <v>83</v>
      </c>
      <c r="E345" s="80">
        <v>4</v>
      </c>
      <c r="F345" s="87">
        <v>224</v>
      </c>
      <c r="G345" s="87">
        <v>1</v>
      </c>
      <c r="H345" s="229">
        <v>510</v>
      </c>
      <c r="I345" s="80">
        <v>0</v>
      </c>
      <c r="J345" s="80">
        <v>4</v>
      </c>
      <c r="K345" s="80">
        <v>0</v>
      </c>
      <c r="L345" s="80">
        <v>20</v>
      </c>
      <c r="M345" s="80">
        <v>1</v>
      </c>
      <c r="N345" s="80">
        <v>13</v>
      </c>
      <c r="P345" s="124">
        <f>(AVERAGE(I345,K345,M345)/G345)*H345</f>
        <v>170</v>
      </c>
      <c r="Q345" s="124">
        <f>(AVERAGE(J345,L345,N345)/G345)*H345</f>
        <v>6290</v>
      </c>
      <c r="R345" s="161">
        <f t="shared" si="24"/>
        <v>2.6315789473684209E-2</v>
      </c>
      <c r="S345" s="189" t="str">
        <f>D345</f>
        <v>NF-10 Low</v>
      </c>
      <c r="T345" s="81"/>
      <c r="Y345" s="87" t="str">
        <f>D345</f>
        <v>NF-10 Low</v>
      </c>
      <c r="Z345" s="352">
        <f>(SUMIFS($P$253:$P$316, $D$253:$D$316, Y345, $F$253:$F$316, "&lt;200"))+(SUMIFS($Q$253:$Q$316, $D$253:$D$316, Y345, $F$253:$F$316, "&lt;200"))</f>
        <v>27083.333333333332</v>
      </c>
      <c r="AA345" s="124">
        <f>SUM(P345:Q348)</f>
        <v>35666.666666666664</v>
      </c>
      <c r="AB345" s="124">
        <f>SUMIFS(Collection!O:O, Collection!B:B, "*" &amp; 'Bucket Counts'!Y345 &amp; "*", Collection!A:A, "&lt;" &amp; 'Bucket Counts'!A345,Collection!A:A,  "&gt;=" &amp; 'Bucket Counts'!$A$253)</f>
        <v>0</v>
      </c>
      <c r="AC345" s="161">
        <f>AA345/(Z345+AB345)</f>
        <v>1.3169230769230769</v>
      </c>
    </row>
    <row r="346" spans="1:29" s="80" customFormat="1">
      <c r="A346" s="190">
        <v>42905</v>
      </c>
      <c r="B346" s="78"/>
      <c r="C346" s="78"/>
      <c r="D346" s="79" t="s">
        <v>83</v>
      </c>
      <c r="E346" s="80">
        <v>4</v>
      </c>
      <c r="F346" s="87">
        <v>180</v>
      </c>
      <c r="G346" s="87">
        <v>1</v>
      </c>
      <c r="H346" s="229">
        <v>520</v>
      </c>
      <c r="I346" s="80">
        <v>2</v>
      </c>
      <c r="J346" s="80">
        <v>53</v>
      </c>
      <c r="K346" s="80">
        <v>1</v>
      </c>
      <c r="L346" s="80">
        <v>52</v>
      </c>
      <c r="M346" s="80">
        <v>3</v>
      </c>
      <c r="N346" s="80">
        <v>48</v>
      </c>
      <c r="P346" s="124">
        <f>(AVERAGE(I346,K346,M346)/G346)*H346</f>
        <v>1040</v>
      </c>
      <c r="Q346" s="124">
        <f>(AVERAGE(J346,L346,N346)/G346)*H346</f>
        <v>26520</v>
      </c>
      <c r="R346" s="161">
        <f t="shared" si="24"/>
        <v>3.7735849056603772E-2</v>
      </c>
      <c r="S346" s="187">
        <f>(SUM(P345:P348)/(SUM(P345:Q348)))</f>
        <v>3.3925233644859817E-2</v>
      </c>
      <c r="T346" s="81"/>
      <c r="Y346" s="87"/>
      <c r="Z346" s="361"/>
      <c r="AA346" s="124"/>
      <c r="AB346" s="124"/>
    </row>
    <row r="347" spans="1:29" s="80" customFormat="1">
      <c r="A347" s="190">
        <v>42905</v>
      </c>
      <c r="B347" s="78"/>
      <c r="C347" s="78"/>
      <c r="D347" s="79" t="s">
        <v>83</v>
      </c>
      <c r="E347" s="80">
        <v>4</v>
      </c>
      <c r="F347" s="87">
        <v>100</v>
      </c>
      <c r="G347" s="87">
        <v>1</v>
      </c>
      <c r="H347" s="229">
        <v>330</v>
      </c>
      <c r="I347" s="80">
        <v>0</v>
      </c>
      <c r="J347" s="80">
        <v>4</v>
      </c>
      <c r="K347" s="80">
        <v>0</v>
      </c>
      <c r="L347" s="80">
        <v>0</v>
      </c>
      <c r="M347" s="80">
        <v>0</v>
      </c>
      <c r="N347" s="80">
        <v>4</v>
      </c>
      <c r="P347" s="124">
        <f t="shared" ref="P347:P363" si="27">(AVERAGE(I347,K347,M347)/G347)*H347</f>
        <v>0</v>
      </c>
      <c r="Q347" s="124">
        <f t="shared" si="23"/>
        <v>880</v>
      </c>
      <c r="R347" s="161">
        <f t="shared" si="24"/>
        <v>0</v>
      </c>
      <c r="S347" s="188"/>
      <c r="T347" s="81"/>
      <c r="Y347" s="87"/>
      <c r="Z347" s="361"/>
      <c r="AA347" s="124"/>
      <c r="AB347" s="124"/>
    </row>
    <row r="348" spans="1:29" s="80" customFormat="1">
      <c r="A348" s="190">
        <v>42905</v>
      </c>
      <c r="B348" s="78"/>
      <c r="C348" s="78"/>
      <c r="D348" s="79" t="s">
        <v>83</v>
      </c>
      <c r="E348" s="80">
        <v>4</v>
      </c>
      <c r="F348" s="87" t="s">
        <v>203</v>
      </c>
      <c r="G348" s="87">
        <v>1</v>
      </c>
      <c r="H348" s="229">
        <v>460</v>
      </c>
      <c r="I348" s="80">
        <v>0</v>
      </c>
      <c r="J348" s="80">
        <v>1</v>
      </c>
      <c r="K348" s="80">
        <v>0</v>
      </c>
      <c r="L348" s="80">
        <v>1</v>
      </c>
      <c r="M348" s="80">
        <v>0</v>
      </c>
      <c r="N348" s="80">
        <v>3</v>
      </c>
      <c r="P348" s="124">
        <f t="shared" si="27"/>
        <v>0</v>
      </c>
      <c r="Q348" s="124">
        <f t="shared" si="23"/>
        <v>766.66666666666674</v>
      </c>
      <c r="R348" s="161">
        <f t="shared" si="24"/>
        <v>0</v>
      </c>
      <c r="S348" s="188"/>
      <c r="T348" s="81"/>
      <c r="Y348" s="87"/>
      <c r="Z348" s="361"/>
      <c r="AA348" s="124"/>
      <c r="AB348" s="124"/>
    </row>
    <row r="349" spans="1:29" s="80" customFormat="1">
      <c r="A349" s="190">
        <v>42905</v>
      </c>
      <c r="B349" s="78"/>
      <c r="C349" s="78"/>
      <c r="D349" s="80" t="s">
        <v>87</v>
      </c>
      <c r="E349" s="80">
        <v>5</v>
      </c>
      <c r="F349" s="87">
        <v>224</v>
      </c>
      <c r="G349" s="87">
        <v>1</v>
      </c>
      <c r="H349" s="80">
        <v>500</v>
      </c>
      <c r="I349" s="80">
        <v>18</v>
      </c>
      <c r="J349" s="80">
        <v>0</v>
      </c>
      <c r="K349" s="80">
        <v>8</v>
      </c>
      <c r="L349" s="80">
        <v>0</v>
      </c>
      <c r="M349" s="80">
        <v>5</v>
      </c>
      <c r="N349" s="80">
        <v>0</v>
      </c>
      <c r="P349" s="124">
        <f t="shared" si="27"/>
        <v>5166.666666666667</v>
      </c>
      <c r="Q349" s="124">
        <f t="shared" si="23"/>
        <v>0</v>
      </c>
      <c r="R349" s="161">
        <f t="shared" si="24"/>
        <v>1</v>
      </c>
      <c r="S349" s="189" t="str">
        <f>D349</f>
        <v>SN-6 Ambient</v>
      </c>
      <c r="Y349" s="87" t="str">
        <f>D349</f>
        <v>SN-6 Ambient</v>
      </c>
      <c r="Z349" s="352">
        <f>(SUMIFS($P$253:$P$316, $D$253:$D$316, Y349, $F$253:$F$316, "&lt;200"))+(SUMIFS($Q$253:$Q$316, $D$253:$D$316, Y349, $F$253:$F$316, "&lt;200"))</f>
        <v>38335</v>
      </c>
      <c r="AA349" s="124">
        <f>SUM(P349:Q352)</f>
        <v>133753.33333333334</v>
      </c>
      <c r="AB349" s="124">
        <f>SUMIFS(Collection!O:O, Collection!B:B, "*" &amp; 'Bucket Counts'!Y349 &amp; "*", Collection!A:A, "&lt;" &amp; 'Bucket Counts'!A349,Collection!A:A,  "&gt;=" &amp; 'Bucket Counts'!$A$253)</f>
        <v>124133.33333333333</v>
      </c>
      <c r="AC349" s="161">
        <f>AA349/(Z349+AB349)</f>
        <v>0.82325786563535475</v>
      </c>
    </row>
    <row r="350" spans="1:29" s="80" customFormat="1">
      <c r="A350" s="190">
        <v>42905</v>
      </c>
      <c r="B350" s="78"/>
      <c r="C350" s="78"/>
      <c r="D350" s="80" t="s">
        <v>87</v>
      </c>
      <c r="E350" s="80">
        <v>5</v>
      </c>
      <c r="F350" s="87">
        <v>180</v>
      </c>
      <c r="G350" s="87">
        <v>1</v>
      </c>
      <c r="H350" s="80">
        <v>800</v>
      </c>
      <c r="I350" s="80">
        <v>19</v>
      </c>
      <c r="J350" s="80">
        <v>1</v>
      </c>
      <c r="K350" s="80">
        <v>11</v>
      </c>
      <c r="L350" s="80">
        <v>1</v>
      </c>
      <c r="M350" s="80">
        <v>23</v>
      </c>
      <c r="N350" s="80">
        <v>0</v>
      </c>
      <c r="P350" s="124">
        <f t="shared" si="27"/>
        <v>14133.333333333334</v>
      </c>
      <c r="Q350" s="124">
        <f t="shared" si="23"/>
        <v>533.33333333333326</v>
      </c>
      <c r="R350" s="161">
        <f t="shared" si="24"/>
        <v>0.96363636363636362</v>
      </c>
      <c r="S350" s="187">
        <f>(SUM(P349:P352)/(SUM(P349:Q352)))</f>
        <v>0.41571549618701092</v>
      </c>
      <c r="Y350" s="87"/>
      <c r="Z350" s="361"/>
      <c r="AA350" s="124"/>
      <c r="AB350" s="124"/>
    </row>
    <row r="351" spans="1:29" s="80" customFormat="1">
      <c r="A351" s="190">
        <v>42905</v>
      </c>
      <c r="B351" s="78"/>
      <c r="C351" s="78"/>
      <c r="D351" s="80" t="s">
        <v>87</v>
      </c>
      <c r="E351" s="80">
        <v>5</v>
      </c>
      <c r="F351" s="87">
        <v>100</v>
      </c>
      <c r="G351" s="87">
        <v>1</v>
      </c>
      <c r="H351" s="80">
        <v>500</v>
      </c>
      <c r="I351" s="80">
        <v>66</v>
      </c>
      <c r="J351" s="80">
        <v>1</v>
      </c>
      <c r="K351" s="80">
        <v>81</v>
      </c>
      <c r="L351" s="80">
        <v>4</v>
      </c>
      <c r="M351" s="80">
        <v>62</v>
      </c>
      <c r="N351" s="80">
        <v>5</v>
      </c>
      <c r="P351" s="124">
        <f t="shared" si="27"/>
        <v>34833.333333333336</v>
      </c>
      <c r="Q351" s="124">
        <f t="shared" si="23"/>
        <v>1666.6666666666667</v>
      </c>
      <c r="R351" s="161">
        <f t="shared" si="24"/>
        <v>0.95433789954337911</v>
      </c>
      <c r="S351" s="188"/>
      <c r="Y351" s="87"/>
      <c r="Z351" s="361"/>
      <c r="AA351" s="124"/>
      <c r="AB351" s="124"/>
    </row>
    <row r="352" spans="1:29" s="80" customFormat="1">
      <c r="A352" s="190">
        <v>42905</v>
      </c>
      <c r="B352" s="78"/>
      <c r="C352" s="78"/>
      <c r="D352" s="80" t="s">
        <v>87</v>
      </c>
      <c r="E352" s="80">
        <v>5</v>
      </c>
      <c r="F352" s="87" t="s">
        <v>203</v>
      </c>
      <c r="G352" s="87">
        <v>1</v>
      </c>
      <c r="H352" s="80">
        <v>490</v>
      </c>
      <c r="I352" s="80">
        <v>5</v>
      </c>
      <c r="J352" s="80">
        <v>148</v>
      </c>
      <c r="K352" s="80">
        <v>2</v>
      </c>
      <c r="L352" s="80">
        <v>156</v>
      </c>
      <c r="M352" s="80">
        <v>2</v>
      </c>
      <c r="N352" s="80">
        <v>161</v>
      </c>
      <c r="P352" s="124">
        <f t="shared" si="27"/>
        <v>1470</v>
      </c>
      <c r="Q352" s="124">
        <f t="shared" si="23"/>
        <v>75950</v>
      </c>
      <c r="R352" s="161">
        <f t="shared" si="24"/>
        <v>1.8987341772151899E-2</v>
      </c>
      <c r="S352" s="188"/>
      <c r="Y352" s="87"/>
      <c r="Z352" s="361"/>
      <c r="AA352" s="124"/>
      <c r="AB352" s="124"/>
    </row>
    <row r="353" spans="1:29" s="80" customFormat="1">
      <c r="A353" s="190">
        <v>42905</v>
      </c>
      <c r="B353" s="78"/>
      <c r="C353" s="78"/>
      <c r="D353" s="80" t="s">
        <v>20</v>
      </c>
      <c r="E353" s="80">
        <v>5</v>
      </c>
      <c r="F353" s="87">
        <v>224</v>
      </c>
      <c r="G353" s="87">
        <v>1</v>
      </c>
      <c r="H353" s="80">
        <v>300</v>
      </c>
      <c r="I353" s="80">
        <v>1</v>
      </c>
      <c r="J353" s="80">
        <v>0</v>
      </c>
      <c r="K353" s="80">
        <v>0</v>
      </c>
      <c r="L353" s="80">
        <v>0</v>
      </c>
      <c r="M353" s="80">
        <v>0</v>
      </c>
      <c r="N353" s="80">
        <v>0</v>
      </c>
      <c r="P353" s="124">
        <f t="shared" si="27"/>
        <v>100</v>
      </c>
      <c r="Q353" s="124">
        <f t="shared" si="23"/>
        <v>0</v>
      </c>
      <c r="R353" s="161">
        <f t="shared" si="24"/>
        <v>1</v>
      </c>
      <c r="S353" s="189" t="str">
        <f>D353</f>
        <v>K-10 Low</v>
      </c>
      <c r="T353" s="81"/>
      <c r="U353" s="81"/>
      <c r="V353" s="81"/>
      <c r="Y353" s="87" t="str">
        <f>D353</f>
        <v>K-10 Low</v>
      </c>
      <c r="Z353" s="352">
        <f>(SUMIFS($P$253:$P$316, $D$253:$D$316, Y353, $F$253:$F$316, "&lt;200"))+(SUMIFS($Q$253:$Q$316, $D$253:$D$316, Y353, $F$253:$F$316, "&lt;200"))</f>
        <v>4083.3333333333335</v>
      </c>
      <c r="AA353" s="124">
        <f>SUM(P353:Q356)</f>
        <v>3900</v>
      </c>
      <c r="AB353" s="124">
        <f>SUMIFS(Collection!O:O, Collection!B:B, "*" &amp; 'Bucket Counts'!Y353 &amp; "*", Collection!A:A, "&lt;" &amp; 'Bucket Counts'!A353,Collection!A:A,  "&gt;=" &amp; 'Bucket Counts'!$A$253)</f>
        <v>0</v>
      </c>
      <c r="AC353" s="161">
        <f>AA353/(Z353+AB353)</f>
        <v>0.95510204081632655</v>
      </c>
    </row>
    <row r="354" spans="1:29" s="80" customFormat="1">
      <c r="A354" s="190">
        <v>42905</v>
      </c>
      <c r="B354" s="78"/>
      <c r="C354" s="78"/>
      <c r="D354" s="80" t="s">
        <v>20</v>
      </c>
      <c r="E354" s="80">
        <v>5</v>
      </c>
      <c r="F354" s="87">
        <v>180</v>
      </c>
      <c r="G354" s="87">
        <v>1</v>
      </c>
      <c r="H354" s="80">
        <v>500</v>
      </c>
      <c r="I354" s="80">
        <v>0</v>
      </c>
      <c r="J354" s="80">
        <v>2</v>
      </c>
      <c r="K354" s="80">
        <v>1</v>
      </c>
      <c r="L354" s="80">
        <v>0</v>
      </c>
      <c r="M354" s="80">
        <v>3</v>
      </c>
      <c r="N354" s="80">
        <v>0</v>
      </c>
      <c r="P354" s="124">
        <f t="shared" si="27"/>
        <v>666.66666666666663</v>
      </c>
      <c r="Q354" s="124">
        <f t="shared" si="23"/>
        <v>333.33333333333331</v>
      </c>
      <c r="R354" s="161">
        <f t="shared" si="24"/>
        <v>0.66666666666666663</v>
      </c>
      <c r="S354" s="187">
        <f>(SUM(P353:P356)/(SUM(P353:Q356)))</f>
        <v>0.32478632478632474</v>
      </c>
      <c r="T354" s="81"/>
      <c r="U354" s="81"/>
      <c r="V354" s="81"/>
      <c r="Y354" s="87"/>
      <c r="Z354" s="361"/>
      <c r="AA354" s="124"/>
      <c r="AB354" s="124"/>
    </row>
    <row r="355" spans="1:29" s="80" customFormat="1">
      <c r="A355" s="190">
        <v>42905</v>
      </c>
      <c r="B355" s="78"/>
      <c r="C355" s="78"/>
      <c r="D355" s="80" t="s">
        <v>20</v>
      </c>
      <c r="E355" s="80">
        <v>5</v>
      </c>
      <c r="F355" s="87">
        <v>100</v>
      </c>
      <c r="G355" s="87">
        <v>1</v>
      </c>
      <c r="H355" s="80">
        <v>300</v>
      </c>
      <c r="I355" s="80">
        <v>1</v>
      </c>
      <c r="J355" s="80">
        <v>0</v>
      </c>
      <c r="K355" s="80">
        <v>1</v>
      </c>
      <c r="L355" s="80">
        <v>2</v>
      </c>
      <c r="M355" s="80">
        <v>3</v>
      </c>
      <c r="N355" s="80">
        <v>0</v>
      </c>
      <c r="P355" s="124">
        <f t="shared" si="27"/>
        <v>500</v>
      </c>
      <c r="Q355" s="124">
        <f t="shared" si="23"/>
        <v>200</v>
      </c>
      <c r="R355" s="161">
        <f t="shared" si="24"/>
        <v>0.7142857142857143</v>
      </c>
      <c r="S355" s="188"/>
      <c r="T355" s="81"/>
      <c r="U355" s="81"/>
      <c r="V355" s="81"/>
      <c r="Y355" s="87"/>
      <c r="Z355" s="361"/>
      <c r="AA355" s="124"/>
      <c r="AB355" s="124"/>
    </row>
    <row r="356" spans="1:29" s="80" customFormat="1">
      <c r="A356" s="190">
        <v>42905</v>
      </c>
      <c r="B356" s="78"/>
      <c r="C356" s="78"/>
      <c r="D356" s="80" t="s">
        <v>20</v>
      </c>
      <c r="E356" s="80">
        <v>5</v>
      </c>
      <c r="F356" s="87" t="s">
        <v>203</v>
      </c>
      <c r="G356" s="87">
        <v>1</v>
      </c>
      <c r="H356" s="80">
        <v>300</v>
      </c>
      <c r="I356" s="80">
        <v>0</v>
      </c>
      <c r="J356" s="80">
        <v>1</v>
      </c>
      <c r="K356" s="80">
        <v>0</v>
      </c>
      <c r="L356" s="80">
        <v>6</v>
      </c>
      <c r="M356" s="80">
        <v>0</v>
      </c>
      <c r="N356" s="80">
        <v>14</v>
      </c>
      <c r="P356" s="124">
        <f t="shared" si="27"/>
        <v>0</v>
      </c>
      <c r="Q356" s="124">
        <f t="shared" ref="Q356:Q419" si="28">(AVERAGE(J356,L356,N356)/G356)*H356</f>
        <v>2100</v>
      </c>
      <c r="R356" s="161">
        <f t="shared" ref="R356:R419" si="29">P356/(P356+Q356)</f>
        <v>0</v>
      </c>
      <c r="S356" s="188"/>
      <c r="T356" s="81"/>
      <c r="U356" s="81"/>
      <c r="V356" s="81"/>
      <c r="Y356" s="87"/>
      <c r="Z356" s="361"/>
      <c r="AA356" s="124"/>
      <c r="AB356" s="124"/>
    </row>
    <row r="357" spans="1:29" s="80" customFormat="1">
      <c r="A357" s="190">
        <v>42905</v>
      </c>
      <c r="B357" s="78"/>
      <c r="C357" s="78"/>
      <c r="D357" s="80" t="s">
        <v>84</v>
      </c>
      <c r="E357" s="80">
        <v>6</v>
      </c>
      <c r="F357" s="87">
        <v>224</v>
      </c>
      <c r="G357" s="87">
        <v>2</v>
      </c>
      <c r="H357" s="80">
        <v>480</v>
      </c>
      <c r="I357" s="80">
        <v>4</v>
      </c>
      <c r="J357" s="80">
        <v>1</v>
      </c>
      <c r="K357" s="80">
        <v>2</v>
      </c>
      <c r="L357" s="80">
        <v>2</v>
      </c>
      <c r="M357" s="80">
        <v>5</v>
      </c>
      <c r="N357" s="80">
        <v>0</v>
      </c>
      <c r="P357" s="124">
        <f t="shared" si="27"/>
        <v>880</v>
      </c>
      <c r="Q357" s="124">
        <f t="shared" si="28"/>
        <v>240</v>
      </c>
      <c r="R357" s="161">
        <f t="shared" si="29"/>
        <v>0.7857142857142857</v>
      </c>
      <c r="S357" s="189" t="str">
        <f>D357</f>
        <v>NF-10 Ambient</v>
      </c>
      <c r="T357" s="81"/>
      <c r="U357" s="81"/>
      <c r="V357" s="81"/>
      <c r="Y357" s="87" t="str">
        <f>D357</f>
        <v>NF-10 Ambient</v>
      </c>
      <c r="Z357" s="352">
        <f>(SUMIFS($P$253:$P$316, $D$253:$D$316, Y357, $F$253:$F$316, "&lt;200"))+(SUMIFS($Q$253:$Q$316, $D$253:$D$316, Y357, $F$253:$F$316, "&lt;200"))</f>
        <v>94049.999999999985</v>
      </c>
      <c r="AA357" s="124">
        <f>SUM(P357:Q360)</f>
        <v>146346.66666666669</v>
      </c>
      <c r="AB357" s="124">
        <f>SUMIFS(Collection!O:O, Collection!B:B, "*" &amp; 'Bucket Counts'!Y357 &amp; "*", Collection!A:A, "&lt;" &amp; 'Bucket Counts'!A357,Collection!A:A,  "&gt;=" &amp; 'Bucket Counts'!$A$253)</f>
        <v>47900</v>
      </c>
      <c r="AC357" s="161">
        <f>AA357/(Z357+AB357)</f>
        <v>1.0309733474228016</v>
      </c>
    </row>
    <row r="358" spans="1:29" s="80" customFormat="1">
      <c r="A358" s="190">
        <v>42905</v>
      </c>
      <c r="B358" s="78"/>
      <c r="C358" s="78"/>
      <c r="D358" s="80" t="s">
        <v>84</v>
      </c>
      <c r="E358" s="80">
        <v>6</v>
      </c>
      <c r="F358" s="87">
        <v>180</v>
      </c>
      <c r="G358" s="87">
        <v>1</v>
      </c>
      <c r="H358" s="80">
        <v>800</v>
      </c>
      <c r="I358" s="80">
        <v>13</v>
      </c>
      <c r="J358" s="80">
        <v>1</v>
      </c>
      <c r="K358" s="80">
        <v>13</v>
      </c>
      <c r="L358" s="80">
        <v>4</v>
      </c>
      <c r="M358" s="80">
        <v>17</v>
      </c>
      <c r="N358" s="80">
        <v>3</v>
      </c>
      <c r="P358" s="124">
        <f t="shared" si="27"/>
        <v>11466.666666666668</v>
      </c>
      <c r="Q358" s="124">
        <f t="shared" si="28"/>
        <v>2133.333333333333</v>
      </c>
      <c r="R358" s="161">
        <f t="shared" si="29"/>
        <v>0.8431372549019609</v>
      </c>
      <c r="S358" s="187">
        <f>(SUM(P357:P360)/(SUM(P357:Q360)))</f>
        <v>0.5056486880466472</v>
      </c>
      <c r="T358" s="81"/>
      <c r="U358" s="81"/>
      <c r="V358" s="81"/>
      <c r="Y358" s="87"/>
      <c r="Z358" s="361"/>
      <c r="AA358" s="124"/>
      <c r="AB358" s="124"/>
    </row>
    <row r="359" spans="1:29" s="80" customFormat="1">
      <c r="A359" s="190">
        <v>42905</v>
      </c>
      <c r="B359" s="78"/>
      <c r="C359" s="78"/>
      <c r="D359" s="80" t="s">
        <v>84</v>
      </c>
      <c r="E359" s="80">
        <v>6</v>
      </c>
      <c r="F359" s="87">
        <v>100</v>
      </c>
      <c r="G359" s="87">
        <v>1</v>
      </c>
      <c r="H359" s="80">
        <v>800</v>
      </c>
      <c r="I359" s="80">
        <v>78</v>
      </c>
      <c r="J359" s="80">
        <v>4</v>
      </c>
      <c r="K359" s="80">
        <v>56</v>
      </c>
      <c r="L359" s="80">
        <v>2</v>
      </c>
      <c r="M359" s="80">
        <v>78</v>
      </c>
      <c r="N359" s="80">
        <v>5</v>
      </c>
      <c r="P359" s="124">
        <f>(AVERAGE(I359,K359,M359)/G359)*H359</f>
        <v>56533.333333333336</v>
      </c>
      <c r="Q359" s="124">
        <f t="shared" si="28"/>
        <v>2933.333333333333</v>
      </c>
      <c r="R359" s="161">
        <f t="shared" si="29"/>
        <v>0.95067264573991028</v>
      </c>
      <c r="S359" s="188"/>
      <c r="T359" s="81"/>
      <c r="U359" s="81"/>
      <c r="V359" s="81"/>
      <c r="Y359" s="87"/>
      <c r="Z359" s="361"/>
      <c r="AA359" s="124"/>
      <c r="AB359" s="124"/>
    </row>
    <row r="360" spans="1:29" s="80" customFormat="1">
      <c r="A360" s="190">
        <v>42905</v>
      </c>
      <c r="B360" s="78"/>
      <c r="C360" s="78"/>
      <c r="D360" s="80" t="s">
        <v>84</v>
      </c>
      <c r="E360" s="80">
        <v>6</v>
      </c>
      <c r="F360" s="87" t="s">
        <v>203</v>
      </c>
      <c r="G360" s="87">
        <v>1</v>
      </c>
      <c r="H360" s="80">
        <v>480</v>
      </c>
      <c r="I360" s="80">
        <v>7</v>
      </c>
      <c r="J360" s="80">
        <v>122</v>
      </c>
      <c r="K360" s="80">
        <v>11</v>
      </c>
      <c r="L360" s="80">
        <v>166</v>
      </c>
      <c r="M360" s="80">
        <v>14</v>
      </c>
      <c r="N360" s="80">
        <v>131</v>
      </c>
      <c r="P360" s="124">
        <f t="shared" si="27"/>
        <v>5120</v>
      </c>
      <c r="Q360" s="124">
        <f t="shared" si="28"/>
        <v>67040</v>
      </c>
      <c r="R360" s="161">
        <f t="shared" si="29"/>
        <v>7.0953436807095344E-2</v>
      </c>
      <c r="S360" s="188"/>
      <c r="T360" s="81"/>
      <c r="U360" s="81"/>
      <c r="V360" s="81"/>
      <c r="Y360" s="87"/>
      <c r="Z360" s="361"/>
      <c r="AA360" s="124"/>
      <c r="AB360" s="124"/>
    </row>
    <row r="361" spans="1:29" s="80" customFormat="1">
      <c r="A361" s="190">
        <v>42905</v>
      </c>
      <c r="B361" s="78"/>
      <c r="C361" s="78"/>
      <c r="D361" s="80" t="s">
        <v>109</v>
      </c>
      <c r="E361" s="80">
        <v>6</v>
      </c>
      <c r="F361" s="87">
        <v>224</v>
      </c>
      <c r="G361" s="87">
        <v>1</v>
      </c>
      <c r="H361" s="80">
        <v>500</v>
      </c>
      <c r="I361" s="80">
        <v>1</v>
      </c>
      <c r="J361" s="80">
        <v>0</v>
      </c>
      <c r="K361" s="80">
        <v>1</v>
      </c>
      <c r="L361" s="80">
        <v>0</v>
      </c>
      <c r="M361" s="80">
        <v>3</v>
      </c>
      <c r="N361" s="80">
        <v>0</v>
      </c>
      <c r="P361" s="124">
        <f t="shared" si="27"/>
        <v>833.33333333333337</v>
      </c>
      <c r="Q361" s="124">
        <f t="shared" si="28"/>
        <v>0</v>
      </c>
      <c r="R361" s="161">
        <f t="shared" si="29"/>
        <v>1</v>
      </c>
      <c r="S361" s="189" t="str">
        <f>D361</f>
        <v>HL-10 Low</v>
      </c>
      <c r="T361" s="81"/>
      <c r="U361" s="81"/>
      <c r="V361" s="81"/>
      <c r="Y361" s="87" t="str">
        <f>D361</f>
        <v>HL-10 Low</v>
      </c>
      <c r="Z361" s="352">
        <f>(SUMIFS($P$253:$P$316, $D$253:$D$316, Y361, $F$253:$F$316, "&lt;200"))+(SUMIFS($Q$253:$Q$316, $D$253:$D$316, Y361, $F$253:$F$316, "&lt;200"))</f>
        <v>127125.00000000001</v>
      </c>
      <c r="AA361" s="124">
        <f>SUM(P361:Q364)</f>
        <v>144446.66666666666</v>
      </c>
      <c r="AB361" s="124">
        <f>SUMIFS(Collection!O:O, Collection!B:B, "*" &amp; 'Bucket Counts'!Y361 &amp; "*", Collection!A:A, "&lt;" &amp; 'Bucket Counts'!A361,Collection!A:A,  "&gt;=" &amp; 'Bucket Counts'!$A$253)</f>
        <v>31150</v>
      </c>
      <c r="AC361" s="161">
        <f>AA361/(Z361+AB361)</f>
        <v>0.91263096930448051</v>
      </c>
    </row>
    <row r="362" spans="1:29" s="80" customFormat="1">
      <c r="A362" s="190">
        <v>42905</v>
      </c>
      <c r="B362" s="78"/>
      <c r="C362" s="78"/>
      <c r="D362" s="80" t="s">
        <v>109</v>
      </c>
      <c r="E362" s="80">
        <v>6</v>
      </c>
      <c r="F362" s="87">
        <v>180</v>
      </c>
      <c r="G362" s="87">
        <v>1</v>
      </c>
      <c r="H362" s="80">
        <v>800</v>
      </c>
      <c r="I362" s="80">
        <v>22</v>
      </c>
      <c r="J362" s="80">
        <v>0</v>
      </c>
      <c r="K362" s="80">
        <v>18</v>
      </c>
      <c r="L362" s="80">
        <v>1</v>
      </c>
      <c r="M362" s="80">
        <v>26</v>
      </c>
      <c r="N362" s="80">
        <v>0</v>
      </c>
      <c r="P362" s="124">
        <f t="shared" si="27"/>
        <v>17600</v>
      </c>
      <c r="Q362" s="124">
        <f t="shared" si="28"/>
        <v>266.66666666666663</v>
      </c>
      <c r="R362" s="161">
        <f t="shared" si="29"/>
        <v>0.9850746268656716</v>
      </c>
      <c r="S362" s="187">
        <f>(SUM(P361:P364)/(SUM(P361:Q364)))</f>
        <v>0.69109706004523008</v>
      </c>
      <c r="T362" s="81"/>
      <c r="U362" s="81"/>
      <c r="V362" s="81"/>
      <c r="Y362" s="87"/>
      <c r="Z362" s="361"/>
      <c r="AA362" s="124"/>
      <c r="AB362" s="124"/>
    </row>
    <row r="363" spans="1:29" s="80" customFormat="1">
      <c r="A363" s="190">
        <v>42905</v>
      </c>
      <c r="B363" s="78"/>
      <c r="C363" s="78"/>
      <c r="D363" s="80" t="s">
        <v>109</v>
      </c>
      <c r="E363" s="80">
        <v>6</v>
      </c>
      <c r="F363" s="87">
        <v>100</v>
      </c>
      <c r="G363" s="87">
        <v>1</v>
      </c>
      <c r="H363" s="80">
        <v>820</v>
      </c>
      <c r="I363" s="80">
        <v>81</v>
      </c>
      <c r="J363" s="80">
        <v>2</v>
      </c>
      <c r="K363" s="80">
        <v>105</v>
      </c>
      <c r="L363" s="80">
        <v>3</v>
      </c>
      <c r="M363" s="80">
        <v>88</v>
      </c>
      <c r="N363" s="80">
        <v>3</v>
      </c>
      <c r="P363" s="124">
        <f t="shared" si="27"/>
        <v>74893.333333333328</v>
      </c>
      <c r="Q363" s="124">
        <f t="shared" si="28"/>
        <v>2186.6666666666665</v>
      </c>
      <c r="R363" s="161">
        <f t="shared" si="29"/>
        <v>0.97163120567375882</v>
      </c>
      <c r="S363" s="188"/>
      <c r="T363" s="81"/>
      <c r="U363" s="81"/>
      <c r="V363" s="81"/>
      <c r="Y363" s="87"/>
      <c r="Z363" s="361"/>
      <c r="AA363" s="124"/>
      <c r="AB363" s="124"/>
    </row>
    <row r="364" spans="1:29" s="80" customFormat="1">
      <c r="A364" s="190">
        <v>42905</v>
      </c>
      <c r="B364" s="78"/>
      <c r="C364" s="78"/>
      <c r="D364" s="80" t="s">
        <v>109</v>
      </c>
      <c r="E364" s="80">
        <v>6</v>
      </c>
      <c r="F364" s="87" t="s">
        <v>203</v>
      </c>
      <c r="G364" s="87">
        <v>1</v>
      </c>
      <c r="H364" s="80">
        <v>500</v>
      </c>
      <c r="I364" s="80">
        <v>14</v>
      </c>
      <c r="J364" s="80">
        <v>84</v>
      </c>
      <c r="K364" s="80">
        <v>15</v>
      </c>
      <c r="L364" s="80">
        <v>89</v>
      </c>
      <c r="M364" s="80">
        <v>10</v>
      </c>
      <c r="N364" s="80">
        <v>80</v>
      </c>
      <c r="P364" s="124">
        <f t="shared" ref="P364:P380" si="30">(AVERAGE(I364,K364,M364)/G364)*H364</f>
        <v>6500</v>
      </c>
      <c r="Q364" s="124">
        <f t="shared" si="28"/>
        <v>42166.666666666664</v>
      </c>
      <c r="R364" s="161">
        <f t="shared" si="29"/>
        <v>0.13356164383561644</v>
      </c>
      <c r="S364" s="188"/>
      <c r="T364" s="81"/>
      <c r="U364" s="81"/>
      <c r="V364" s="81"/>
      <c r="Y364" s="87"/>
      <c r="Z364" s="361"/>
      <c r="AA364" s="124"/>
      <c r="AB364" s="124"/>
    </row>
    <row r="365" spans="1:29" s="80" customFormat="1">
      <c r="A365" s="190">
        <v>42905</v>
      </c>
      <c r="B365" s="78"/>
      <c r="C365" s="78"/>
      <c r="D365" s="80" t="s">
        <v>17</v>
      </c>
      <c r="E365" s="80">
        <v>7</v>
      </c>
      <c r="F365" s="87">
        <v>224</v>
      </c>
      <c r="G365" s="87">
        <v>1</v>
      </c>
      <c r="H365" s="80">
        <v>500</v>
      </c>
      <c r="I365" s="80">
        <v>6</v>
      </c>
      <c r="J365" s="80">
        <v>0</v>
      </c>
      <c r="K365" s="80">
        <v>4</v>
      </c>
      <c r="L365" s="80">
        <v>0</v>
      </c>
      <c r="M365" s="80">
        <v>3</v>
      </c>
      <c r="N365" s="80">
        <v>0</v>
      </c>
      <c r="P365" s="124">
        <f t="shared" si="30"/>
        <v>2166.6666666666665</v>
      </c>
      <c r="Q365" s="124">
        <f t="shared" si="28"/>
        <v>0</v>
      </c>
      <c r="R365" s="161">
        <f t="shared" si="29"/>
        <v>1</v>
      </c>
      <c r="S365" s="189" t="str">
        <f>D365</f>
        <v>K-10 Ambient</v>
      </c>
      <c r="T365" s="81"/>
      <c r="U365" s="81"/>
      <c r="V365" s="81"/>
      <c r="Y365" s="87" t="str">
        <f>D365</f>
        <v>K-10 Ambient</v>
      </c>
      <c r="Z365" s="352">
        <f>(SUMIFS($P$253:$P$316, $D$253:$D$316, Y365, $F$253:$F$316, "&lt;200"))+(SUMIFS($Q$253:$Q$316, $D$253:$D$316, Y365, $F$253:$F$316, "&lt;200"))</f>
        <v>56000</v>
      </c>
      <c r="AA365" s="124">
        <f>SUM(P365:Q368)</f>
        <v>74500</v>
      </c>
      <c r="AB365" s="124">
        <f>SUMIFS(Collection!O:O, Collection!B:B, "*" &amp; 'Bucket Counts'!Y365 &amp; "*", Collection!A:A, "&lt;" &amp; 'Bucket Counts'!A365,Collection!A:A,  "&gt;=" &amp; 'Bucket Counts'!$A$253)</f>
        <v>30966.666666666668</v>
      </c>
      <c r="AC365" s="161">
        <f>AA365/(Z365+AB365)</f>
        <v>0.85665005749329237</v>
      </c>
    </row>
    <row r="366" spans="1:29" s="80" customFormat="1">
      <c r="A366" s="190">
        <v>42905</v>
      </c>
      <c r="B366" s="78"/>
      <c r="C366" s="78"/>
      <c r="D366" s="80" t="s">
        <v>17</v>
      </c>
      <c r="E366" s="80">
        <v>7</v>
      </c>
      <c r="F366" s="87">
        <v>180</v>
      </c>
      <c r="G366" s="87">
        <v>1</v>
      </c>
      <c r="H366" s="80">
        <v>500</v>
      </c>
      <c r="I366" s="80">
        <v>15</v>
      </c>
      <c r="J366" s="80">
        <v>1</v>
      </c>
      <c r="K366" s="80">
        <v>19</v>
      </c>
      <c r="L366" s="80">
        <v>0</v>
      </c>
      <c r="M366" s="80">
        <v>19</v>
      </c>
      <c r="N366" s="80">
        <v>1</v>
      </c>
      <c r="P366" s="124">
        <f t="shared" si="30"/>
        <v>8833.3333333333339</v>
      </c>
      <c r="Q366" s="124">
        <f t="shared" si="28"/>
        <v>333.33333333333331</v>
      </c>
      <c r="R366" s="161">
        <f t="shared" si="29"/>
        <v>0.96363636363636362</v>
      </c>
      <c r="S366" s="187">
        <f>(SUM(P365:P368)/(SUM(P365:Q368)))</f>
        <v>0.4787472035794183</v>
      </c>
      <c r="T366" s="81"/>
      <c r="U366" s="81"/>
      <c r="V366" s="81"/>
      <c r="Y366" s="87"/>
      <c r="Z366" s="361"/>
      <c r="AA366" s="124"/>
      <c r="AB366" s="124"/>
    </row>
    <row r="367" spans="1:29" s="80" customFormat="1">
      <c r="A367" s="190">
        <v>42905</v>
      </c>
      <c r="B367" s="78"/>
      <c r="C367" s="78"/>
      <c r="D367" s="80" t="s">
        <v>17</v>
      </c>
      <c r="E367" s="80">
        <v>7</v>
      </c>
      <c r="F367" s="87">
        <v>100</v>
      </c>
      <c r="G367" s="87">
        <v>1</v>
      </c>
      <c r="H367" s="80">
        <v>500</v>
      </c>
      <c r="I367" s="80">
        <v>51</v>
      </c>
      <c r="J367" s="80">
        <v>0</v>
      </c>
      <c r="K367" s="80">
        <v>34</v>
      </c>
      <c r="L367" s="80">
        <v>4</v>
      </c>
      <c r="M367" s="80">
        <v>41</v>
      </c>
      <c r="N367" s="80">
        <v>1</v>
      </c>
      <c r="P367" s="124">
        <f t="shared" si="30"/>
        <v>21000</v>
      </c>
      <c r="Q367" s="124">
        <f t="shared" si="28"/>
        <v>833.33333333333337</v>
      </c>
      <c r="R367" s="161">
        <f t="shared" si="29"/>
        <v>0.96183206106870234</v>
      </c>
      <c r="S367" s="188"/>
      <c r="T367" s="81"/>
      <c r="U367" s="81"/>
      <c r="V367" s="81"/>
      <c r="Y367" s="87"/>
      <c r="Z367" s="361"/>
      <c r="AA367" s="124"/>
      <c r="AB367" s="124"/>
    </row>
    <row r="368" spans="1:29" s="80" customFormat="1">
      <c r="A368" s="190">
        <v>42905</v>
      </c>
      <c r="B368" s="78"/>
      <c r="C368" s="78"/>
      <c r="D368" s="80" t="s">
        <v>17</v>
      </c>
      <c r="E368" s="80">
        <v>7</v>
      </c>
      <c r="F368" s="87" t="s">
        <v>203</v>
      </c>
      <c r="G368" s="87">
        <v>1</v>
      </c>
      <c r="H368" s="80">
        <v>500</v>
      </c>
      <c r="I368" s="80">
        <v>11</v>
      </c>
      <c r="J368" s="80">
        <v>75</v>
      </c>
      <c r="K368" s="80">
        <v>5</v>
      </c>
      <c r="L368" s="80">
        <v>66</v>
      </c>
      <c r="M368" s="80">
        <v>6</v>
      </c>
      <c r="N368" s="80">
        <v>85</v>
      </c>
      <c r="P368" s="124">
        <f t="shared" si="30"/>
        <v>3666.6666666666665</v>
      </c>
      <c r="Q368" s="124">
        <f t="shared" si="28"/>
        <v>37666.666666666664</v>
      </c>
      <c r="R368" s="161">
        <f t="shared" si="29"/>
        <v>8.8709677419354843E-2</v>
      </c>
      <c r="S368" s="188"/>
      <c r="T368" s="81"/>
      <c r="U368" s="81"/>
      <c r="V368" s="81"/>
      <c r="Y368" s="87"/>
      <c r="Z368" s="361"/>
      <c r="AA368" s="124"/>
      <c r="AB368" s="124"/>
    </row>
    <row r="369" spans="1:30" s="80" customFormat="1">
      <c r="A369" s="190">
        <v>42905</v>
      </c>
      <c r="B369" s="78"/>
      <c r="C369" s="78"/>
      <c r="D369" s="80" t="s">
        <v>88</v>
      </c>
      <c r="E369" s="80">
        <v>7</v>
      </c>
      <c r="F369" s="87">
        <v>224</v>
      </c>
      <c r="G369" s="87">
        <v>1</v>
      </c>
      <c r="H369" s="80">
        <v>500</v>
      </c>
      <c r="I369" s="80">
        <v>6</v>
      </c>
      <c r="J369" s="80">
        <v>0</v>
      </c>
      <c r="K369" s="80">
        <v>7</v>
      </c>
      <c r="L369" s="80">
        <v>0</v>
      </c>
      <c r="M369" s="80">
        <v>7</v>
      </c>
      <c r="N369" s="80">
        <v>0</v>
      </c>
      <c r="P369" s="124">
        <f t="shared" si="30"/>
        <v>3333.3333333333335</v>
      </c>
      <c r="Q369" s="124">
        <f t="shared" si="28"/>
        <v>0</v>
      </c>
      <c r="R369" s="161">
        <f t="shared" si="29"/>
        <v>1</v>
      </c>
      <c r="S369" s="189" t="str">
        <f>D369</f>
        <v>HL-10 Ambient</v>
      </c>
      <c r="T369" s="81"/>
      <c r="U369" s="81"/>
      <c r="V369" s="81"/>
      <c r="Y369" s="87" t="str">
        <f>D369</f>
        <v>HL-10 Ambient</v>
      </c>
      <c r="Z369" s="352">
        <f>(SUMIFS($P$253:$P$316, $D$253:$D$316, Y369, $F$253:$F$316, "&lt;200"))+(SUMIFS($Q$253:$Q$316, $D$253:$D$316, Y369, $F$253:$F$316, "&lt;200"))</f>
        <v>48500</v>
      </c>
      <c r="AA369" s="124">
        <f>SUM(P369:Q372)</f>
        <v>44800</v>
      </c>
      <c r="AB369" s="124">
        <f>SUMIFS(Collection!O:O, Collection!B:B, "*" &amp; 'Bucket Counts'!Y369 &amp; "*", Collection!A:A, "&lt;" &amp; 'Bucket Counts'!A369,Collection!A:A,  "&gt;=" &amp; 'Bucket Counts'!$A$253)</f>
        <v>0</v>
      </c>
      <c r="AC369" s="161">
        <f>AA369/(Z369+AB369)</f>
        <v>0.92371134020618562</v>
      </c>
    </row>
    <row r="370" spans="1:30" s="80" customFormat="1">
      <c r="A370" s="190">
        <v>42905</v>
      </c>
      <c r="B370" s="78"/>
      <c r="C370" s="78"/>
      <c r="D370" s="80" t="s">
        <v>88</v>
      </c>
      <c r="E370" s="80">
        <v>7</v>
      </c>
      <c r="F370" s="87">
        <v>180</v>
      </c>
      <c r="G370" s="87">
        <v>1</v>
      </c>
      <c r="H370" s="80">
        <v>800</v>
      </c>
      <c r="I370" s="80">
        <v>19</v>
      </c>
      <c r="J370" s="80">
        <v>0</v>
      </c>
      <c r="K370" s="80">
        <v>29</v>
      </c>
      <c r="L370" s="80">
        <v>0</v>
      </c>
      <c r="M370" s="80">
        <v>22</v>
      </c>
      <c r="N370" s="80">
        <v>0</v>
      </c>
      <c r="P370" s="124">
        <f t="shared" si="30"/>
        <v>18666.666666666664</v>
      </c>
      <c r="Q370" s="124">
        <f t="shared" si="28"/>
        <v>0</v>
      </c>
      <c r="R370" s="161">
        <f t="shared" si="29"/>
        <v>1</v>
      </c>
      <c r="S370" s="187">
        <f>(SUM(P369:P372)/(SUM(P369:Q372)))</f>
        <v>0.58110119047619035</v>
      </c>
      <c r="T370" s="81"/>
      <c r="U370" s="81"/>
      <c r="V370" s="81"/>
      <c r="Y370" s="87"/>
      <c r="Z370" s="361"/>
      <c r="AA370" s="124"/>
      <c r="AB370" s="124"/>
    </row>
    <row r="371" spans="1:30" s="80" customFormat="1">
      <c r="A371" s="190">
        <v>42905</v>
      </c>
      <c r="B371" s="78"/>
      <c r="C371" s="78"/>
      <c r="D371" s="80" t="s">
        <v>88</v>
      </c>
      <c r="E371" s="80">
        <v>7</v>
      </c>
      <c r="F371" s="87">
        <v>100</v>
      </c>
      <c r="G371" s="87">
        <v>1</v>
      </c>
      <c r="H371" s="80">
        <v>300</v>
      </c>
      <c r="I371" s="80">
        <v>9</v>
      </c>
      <c r="J371" s="80">
        <v>1</v>
      </c>
      <c r="K371" s="80">
        <v>4</v>
      </c>
      <c r="L371" s="80">
        <v>0</v>
      </c>
      <c r="M371" s="80">
        <v>4</v>
      </c>
      <c r="N371" s="80">
        <v>0</v>
      </c>
      <c r="P371" s="124">
        <f t="shared" si="30"/>
        <v>1700</v>
      </c>
      <c r="Q371" s="124">
        <f t="shared" si="28"/>
        <v>100</v>
      </c>
      <c r="R371" s="161">
        <f t="shared" si="29"/>
        <v>0.94444444444444442</v>
      </c>
      <c r="S371" s="188"/>
      <c r="T371" s="81"/>
      <c r="U371" s="81"/>
      <c r="V371" s="81"/>
      <c r="Y371" s="87"/>
      <c r="Z371" s="361"/>
      <c r="AA371" s="124"/>
      <c r="AB371" s="124"/>
    </row>
    <row r="372" spans="1:30" s="80" customFormat="1">
      <c r="A372" s="190">
        <v>42905</v>
      </c>
      <c r="B372" s="78"/>
      <c r="C372" s="78"/>
      <c r="D372" s="80" t="s">
        <v>88</v>
      </c>
      <c r="E372" s="80">
        <v>7</v>
      </c>
      <c r="F372" s="87" t="s">
        <v>203</v>
      </c>
      <c r="G372" s="87">
        <v>1</v>
      </c>
      <c r="H372" s="80">
        <v>500</v>
      </c>
      <c r="I372" s="80">
        <v>5</v>
      </c>
      <c r="J372" s="80">
        <v>40</v>
      </c>
      <c r="K372" s="80">
        <v>4</v>
      </c>
      <c r="L372" s="80">
        <v>36</v>
      </c>
      <c r="M372" s="80">
        <v>5</v>
      </c>
      <c r="N372" s="80">
        <v>36</v>
      </c>
      <c r="P372" s="124">
        <f t="shared" si="30"/>
        <v>2333.3333333333335</v>
      </c>
      <c r="Q372" s="124">
        <f t="shared" si="28"/>
        <v>18666.666666666668</v>
      </c>
      <c r="R372" s="161">
        <f t="shared" si="29"/>
        <v>0.11111111111111112</v>
      </c>
      <c r="S372" s="188"/>
      <c r="T372" s="81"/>
      <c r="U372" s="81"/>
      <c r="V372" s="81"/>
      <c r="Y372" s="87"/>
      <c r="Z372" s="361"/>
      <c r="AA372" s="124"/>
      <c r="AB372" s="124"/>
    </row>
    <row r="373" spans="1:30" s="80" customFormat="1">
      <c r="A373" s="190">
        <v>42905</v>
      </c>
      <c r="B373" s="78"/>
      <c r="C373" s="78"/>
      <c r="D373" s="80" t="s">
        <v>38</v>
      </c>
      <c r="E373" s="80">
        <v>8</v>
      </c>
      <c r="F373" s="87">
        <v>224</v>
      </c>
      <c r="G373" s="87">
        <v>1</v>
      </c>
      <c r="H373" s="80">
        <v>500</v>
      </c>
      <c r="I373" s="228">
        <v>3</v>
      </c>
      <c r="J373" s="80">
        <v>0</v>
      </c>
      <c r="K373" s="80">
        <v>14</v>
      </c>
      <c r="L373" s="80">
        <v>1</v>
      </c>
      <c r="M373" s="80">
        <v>11</v>
      </c>
      <c r="N373" s="80">
        <v>0</v>
      </c>
      <c r="P373" s="124">
        <f>(AVERAGE(K373,M373)/G373)*H373</f>
        <v>6250</v>
      </c>
      <c r="Q373" s="124">
        <f t="shared" si="28"/>
        <v>166.66666666666666</v>
      </c>
      <c r="R373" s="161">
        <f t="shared" si="29"/>
        <v>0.97402597402597402</v>
      </c>
      <c r="S373" s="189" t="str">
        <f>D373</f>
        <v>K-6 Ambient</v>
      </c>
      <c r="T373" s="81"/>
      <c r="U373" s="81"/>
      <c r="V373" s="81"/>
      <c r="Y373" s="87" t="str">
        <f>D373</f>
        <v>K-6 Ambient</v>
      </c>
      <c r="Z373" s="352">
        <f>(SUMIFS($P$253:$P$316, $D$253:$D$316, Y373, $F$253:$F$316, "&lt;200"))+(SUMIFS($Q$253:$Q$316, $D$253:$D$316, Y373, $F$253:$F$316, "&lt;200"))</f>
        <v>66200</v>
      </c>
      <c r="AA373" s="124">
        <f>SUM(P373:Q376)</f>
        <v>63973.333333333336</v>
      </c>
      <c r="AB373" s="124">
        <f>SUMIFS(Collection!O:O, Collection!B:B, "*" &amp; 'Bucket Counts'!Y373 &amp; "*", Collection!A:A, "&lt;" &amp; 'Bucket Counts'!A373,Collection!A:A,  "&gt;=" &amp; 'Bucket Counts'!$A$253)</f>
        <v>0</v>
      </c>
      <c r="AC373" s="161">
        <f>AA373/(Z373+AB373)</f>
        <v>0.96636455186304138</v>
      </c>
    </row>
    <row r="374" spans="1:30" s="80" customFormat="1">
      <c r="A374" s="190">
        <v>42905</v>
      </c>
      <c r="B374" s="78"/>
      <c r="C374" s="78"/>
      <c r="D374" s="80" t="s">
        <v>38</v>
      </c>
      <c r="E374" s="80">
        <v>8</v>
      </c>
      <c r="F374" s="87">
        <v>180</v>
      </c>
      <c r="G374" s="87">
        <v>1</v>
      </c>
      <c r="H374" s="80">
        <v>520</v>
      </c>
      <c r="I374" s="80">
        <v>23</v>
      </c>
      <c r="J374" s="80">
        <v>0</v>
      </c>
      <c r="K374" s="80">
        <v>32</v>
      </c>
      <c r="L374" s="80">
        <v>0</v>
      </c>
      <c r="M374" s="80">
        <v>23</v>
      </c>
      <c r="N374" s="80">
        <v>2</v>
      </c>
      <c r="P374" s="124">
        <f t="shared" si="30"/>
        <v>13520</v>
      </c>
      <c r="Q374" s="124">
        <f t="shared" si="28"/>
        <v>346.66666666666663</v>
      </c>
      <c r="R374" s="161">
        <f t="shared" si="29"/>
        <v>0.97500000000000009</v>
      </c>
      <c r="S374" s="187">
        <f>(SUM(P373:P376)/(SUM(P373:Q376)))</f>
        <v>0.63057523968320128</v>
      </c>
      <c r="T374" s="81"/>
      <c r="Y374" s="87"/>
      <c r="Z374" s="361"/>
      <c r="AA374" s="124"/>
      <c r="AB374" s="124"/>
    </row>
    <row r="375" spans="1:30" s="80" customFormat="1">
      <c r="A375" s="190">
        <v>42905</v>
      </c>
      <c r="B375" s="78"/>
      <c r="C375" s="78"/>
      <c r="D375" s="80" t="s">
        <v>38</v>
      </c>
      <c r="E375" s="80">
        <v>8</v>
      </c>
      <c r="F375" s="87">
        <v>100</v>
      </c>
      <c r="G375" s="87">
        <v>1</v>
      </c>
      <c r="H375" s="80">
        <v>510</v>
      </c>
      <c r="I375" s="80">
        <v>47</v>
      </c>
      <c r="J375" s="80">
        <v>0</v>
      </c>
      <c r="K375" s="80">
        <v>34</v>
      </c>
      <c r="L375" s="80">
        <v>2</v>
      </c>
      <c r="M375" s="80">
        <v>28</v>
      </c>
      <c r="N375" s="80">
        <v>5</v>
      </c>
      <c r="P375" s="124">
        <f t="shared" si="30"/>
        <v>18530</v>
      </c>
      <c r="Q375" s="124">
        <f t="shared" si="28"/>
        <v>1190</v>
      </c>
      <c r="R375" s="161">
        <f t="shared" si="29"/>
        <v>0.93965517241379315</v>
      </c>
      <c r="S375" s="188"/>
      <c r="T375" s="81"/>
      <c r="Y375" s="87"/>
      <c r="Z375" s="361"/>
      <c r="AA375" s="124"/>
      <c r="AB375" s="124"/>
    </row>
    <row r="376" spans="1:30" s="80" customFormat="1">
      <c r="A376" s="190">
        <v>42905</v>
      </c>
      <c r="B376" s="78"/>
      <c r="C376" s="78"/>
      <c r="D376" s="80" t="s">
        <v>38</v>
      </c>
      <c r="E376" s="80">
        <v>8</v>
      </c>
      <c r="F376" s="87" t="s">
        <v>203</v>
      </c>
      <c r="G376" s="87">
        <v>1</v>
      </c>
      <c r="H376" s="80">
        <v>510</v>
      </c>
      <c r="I376" s="80">
        <v>1</v>
      </c>
      <c r="J376" s="80">
        <v>42</v>
      </c>
      <c r="K376" s="80">
        <v>1</v>
      </c>
      <c r="L376" s="80">
        <v>29</v>
      </c>
      <c r="M376" s="80">
        <v>10</v>
      </c>
      <c r="N376" s="80">
        <v>58</v>
      </c>
      <c r="P376" s="124">
        <f t="shared" si="30"/>
        <v>2040</v>
      </c>
      <c r="Q376" s="124">
        <f t="shared" si="28"/>
        <v>21930</v>
      </c>
      <c r="R376" s="161">
        <f t="shared" si="29"/>
        <v>8.5106382978723402E-2</v>
      </c>
      <c r="S376" s="188"/>
      <c r="T376" s="81"/>
      <c r="Y376" s="87"/>
      <c r="Z376" s="361"/>
      <c r="AA376" s="124"/>
      <c r="AB376" s="124"/>
    </row>
    <row r="377" spans="1:30" s="80" customFormat="1">
      <c r="A377" s="190">
        <v>42905</v>
      </c>
      <c r="B377" s="78"/>
      <c r="C377" s="78"/>
      <c r="D377" s="79" t="s">
        <v>46</v>
      </c>
      <c r="E377" s="80">
        <v>8</v>
      </c>
      <c r="F377" s="87">
        <v>224</v>
      </c>
      <c r="G377" s="87">
        <v>1</v>
      </c>
      <c r="H377" s="80">
        <v>350</v>
      </c>
      <c r="I377" s="80">
        <v>0</v>
      </c>
      <c r="J377" s="80">
        <v>0</v>
      </c>
      <c r="K377" s="80">
        <v>0</v>
      </c>
      <c r="L377" s="80">
        <v>0</v>
      </c>
      <c r="M377" s="80">
        <v>0</v>
      </c>
      <c r="N377" s="80">
        <v>0</v>
      </c>
      <c r="P377" s="124">
        <f t="shared" si="30"/>
        <v>0</v>
      </c>
      <c r="Q377" s="124">
        <f t="shared" si="28"/>
        <v>0</v>
      </c>
      <c r="R377" s="161" t="e">
        <f t="shared" si="29"/>
        <v>#DIV/0!</v>
      </c>
      <c r="S377" s="189" t="str">
        <f>D377</f>
        <v>K-6 Low</v>
      </c>
      <c r="T377" s="81"/>
      <c r="Y377" s="87" t="str">
        <f>D377</f>
        <v>K-6 Low</v>
      </c>
      <c r="Z377" s="352">
        <f>(SUMIFS($P$253:$P$316, $D$253:$D$316, Y377, $F$253:$F$316, "&lt;200"))+(SUMIFS($Q$253:$Q$316, $D$253:$D$316, Y377, $F$253:$F$316, "&lt;200"))</f>
        <v>33183.333333333336</v>
      </c>
      <c r="AA377" s="124">
        <f>SUM(P377:Q380)</f>
        <v>36136.666666666664</v>
      </c>
      <c r="AB377" s="124">
        <f>SUMIFS(Collection!O:O, Collection!B:B, "*" &amp; 'Bucket Counts'!Y377 &amp; "*", Collection!A:A, "&lt;" &amp; 'Bucket Counts'!A377,Collection!A:A,  "&gt;=" &amp; 'Bucket Counts'!$A$253)</f>
        <v>0</v>
      </c>
      <c r="AC377" s="161">
        <f>AA377/(Z377+AB377)</f>
        <v>1.0890005022601705</v>
      </c>
    </row>
    <row r="378" spans="1:30" s="80" customFormat="1">
      <c r="A378" s="190">
        <v>42905</v>
      </c>
      <c r="B378" s="78"/>
      <c r="C378" s="78"/>
      <c r="D378" s="79" t="s">
        <v>46</v>
      </c>
      <c r="E378" s="80">
        <v>8</v>
      </c>
      <c r="F378" s="87">
        <v>180</v>
      </c>
      <c r="G378" s="87">
        <v>1</v>
      </c>
      <c r="H378" s="80">
        <v>500</v>
      </c>
      <c r="I378" s="80">
        <v>46</v>
      </c>
      <c r="J378" s="80">
        <v>0</v>
      </c>
      <c r="K378" s="80">
        <v>50</v>
      </c>
      <c r="L378" s="80">
        <v>0</v>
      </c>
      <c r="M378" s="80">
        <v>61</v>
      </c>
      <c r="N378" s="80">
        <v>0</v>
      </c>
      <c r="P378" s="124">
        <f t="shared" si="30"/>
        <v>26166.666666666668</v>
      </c>
      <c r="Q378" s="124">
        <f t="shared" si="28"/>
        <v>0</v>
      </c>
      <c r="R378" s="161">
        <f t="shared" si="29"/>
        <v>1</v>
      </c>
      <c r="S378" s="187">
        <f>(SUM(P377:P380)/(SUM(P377:Q380)))</f>
        <v>0.97730836638686469</v>
      </c>
      <c r="T378" s="81"/>
      <c r="Y378" s="87"/>
      <c r="Z378" s="361"/>
      <c r="AA378" s="124"/>
      <c r="AB378" s="124"/>
    </row>
    <row r="379" spans="1:30" s="80" customFormat="1">
      <c r="A379" s="190">
        <v>42905</v>
      </c>
      <c r="B379" s="78"/>
      <c r="C379" s="78"/>
      <c r="D379" s="79" t="s">
        <v>46</v>
      </c>
      <c r="E379" s="80">
        <v>8</v>
      </c>
      <c r="F379" s="87">
        <v>100</v>
      </c>
      <c r="G379" s="87">
        <v>1</v>
      </c>
      <c r="H379" s="80">
        <v>500</v>
      </c>
      <c r="I379" s="80">
        <v>15</v>
      </c>
      <c r="J379" s="80">
        <v>1</v>
      </c>
      <c r="K379" s="80">
        <v>13</v>
      </c>
      <c r="L379" s="80">
        <v>0</v>
      </c>
      <c r="M379" s="80">
        <v>22</v>
      </c>
      <c r="N379" s="80">
        <v>0</v>
      </c>
      <c r="P379" s="124">
        <f t="shared" si="30"/>
        <v>8333.3333333333339</v>
      </c>
      <c r="Q379" s="124">
        <f t="shared" si="28"/>
        <v>166.66666666666666</v>
      </c>
      <c r="R379" s="161">
        <f t="shared" si="29"/>
        <v>0.98039215686274517</v>
      </c>
      <c r="S379" s="188"/>
      <c r="T379" s="81"/>
      <c r="Y379" s="87"/>
      <c r="Z379" s="361"/>
      <c r="AA379" s="124"/>
      <c r="AB379" s="124"/>
    </row>
    <row r="380" spans="1:30" s="157" customFormat="1" ht="16" thickBot="1">
      <c r="A380" s="155">
        <v>42905</v>
      </c>
      <c r="B380" s="156"/>
      <c r="C380" s="156"/>
      <c r="D380" s="236" t="s">
        <v>46</v>
      </c>
      <c r="E380" s="157">
        <v>8</v>
      </c>
      <c r="F380" s="158" t="s">
        <v>203</v>
      </c>
      <c r="G380" s="158">
        <v>1</v>
      </c>
      <c r="H380" s="157">
        <v>490</v>
      </c>
      <c r="I380" s="157">
        <v>2</v>
      </c>
      <c r="J380" s="157">
        <v>1</v>
      </c>
      <c r="K380" s="157">
        <v>3</v>
      </c>
      <c r="L380" s="157">
        <v>1</v>
      </c>
      <c r="M380" s="157">
        <v>0</v>
      </c>
      <c r="N380" s="157">
        <v>2</v>
      </c>
      <c r="P380" s="159">
        <f t="shared" si="30"/>
        <v>816.66666666666674</v>
      </c>
      <c r="Q380" s="159">
        <f t="shared" si="28"/>
        <v>653.33333333333326</v>
      </c>
      <c r="R380" s="162">
        <f t="shared" si="29"/>
        <v>0.55555555555555558</v>
      </c>
      <c r="S380" s="237"/>
      <c r="Y380" s="158"/>
      <c r="Z380" s="362"/>
      <c r="AA380" s="159"/>
      <c r="AB380" s="159"/>
    </row>
    <row r="381" spans="1:30" s="241" customFormat="1">
      <c r="A381" s="238">
        <v>42908</v>
      </c>
      <c r="B381" s="239"/>
      <c r="C381" s="239"/>
      <c r="D381" s="240" t="s">
        <v>87</v>
      </c>
      <c r="E381" s="241">
        <v>1</v>
      </c>
      <c r="F381" s="242">
        <v>224</v>
      </c>
      <c r="G381" s="242">
        <v>1</v>
      </c>
      <c r="H381" s="241">
        <v>500</v>
      </c>
      <c r="I381" s="241">
        <v>10</v>
      </c>
      <c r="J381" s="241">
        <v>0</v>
      </c>
      <c r="K381" s="241">
        <v>6</v>
      </c>
      <c r="L381" s="241">
        <v>0</v>
      </c>
      <c r="M381" s="241">
        <v>11</v>
      </c>
      <c r="N381" s="241">
        <v>1</v>
      </c>
      <c r="P381" s="243">
        <f>(AVERAGE(I381,K381,M381)/G381)*H381</f>
        <v>4500</v>
      </c>
      <c r="Q381" s="243">
        <f>(AVERAGE(J381,L381,N381)/G381)*H381</f>
        <v>166.66666666666666</v>
      </c>
      <c r="R381" s="244">
        <f t="shared" si="29"/>
        <v>0.96428571428571419</v>
      </c>
      <c r="S381" s="245" t="str">
        <f>D381</f>
        <v>SN-6 Ambient</v>
      </c>
      <c r="T381" s="246"/>
      <c r="U381" s="246"/>
      <c r="V381" s="246"/>
      <c r="Y381" s="89" t="str">
        <f>D381</f>
        <v>SN-6 Ambient</v>
      </c>
      <c r="Z381" s="351">
        <f>(SUMIFS($P$317:$P$380, $D$317:$D$380, Y381, $F$317:$F$380, "&lt;200"))+(SUMIFS($Q$317:$Q$380, $D$317:$D$380, Y381, $F$317:$F$380, "&lt;200"))</f>
        <v>51166.666666666672</v>
      </c>
      <c r="AA381" s="120">
        <f>SUM(P381:Q384)</f>
        <v>127098.33333333333</v>
      </c>
      <c r="AB381" s="120">
        <f>SUMIFS(Collection!O:O, Collection!B:B, "*" &amp; 'Bucket Counts'!Y381 &amp; "*", Collection!A:A, "&lt;" &amp; 'Bucket Counts'!A381,Collection!A:A,  "&gt;=" &amp; 'Bucket Counts'!$A$317)</f>
        <v>86020</v>
      </c>
      <c r="AC381" s="106">
        <f>AA381/(Z381+AB381)</f>
        <v>0.9264627271843715</v>
      </c>
      <c r="AD381" s="372">
        <f>AVERAGE(AC381,AC385,AC393:AC439)</f>
        <v>0.88351902590124731</v>
      </c>
    </row>
    <row r="382" spans="1:30" s="62" customFormat="1">
      <c r="A382" s="134">
        <v>42908</v>
      </c>
      <c r="B382" s="60"/>
      <c r="C382" s="60"/>
      <c r="D382" s="61" t="s">
        <v>87</v>
      </c>
      <c r="E382" s="137">
        <v>1</v>
      </c>
      <c r="F382" s="89">
        <v>180</v>
      </c>
      <c r="G382" s="89">
        <v>1</v>
      </c>
      <c r="H382" s="62">
        <v>525</v>
      </c>
      <c r="I382" s="62">
        <v>25</v>
      </c>
      <c r="J382" s="62">
        <v>0</v>
      </c>
      <c r="K382" s="62">
        <v>31</v>
      </c>
      <c r="L382" s="62">
        <v>2</v>
      </c>
      <c r="M382" s="89">
        <v>33</v>
      </c>
      <c r="N382" s="62">
        <v>0</v>
      </c>
      <c r="P382" s="120">
        <f>(AVERAGE(I382,K382,M382)/G382)*H382</f>
        <v>15575</v>
      </c>
      <c r="Q382" s="120">
        <f t="shared" si="28"/>
        <v>350</v>
      </c>
      <c r="R382" s="106">
        <f t="shared" si="29"/>
        <v>0.97802197802197799</v>
      </c>
      <c r="S382" s="181">
        <f>(SUM(P381:P384)/(SUM(P381:Q384)))</f>
        <v>0.68373569021361413</v>
      </c>
      <c r="T382" s="65"/>
      <c r="U382" s="65"/>
      <c r="V382" s="65"/>
      <c r="Y382" s="89"/>
      <c r="Z382" s="357"/>
      <c r="AA382" s="120"/>
      <c r="AB382" s="120"/>
    </row>
    <row r="383" spans="1:30" s="62" customFormat="1">
      <c r="A383" s="134">
        <v>42908</v>
      </c>
      <c r="B383" s="60"/>
      <c r="C383" s="60"/>
      <c r="D383" s="61" t="s">
        <v>87</v>
      </c>
      <c r="E383" s="137">
        <v>1</v>
      </c>
      <c r="F383" s="89">
        <v>100</v>
      </c>
      <c r="G383" s="89">
        <v>1</v>
      </c>
      <c r="H383" s="62">
        <v>500</v>
      </c>
      <c r="I383" s="62">
        <v>105</v>
      </c>
      <c r="J383" s="62">
        <v>0</v>
      </c>
      <c r="K383" s="62">
        <v>106</v>
      </c>
      <c r="L383" s="62">
        <v>0</v>
      </c>
      <c r="M383" s="62">
        <v>141</v>
      </c>
      <c r="N383" s="62">
        <v>0</v>
      </c>
      <c r="P383" s="120">
        <f>(AVERAGE(I383,K383,M383)/G383)*H383</f>
        <v>58666.666666666664</v>
      </c>
      <c r="Q383" s="120">
        <f t="shared" si="28"/>
        <v>0</v>
      </c>
      <c r="R383" s="106">
        <f t="shared" si="29"/>
        <v>1</v>
      </c>
      <c r="S383" s="179"/>
      <c r="T383" s="65"/>
      <c r="U383" s="65"/>
      <c r="V383" s="65"/>
      <c r="Y383" s="89"/>
      <c r="Z383" s="357"/>
      <c r="AA383" s="120"/>
      <c r="AB383" s="120"/>
    </row>
    <row r="384" spans="1:30" s="62" customFormat="1">
      <c r="A384" s="134">
        <v>42908</v>
      </c>
      <c r="B384" s="60"/>
      <c r="C384" s="60"/>
      <c r="D384" s="61" t="s">
        <v>87</v>
      </c>
      <c r="E384" s="137">
        <v>1</v>
      </c>
      <c r="F384" s="89" t="s">
        <v>203</v>
      </c>
      <c r="G384" s="89">
        <v>1</v>
      </c>
      <c r="H384" s="62">
        <v>480</v>
      </c>
      <c r="I384" s="62">
        <v>18</v>
      </c>
      <c r="J384" s="62">
        <v>71</v>
      </c>
      <c r="K384" s="62">
        <v>17</v>
      </c>
      <c r="L384" s="62">
        <v>88</v>
      </c>
      <c r="M384" s="62">
        <v>16</v>
      </c>
      <c r="N384" s="62">
        <v>89</v>
      </c>
      <c r="P384" s="120">
        <f t="shared" ref="P384:P391" si="31">(AVERAGE(I384,K384,M384)/G384)*H384</f>
        <v>8160</v>
      </c>
      <c r="Q384" s="120">
        <f>(AVERAGE(J384,L384,N384)/G384)*H384</f>
        <v>39680</v>
      </c>
      <c r="R384" s="106">
        <f t="shared" si="29"/>
        <v>0.1705685618729097</v>
      </c>
      <c r="S384" s="182"/>
      <c r="T384" s="65"/>
      <c r="U384" s="65"/>
      <c r="V384" s="65"/>
      <c r="Y384" s="89"/>
      <c r="Z384" s="357"/>
      <c r="AA384" s="120"/>
      <c r="AB384" s="120"/>
    </row>
    <row r="385" spans="1:31" s="62" customFormat="1">
      <c r="A385" s="134">
        <v>42908</v>
      </c>
      <c r="B385" s="60"/>
      <c r="C385" s="60"/>
      <c r="D385" s="62" t="s">
        <v>20</v>
      </c>
      <c r="E385" s="137">
        <v>1</v>
      </c>
      <c r="F385" s="89">
        <v>224</v>
      </c>
      <c r="G385" s="89">
        <v>2</v>
      </c>
      <c r="H385" s="62">
        <v>200</v>
      </c>
      <c r="I385" s="62">
        <v>0</v>
      </c>
      <c r="J385" s="62">
        <v>0</v>
      </c>
      <c r="K385" s="62">
        <v>0</v>
      </c>
      <c r="L385" s="62">
        <v>0</v>
      </c>
      <c r="M385" s="62">
        <v>0</v>
      </c>
      <c r="N385" s="62">
        <v>0</v>
      </c>
      <c r="P385" s="120">
        <f t="shared" si="31"/>
        <v>0</v>
      </c>
      <c r="Q385" s="120">
        <f t="shared" si="28"/>
        <v>0</v>
      </c>
      <c r="R385" s="106" t="e">
        <f t="shared" si="29"/>
        <v>#DIV/0!</v>
      </c>
      <c r="S385" s="183" t="str">
        <f>D385</f>
        <v>K-10 Low</v>
      </c>
      <c r="T385" s="65"/>
      <c r="U385" s="65"/>
      <c r="V385" s="65"/>
      <c r="W385" s="62" t="s">
        <v>253</v>
      </c>
      <c r="Y385" s="89" t="str">
        <f>D385</f>
        <v>K-10 Low</v>
      </c>
      <c r="Z385" s="351">
        <f>(SUMIFS($P$317:$P$380, $D$317:$D$380, Y385, $F$317:$F$380, "&lt;200"))+(SUMIFS($Q$317:$Q$380, $D$317:$D$380, Y385, $F$317:$F$380, "&lt;200"))</f>
        <v>1699.9999999999998</v>
      </c>
      <c r="AA385" s="120">
        <f>SUM(P385:Q388)</f>
        <v>10896.666666666668</v>
      </c>
      <c r="AB385" s="120">
        <f>SUMIFS(Collection!O:O, Collection!B:B, "*" &amp; 'Bucket Counts'!Y385 &amp; "*", Collection!A:A, "&lt;" &amp; 'Bucket Counts'!A385,Collection!A:A,  "&gt;=" &amp; 'Bucket Counts'!$A$317)</f>
        <v>13000</v>
      </c>
      <c r="AC385" s="106">
        <f>AA385/(Z385+AB385)</f>
        <v>0.7412698412698413</v>
      </c>
    </row>
    <row r="386" spans="1:31" s="62" customFormat="1">
      <c r="A386" s="134">
        <v>42908</v>
      </c>
      <c r="B386" s="60"/>
      <c r="C386" s="60"/>
      <c r="D386" s="62" t="s">
        <v>20</v>
      </c>
      <c r="E386" s="137">
        <v>1</v>
      </c>
      <c r="F386" s="89">
        <v>180</v>
      </c>
      <c r="G386" s="89">
        <v>2</v>
      </c>
      <c r="H386" s="62">
        <v>260</v>
      </c>
      <c r="I386" s="62">
        <v>6</v>
      </c>
      <c r="J386" s="62">
        <v>0</v>
      </c>
      <c r="K386" s="62">
        <v>4</v>
      </c>
      <c r="L386" s="62">
        <v>0</v>
      </c>
      <c r="M386" s="62">
        <v>1</v>
      </c>
      <c r="N386" s="62">
        <v>0</v>
      </c>
      <c r="P386" s="120">
        <f t="shared" si="31"/>
        <v>476.66666666666663</v>
      </c>
      <c r="Q386" s="120">
        <f t="shared" si="28"/>
        <v>0</v>
      </c>
      <c r="R386" s="106">
        <f t="shared" si="29"/>
        <v>1</v>
      </c>
      <c r="S386" s="181">
        <f>(SUM(P385:P388)/(SUM(P385:Q388)))</f>
        <v>0.75313551544814927</v>
      </c>
      <c r="T386" s="65"/>
      <c r="U386" s="65"/>
      <c r="V386" s="65"/>
      <c r="Y386" s="89"/>
      <c r="Z386" s="357"/>
      <c r="AA386" s="120"/>
      <c r="AB386" s="120"/>
    </row>
    <row r="387" spans="1:31" s="62" customFormat="1">
      <c r="A387" s="134">
        <v>42908</v>
      </c>
      <c r="B387" s="60"/>
      <c r="C387" s="60"/>
      <c r="D387" s="62" t="s">
        <v>20</v>
      </c>
      <c r="E387" s="137">
        <v>1</v>
      </c>
      <c r="F387" s="89">
        <v>100</v>
      </c>
      <c r="G387" s="89">
        <v>2</v>
      </c>
      <c r="H387" s="62">
        <v>300</v>
      </c>
      <c r="I387" s="62">
        <v>50</v>
      </c>
      <c r="J387" s="62">
        <v>0</v>
      </c>
      <c r="K387" s="62">
        <v>61</v>
      </c>
      <c r="L387" s="62">
        <v>0</v>
      </c>
      <c r="M387" s="62">
        <v>37</v>
      </c>
      <c r="N387" s="62">
        <v>1</v>
      </c>
      <c r="P387" s="120">
        <f t="shared" si="31"/>
        <v>7400</v>
      </c>
      <c r="Q387" s="120">
        <f t="shared" si="28"/>
        <v>50</v>
      </c>
      <c r="R387" s="106">
        <f t="shared" si="29"/>
        <v>0.99328859060402686</v>
      </c>
      <c r="S387" s="182"/>
      <c r="T387" s="65"/>
      <c r="U387" s="65"/>
      <c r="V387" s="65"/>
      <c r="Y387" s="89"/>
      <c r="Z387" s="357"/>
      <c r="AA387" s="120"/>
      <c r="AB387" s="120"/>
    </row>
    <row r="388" spans="1:31" s="62" customFormat="1">
      <c r="A388" s="134">
        <v>42908</v>
      </c>
      <c r="B388" s="60"/>
      <c r="C388" s="60"/>
      <c r="D388" s="62" t="s">
        <v>20</v>
      </c>
      <c r="E388" s="137">
        <v>1</v>
      </c>
      <c r="F388" s="89" t="s">
        <v>203</v>
      </c>
      <c r="G388" s="89">
        <v>1</v>
      </c>
      <c r="H388" s="62">
        <v>330</v>
      </c>
      <c r="I388" s="62">
        <v>0</v>
      </c>
      <c r="J388" s="62">
        <v>10</v>
      </c>
      <c r="K388" s="62">
        <v>3</v>
      </c>
      <c r="L388" s="62">
        <v>7</v>
      </c>
      <c r="M388" s="62">
        <v>0</v>
      </c>
      <c r="N388" s="62">
        <v>7</v>
      </c>
      <c r="P388" s="120">
        <f t="shared" si="31"/>
        <v>330</v>
      </c>
      <c r="Q388" s="120">
        <f t="shared" si="28"/>
        <v>2640</v>
      </c>
      <c r="R388" s="106">
        <f t="shared" si="29"/>
        <v>0.1111111111111111</v>
      </c>
      <c r="S388" s="182"/>
      <c r="T388" s="65"/>
      <c r="U388" s="65"/>
      <c r="V388" s="65"/>
      <c r="Y388" s="89"/>
      <c r="Z388" s="357"/>
      <c r="AA388" s="120"/>
      <c r="AB388" s="120"/>
    </row>
    <row r="389" spans="1:31" s="62" customFormat="1">
      <c r="A389" s="134">
        <v>42908</v>
      </c>
      <c r="B389" s="60"/>
      <c r="C389" s="60"/>
      <c r="D389" s="62" t="s">
        <v>84</v>
      </c>
      <c r="E389" s="62">
        <v>2</v>
      </c>
      <c r="F389" s="89">
        <v>224</v>
      </c>
      <c r="G389" s="89">
        <v>1</v>
      </c>
      <c r="H389" s="62">
        <v>325</v>
      </c>
      <c r="I389" s="62">
        <v>2</v>
      </c>
      <c r="J389" s="62">
        <v>2</v>
      </c>
      <c r="K389" s="62">
        <v>2</v>
      </c>
      <c r="L389" s="62">
        <v>1</v>
      </c>
      <c r="M389" s="62">
        <v>3</v>
      </c>
      <c r="N389" s="62">
        <v>0</v>
      </c>
      <c r="P389" s="120">
        <f t="shared" si="31"/>
        <v>758.33333333333337</v>
      </c>
      <c r="Q389" s="120">
        <f t="shared" si="28"/>
        <v>325</v>
      </c>
      <c r="R389" s="106">
        <f t="shared" si="29"/>
        <v>0.7</v>
      </c>
      <c r="S389" s="183" t="str">
        <f>D389</f>
        <v>NF-10 Ambient</v>
      </c>
      <c r="T389" s="65"/>
      <c r="U389" s="65"/>
      <c r="V389" s="65"/>
      <c r="Y389" s="89" t="str">
        <f>D389</f>
        <v>NF-10 Ambient</v>
      </c>
      <c r="Z389" s="351">
        <f>(SUMIFS($P$317:$P$380, $D$317:$D$380, Y389, $F$317:$F$380, "&lt;200"))+(SUMIFS($Q$317:$Q$380, $D$317:$D$380, Y389, $F$317:$F$380, "&lt;200"))</f>
        <v>73066.666666666672</v>
      </c>
      <c r="AA389" s="120">
        <f>SUM(P389:Q392)</f>
        <v>34150</v>
      </c>
      <c r="AB389" s="120">
        <f>SUMIFS(Collection!O:O, Collection!B:B, "*" &amp; 'Bucket Counts'!Y389 &amp; "*", Collection!A:A, "&lt;" &amp; 'Bucket Counts'!A389,Collection!A:A,  "&gt;=" &amp; 'Bucket Counts'!$A$317)</f>
        <v>0</v>
      </c>
      <c r="AC389" s="106">
        <f>AA389/(Z389+AB389)</f>
        <v>0.46738138686131386</v>
      </c>
      <c r="AD389" s="373">
        <f>0.94*Z389-AA389</f>
        <v>34532.666666666672</v>
      </c>
      <c r="AE389" s="62" t="s">
        <v>370</v>
      </c>
    </row>
    <row r="390" spans="1:31" s="62" customFormat="1">
      <c r="A390" s="134">
        <v>42908</v>
      </c>
      <c r="B390" s="60"/>
      <c r="C390" s="60"/>
      <c r="D390" s="62" t="s">
        <v>84</v>
      </c>
      <c r="E390" s="62">
        <v>2</v>
      </c>
      <c r="F390" s="89">
        <v>180</v>
      </c>
      <c r="G390" s="89">
        <v>1</v>
      </c>
      <c r="H390" s="62">
        <v>525</v>
      </c>
      <c r="I390" s="62">
        <v>23</v>
      </c>
      <c r="J390" s="62">
        <v>4</v>
      </c>
      <c r="K390" s="62">
        <v>10</v>
      </c>
      <c r="L390" s="62">
        <v>7</v>
      </c>
      <c r="M390" s="62">
        <v>15</v>
      </c>
      <c r="N390" s="62">
        <v>4</v>
      </c>
      <c r="P390" s="120">
        <f t="shared" si="31"/>
        <v>8400</v>
      </c>
      <c r="Q390" s="120">
        <f t="shared" si="28"/>
        <v>2625</v>
      </c>
      <c r="R390" s="106">
        <f t="shared" si="29"/>
        <v>0.76190476190476186</v>
      </c>
      <c r="S390" s="181">
        <f>(SUM(P389:P392)/(SUM(P389:Q392)))</f>
        <v>0.71327476817959989</v>
      </c>
      <c r="T390" s="65"/>
      <c r="U390" s="65"/>
      <c r="V390" s="65"/>
      <c r="Y390" s="89"/>
      <c r="Z390" s="357"/>
      <c r="AA390" s="120"/>
      <c r="AB390" s="120"/>
    </row>
    <row r="391" spans="1:31" s="62" customFormat="1">
      <c r="A391" s="134">
        <v>42908</v>
      </c>
      <c r="B391" s="60"/>
      <c r="C391" s="60"/>
      <c r="D391" s="62" t="s">
        <v>84</v>
      </c>
      <c r="E391" s="62">
        <v>2</v>
      </c>
      <c r="F391" s="89">
        <v>100</v>
      </c>
      <c r="G391" s="89">
        <v>1</v>
      </c>
      <c r="H391" s="62">
        <v>525</v>
      </c>
      <c r="I391" s="62">
        <v>29</v>
      </c>
      <c r="J391" s="62">
        <v>1</v>
      </c>
      <c r="K391" s="62">
        <v>24</v>
      </c>
      <c r="L391" s="62">
        <v>0</v>
      </c>
      <c r="M391" s="62">
        <v>31</v>
      </c>
      <c r="N391" s="62">
        <v>0</v>
      </c>
      <c r="P391" s="120">
        <f t="shared" si="31"/>
        <v>14700</v>
      </c>
      <c r="Q391" s="120">
        <f t="shared" si="28"/>
        <v>175</v>
      </c>
      <c r="R391" s="106">
        <f t="shared" si="29"/>
        <v>0.9882352941176471</v>
      </c>
      <c r="S391" s="182"/>
      <c r="T391" s="65"/>
      <c r="U391" s="65"/>
      <c r="V391" s="65"/>
      <c r="Y391" s="89"/>
      <c r="Z391" s="357"/>
      <c r="AA391" s="120"/>
      <c r="AB391" s="120"/>
    </row>
    <row r="392" spans="1:31" s="62" customFormat="1">
      <c r="A392" s="134">
        <v>42908</v>
      </c>
      <c r="B392" s="60"/>
      <c r="C392" s="60"/>
      <c r="D392" s="62" t="s">
        <v>84</v>
      </c>
      <c r="E392" s="62">
        <v>2</v>
      </c>
      <c r="F392" s="89" t="s">
        <v>203</v>
      </c>
      <c r="G392" s="89">
        <v>1</v>
      </c>
      <c r="H392" s="62">
        <v>500</v>
      </c>
      <c r="I392" s="62">
        <v>2</v>
      </c>
      <c r="J392" s="62">
        <v>18</v>
      </c>
      <c r="K392" s="62">
        <v>0</v>
      </c>
      <c r="L392" s="62">
        <v>12</v>
      </c>
      <c r="M392" s="62">
        <v>1</v>
      </c>
      <c r="N392" s="62">
        <v>10</v>
      </c>
      <c r="P392" s="120">
        <f>(AVERAGE(I392,K392,M392)/G392)*H392</f>
        <v>500</v>
      </c>
      <c r="Q392" s="120">
        <f t="shared" si="28"/>
        <v>6666.666666666667</v>
      </c>
      <c r="R392" s="106">
        <f t="shared" si="29"/>
        <v>6.9767441860465115E-2</v>
      </c>
      <c r="S392" s="182"/>
      <c r="T392" s="65"/>
      <c r="U392" s="65"/>
      <c r="V392" s="65"/>
      <c r="Y392" s="89"/>
      <c r="Z392" s="357"/>
      <c r="AA392" s="120"/>
      <c r="AB392" s="120"/>
    </row>
    <row r="393" spans="1:31" s="62" customFormat="1">
      <c r="A393" s="134">
        <v>42908</v>
      </c>
      <c r="B393" s="60"/>
      <c r="C393" s="60"/>
      <c r="D393" s="61" t="s">
        <v>109</v>
      </c>
      <c r="E393" s="62">
        <v>2</v>
      </c>
      <c r="F393" s="89">
        <v>224</v>
      </c>
      <c r="G393" s="89">
        <v>1</v>
      </c>
      <c r="H393" s="151">
        <v>325</v>
      </c>
      <c r="I393" s="62">
        <v>5</v>
      </c>
      <c r="J393" s="62">
        <v>0</v>
      </c>
      <c r="K393" s="62">
        <v>2</v>
      </c>
      <c r="L393" s="62">
        <v>0</v>
      </c>
      <c r="M393" s="62">
        <v>2</v>
      </c>
      <c r="N393" s="62">
        <v>1</v>
      </c>
      <c r="P393" s="120">
        <f>(AVERAGE(I393,K393,M393)/G393)*H393</f>
        <v>975</v>
      </c>
      <c r="Q393" s="120">
        <f t="shared" si="28"/>
        <v>108.33333333333333</v>
      </c>
      <c r="R393" s="106">
        <f t="shared" si="29"/>
        <v>0.9</v>
      </c>
      <c r="S393" s="183" t="str">
        <f>D393</f>
        <v>HL-10 Low</v>
      </c>
      <c r="T393" s="65"/>
      <c r="U393" s="65"/>
      <c r="V393" s="65"/>
      <c r="Y393" s="89" t="str">
        <f>D393</f>
        <v>HL-10 Low</v>
      </c>
      <c r="Z393" s="351">
        <f>(SUMIFS($P$317:$P$380, $D$317:$D$380, Y393, $F$317:$F$380, "&lt;200"))+(SUMIFS($Q$317:$Q$380, $D$317:$D$380, Y393, $F$317:$F$380, "&lt;200"))</f>
        <v>94946.666666666657</v>
      </c>
      <c r="AA393" s="120">
        <f>SUM(P393:Q396)</f>
        <v>100350</v>
      </c>
      <c r="AB393" s="120">
        <f>SUMIFS(Collection!O:O, Collection!B:B, "*" &amp; 'Bucket Counts'!Y393 &amp; "*", Collection!A:A, "&lt;" &amp; 'Bucket Counts'!A393,Collection!A:A,  "&gt;=" &amp; 'Bucket Counts'!$A$317)</f>
        <v>125</v>
      </c>
      <c r="AC393" s="106">
        <f>AA393/(Z393+AB393)</f>
        <v>1.0555195203618324</v>
      </c>
    </row>
    <row r="394" spans="1:31" s="62" customFormat="1">
      <c r="A394" s="134">
        <v>42908</v>
      </c>
      <c r="B394" s="60"/>
      <c r="C394" s="60"/>
      <c r="D394" s="61" t="s">
        <v>109</v>
      </c>
      <c r="E394" s="62">
        <v>2</v>
      </c>
      <c r="F394" s="89">
        <v>180</v>
      </c>
      <c r="G394" s="89">
        <v>1</v>
      </c>
      <c r="H394" s="151">
        <v>540</v>
      </c>
      <c r="I394" s="62">
        <v>16</v>
      </c>
      <c r="J394" s="62">
        <v>0</v>
      </c>
      <c r="K394" s="62">
        <v>14</v>
      </c>
      <c r="L394" s="62">
        <v>0</v>
      </c>
      <c r="M394" s="62">
        <v>15</v>
      </c>
      <c r="N394" s="62">
        <v>0</v>
      </c>
      <c r="P394" s="120">
        <f t="shared" ref="P394:P407" si="32">(AVERAGE(I394,K394,M394)/G394)*H394</f>
        <v>8100</v>
      </c>
      <c r="Q394" s="120">
        <f t="shared" si="28"/>
        <v>0</v>
      </c>
      <c r="R394" s="106">
        <f t="shared" si="29"/>
        <v>1</v>
      </c>
      <c r="S394" s="181">
        <f>(SUM(P393:P396)/(SUM(P393:Q396)))</f>
        <v>0.76474007639926922</v>
      </c>
      <c r="T394" s="65"/>
      <c r="U394" s="65"/>
      <c r="V394" s="65"/>
      <c r="Y394" s="89"/>
      <c r="Z394" s="357"/>
      <c r="AA394" s="120"/>
      <c r="AB394" s="120"/>
    </row>
    <row r="395" spans="1:31" s="62" customFormat="1">
      <c r="A395" s="134">
        <v>42908</v>
      </c>
      <c r="B395" s="60"/>
      <c r="C395" s="60"/>
      <c r="D395" s="61" t="s">
        <v>109</v>
      </c>
      <c r="E395" s="62">
        <v>2</v>
      </c>
      <c r="F395" s="89">
        <v>100</v>
      </c>
      <c r="G395" s="89">
        <v>1</v>
      </c>
      <c r="H395" s="151">
        <v>500</v>
      </c>
      <c r="I395" s="62">
        <v>123</v>
      </c>
      <c r="J395" s="62">
        <v>8</v>
      </c>
      <c r="K395" s="62">
        <v>145</v>
      </c>
      <c r="L395" s="62">
        <v>45</v>
      </c>
      <c r="M395" s="62">
        <v>137</v>
      </c>
      <c r="N395" s="62">
        <v>3</v>
      </c>
      <c r="P395" s="120">
        <f t="shared" si="32"/>
        <v>67500</v>
      </c>
      <c r="Q395" s="120">
        <f t="shared" si="28"/>
        <v>9333.3333333333339</v>
      </c>
      <c r="R395" s="106">
        <f t="shared" si="29"/>
        <v>0.87852494577006512</v>
      </c>
      <c r="S395" s="182"/>
      <c r="T395" s="65"/>
      <c r="U395" s="65"/>
      <c r="V395" s="65"/>
      <c r="Y395" s="89"/>
      <c r="Z395" s="357"/>
      <c r="AA395" s="120"/>
      <c r="AB395" s="120"/>
    </row>
    <row r="396" spans="1:31" s="62" customFormat="1">
      <c r="A396" s="134">
        <v>42908</v>
      </c>
      <c r="B396" s="60"/>
      <c r="C396" s="60"/>
      <c r="D396" s="61" t="s">
        <v>109</v>
      </c>
      <c r="E396" s="62">
        <v>2</v>
      </c>
      <c r="F396" s="89" t="s">
        <v>203</v>
      </c>
      <c r="G396" s="89">
        <v>1</v>
      </c>
      <c r="H396" s="151">
        <v>500</v>
      </c>
      <c r="I396" s="62">
        <v>1</v>
      </c>
      <c r="J396" s="62">
        <v>24</v>
      </c>
      <c r="K396" s="62">
        <v>0</v>
      </c>
      <c r="L396" s="62">
        <v>31</v>
      </c>
      <c r="M396" s="62">
        <v>0</v>
      </c>
      <c r="N396" s="62">
        <v>30</v>
      </c>
      <c r="P396" s="120">
        <f t="shared" si="32"/>
        <v>166.66666666666666</v>
      </c>
      <c r="Q396" s="120">
        <f t="shared" si="28"/>
        <v>14166.666666666666</v>
      </c>
      <c r="R396" s="106">
        <f t="shared" si="29"/>
        <v>1.1627906976744186E-2</v>
      </c>
      <c r="S396" s="182"/>
      <c r="T396" s="65"/>
      <c r="U396" s="65"/>
      <c r="V396" s="65"/>
      <c r="Y396" s="89"/>
      <c r="Z396" s="357"/>
      <c r="AA396" s="120"/>
      <c r="AB396" s="120"/>
    </row>
    <row r="397" spans="1:31" s="62" customFormat="1">
      <c r="A397" s="134">
        <v>42908</v>
      </c>
      <c r="B397" s="60"/>
      <c r="C397" s="60"/>
      <c r="D397" s="62" t="s">
        <v>17</v>
      </c>
      <c r="E397" s="62">
        <v>3</v>
      </c>
      <c r="F397" s="89">
        <v>224</v>
      </c>
      <c r="G397" s="89">
        <v>1</v>
      </c>
      <c r="H397" s="62">
        <v>400</v>
      </c>
      <c r="I397" s="62">
        <v>1</v>
      </c>
      <c r="J397" s="62">
        <v>0</v>
      </c>
      <c r="K397" s="62">
        <v>2</v>
      </c>
      <c r="L397" s="62">
        <v>0</v>
      </c>
      <c r="M397" s="62">
        <v>2</v>
      </c>
      <c r="N397" s="62">
        <v>0</v>
      </c>
      <c r="P397" s="120">
        <f t="shared" si="32"/>
        <v>666.66666666666674</v>
      </c>
      <c r="Q397" s="120">
        <f t="shared" si="28"/>
        <v>0</v>
      </c>
      <c r="R397" s="106">
        <f t="shared" si="29"/>
        <v>1</v>
      </c>
      <c r="S397" s="183" t="str">
        <f>D397</f>
        <v>K-10 Ambient</v>
      </c>
      <c r="T397" s="65"/>
      <c r="U397" s="65"/>
      <c r="V397" s="65"/>
      <c r="Y397" s="89" t="str">
        <f>D397</f>
        <v>K-10 Ambient</v>
      </c>
      <c r="Z397" s="351">
        <f>(SUMIFS($P$317:$P$380, $D$317:$D$380, Y397, $F$317:$F$380, "&lt;200"))+(SUMIFS($Q$317:$Q$380, $D$317:$D$380, Y397, $F$317:$F$380, "&lt;200"))</f>
        <v>31000.000000000004</v>
      </c>
      <c r="AA397" s="120">
        <f>SUM(P397:Q400)</f>
        <v>34370</v>
      </c>
      <c r="AB397" s="120">
        <f>SUMIFS(Collection!O:O, Collection!B:B, "*" &amp; 'Bucket Counts'!Y397 &amp; "*", Collection!A:A, "&lt;" &amp; 'Bucket Counts'!A397,Collection!A:A,  "&gt;=" &amp; 'Bucket Counts'!$A$317)</f>
        <v>0</v>
      </c>
      <c r="AC397" s="106">
        <f>AA397/(Z397+AB397)</f>
        <v>1.1087096774193548</v>
      </c>
    </row>
    <row r="398" spans="1:31" s="62" customFormat="1">
      <c r="A398" s="134">
        <v>42908</v>
      </c>
      <c r="B398" s="60"/>
      <c r="C398" s="60"/>
      <c r="D398" s="62" t="s">
        <v>17</v>
      </c>
      <c r="E398" s="62">
        <v>3</v>
      </c>
      <c r="F398" s="89">
        <v>180</v>
      </c>
      <c r="G398" s="89">
        <v>1</v>
      </c>
      <c r="H398" s="62">
        <v>300</v>
      </c>
      <c r="I398" s="62">
        <v>25</v>
      </c>
      <c r="J398" s="62">
        <v>0</v>
      </c>
      <c r="K398" s="62">
        <v>28</v>
      </c>
      <c r="L398" s="62">
        <v>0</v>
      </c>
      <c r="M398" s="62">
        <v>26</v>
      </c>
      <c r="N398" s="62">
        <v>0</v>
      </c>
      <c r="P398" s="120">
        <f t="shared" si="32"/>
        <v>7900</v>
      </c>
      <c r="Q398" s="120">
        <f t="shared" si="28"/>
        <v>0</v>
      </c>
      <c r="R398" s="106">
        <f t="shared" si="29"/>
        <v>1</v>
      </c>
      <c r="S398" s="181">
        <f>(SUM(P397:P400)/(SUM(P397:Q400)))</f>
        <v>0.81369411308311501</v>
      </c>
      <c r="T398" s="65"/>
      <c r="U398" s="65"/>
      <c r="V398" s="65"/>
      <c r="Y398" s="89"/>
      <c r="Z398" s="357"/>
      <c r="AA398" s="120"/>
      <c r="AB398" s="120"/>
    </row>
    <row r="399" spans="1:31" s="62" customFormat="1">
      <c r="A399" s="134">
        <v>42908</v>
      </c>
      <c r="B399" s="60"/>
      <c r="C399" s="60"/>
      <c r="D399" s="62" t="s">
        <v>17</v>
      </c>
      <c r="E399" s="62">
        <v>3</v>
      </c>
      <c r="F399" s="89">
        <v>100</v>
      </c>
      <c r="G399" s="89">
        <v>1</v>
      </c>
      <c r="H399" s="62">
        <v>300</v>
      </c>
      <c r="I399" s="62">
        <v>57</v>
      </c>
      <c r="J399" s="62">
        <v>2</v>
      </c>
      <c r="K399" s="62">
        <v>74</v>
      </c>
      <c r="L399" s="62">
        <v>2</v>
      </c>
      <c r="M399" s="62">
        <v>63</v>
      </c>
      <c r="N399" s="62">
        <v>1</v>
      </c>
      <c r="P399" s="120">
        <f t="shared" si="32"/>
        <v>19400</v>
      </c>
      <c r="Q399" s="120">
        <f t="shared" si="28"/>
        <v>500</v>
      </c>
      <c r="R399" s="106">
        <f t="shared" si="29"/>
        <v>0.97487437185929648</v>
      </c>
      <c r="S399" s="182"/>
      <c r="T399" s="65"/>
      <c r="U399" s="65"/>
      <c r="V399" s="65"/>
      <c r="Y399" s="89"/>
      <c r="Z399" s="357"/>
      <c r="AA399" s="120"/>
      <c r="AB399" s="120"/>
    </row>
    <row r="400" spans="1:31" s="62" customFormat="1">
      <c r="A400" s="134">
        <v>42908</v>
      </c>
      <c r="B400" s="60"/>
      <c r="C400" s="60"/>
      <c r="D400" s="62" t="s">
        <v>17</v>
      </c>
      <c r="E400" s="62">
        <v>3</v>
      </c>
      <c r="F400" s="89" t="s">
        <v>203</v>
      </c>
      <c r="G400" s="89">
        <v>1</v>
      </c>
      <c r="H400" s="62">
        <v>230</v>
      </c>
      <c r="I400" s="62">
        <v>0</v>
      </c>
      <c r="J400" s="62">
        <v>27</v>
      </c>
      <c r="K400" s="62">
        <v>0</v>
      </c>
      <c r="L400" s="62">
        <v>27</v>
      </c>
      <c r="M400" s="62">
        <v>0</v>
      </c>
      <c r="N400" s="62">
        <v>23</v>
      </c>
      <c r="P400" s="120">
        <f t="shared" si="32"/>
        <v>0</v>
      </c>
      <c r="Q400" s="120">
        <f t="shared" si="28"/>
        <v>5903.3333333333339</v>
      </c>
      <c r="R400" s="106">
        <f t="shared" si="29"/>
        <v>0</v>
      </c>
      <c r="S400" s="182"/>
      <c r="T400" s="65"/>
      <c r="U400" s="65"/>
      <c r="V400" s="65"/>
      <c r="Y400" s="89"/>
      <c r="Z400" s="357"/>
      <c r="AA400" s="120"/>
      <c r="AB400" s="120"/>
    </row>
    <row r="401" spans="1:29" s="62" customFormat="1">
      <c r="A401" s="134">
        <v>42908</v>
      </c>
      <c r="B401" s="60"/>
      <c r="C401" s="60"/>
      <c r="D401" s="62" t="s">
        <v>88</v>
      </c>
      <c r="E401" s="62">
        <v>3</v>
      </c>
      <c r="F401" s="89">
        <v>224</v>
      </c>
      <c r="G401" s="89">
        <v>1</v>
      </c>
      <c r="H401" s="62">
        <v>310</v>
      </c>
      <c r="I401" s="62">
        <v>13</v>
      </c>
      <c r="J401" s="62">
        <v>0</v>
      </c>
      <c r="K401" s="62">
        <v>6</v>
      </c>
      <c r="L401" s="62">
        <v>0</v>
      </c>
      <c r="M401" s="62">
        <v>10</v>
      </c>
      <c r="N401" s="62">
        <v>0</v>
      </c>
      <c r="P401" s="120">
        <f t="shared" si="32"/>
        <v>2996.6666666666665</v>
      </c>
      <c r="Q401" s="120">
        <f t="shared" si="28"/>
        <v>0</v>
      </c>
      <c r="R401" s="106">
        <f t="shared" si="29"/>
        <v>1</v>
      </c>
      <c r="S401" s="183" t="str">
        <f>D401</f>
        <v>HL-10 Ambient</v>
      </c>
      <c r="T401" s="65"/>
      <c r="U401" s="65"/>
      <c r="V401" s="65"/>
      <c r="Y401" s="89" t="str">
        <f>D401</f>
        <v>HL-10 Ambient</v>
      </c>
      <c r="Z401" s="351">
        <f>(SUMIFS($P$317:$P$380, $D$317:$D$380, Y401, $F$317:$F$380, "&lt;200"))+(SUMIFS($Q$317:$Q$380, $D$317:$D$380, Y401, $F$317:$F$380, "&lt;200"))</f>
        <v>20466.666666666664</v>
      </c>
      <c r="AA401" s="120">
        <f>SUM(P401:Q404)</f>
        <v>51856.666666666664</v>
      </c>
      <c r="AB401" s="120">
        <f>SUMIFS(Collection!O:O, Collection!B:B, "*" &amp; 'Bucket Counts'!Y401 &amp; "*", Collection!A:A, "&lt;" &amp; 'Bucket Counts'!A401,Collection!A:A,  "&gt;=" &amp; 'Bucket Counts'!$A$317)</f>
        <v>53456.666666666672</v>
      </c>
      <c r="AC401" s="106">
        <f>AA401/(Z401+AB401)</f>
        <v>0.70149253731343275</v>
      </c>
    </row>
    <row r="402" spans="1:29" s="62" customFormat="1">
      <c r="A402" s="134">
        <v>42908</v>
      </c>
      <c r="B402" s="60"/>
      <c r="C402" s="60"/>
      <c r="D402" s="62" t="s">
        <v>88</v>
      </c>
      <c r="E402" s="62">
        <v>3</v>
      </c>
      <c r="F402" s="89">
        <v>180</v>
      </c>
      <c r="G402" s="89">
        <v>1</v>
      </c>
      <c r="H402" s="62">
        <v>790</v>
      </c>
      <c r="I402" s="62">
        <v>13</v>
      </c>
      <c r="J402" s="62">
        <v>0</v>
      </c>
      <c r="K402" s="62">
        <v>8</v>
      </c>
      <c r="L402" s="62">
        <v>0</v>
      </c>
      <c r="M402" s="62">
        <v>16</v>
      </c>
      <c r="N402" s="62">
        <v>0</v>
      </c>
      <c r="P402" s="120">
        <f t="shared" si="32"/>
        <v>9743.3333333333339</v>
      </c>
      <c r="Q402" s="120">
        <f t="shared" si="28"/>
        <v>0</v>
      </c>
      <c r="R402" s="106">
        <f t="shared" si="29"/>
        <v>1</v>
      </c>
      <c r="S402" s="181">
        <f>(SUM(P401:P404)/(SUM(P401:Q404)))</f>
        <v>0.82059523044288751</v>
      </c>
      <c r="T402" s="65"/>
      <c r="Y402" s="89"/>
      <c r="Z402" s="357"/>
      <c r="AA402" s="120"/>
      <c r="AB402" s="120"/>
    </row>
    <row r="403" spans="1:29" s="62" customFormat="1">
      <c r="A403" s="134">
        <v>42908</v>
      </c>
      <c r="B403" s="60"/>
      <c r="C403" s="60"/>
      <c r="D403" s="62" t="s">
        <v>88</v>
      </c>
      <c r="E403" s="62">
        <v>3</v>
      </c>
      <c r="F403" s="89">
        <v>100</v>
      </c>
      <c r="G403" s="89">
        <v>1</v>
      </c>
      <c r="H403" s="62">
        <v>520</v>
      </c>
      <c r="I403" s="62">
        <v>52</v>
      </c>
      <c r="J403" s="62">
        <v>4</v>
      </c>
      <c r="K403" s="62">
        <v>61</v>
      </c>
      <c r="L403" s="62">
        <v>3</v>
      </c>
      <c r="M403" s="62">
        <v>59</v>
      </c>
      <c r="N403" s="62">
        <v>1</v>
      </c>
      <c r="P403" s="120">
        <f t="shared" si="32"/>
        <v>29813.333333333336</v>
      </c>
      <c r="Q403" s="120">
        <f t="shared" si="28"/>
        <v>1386.6666666666665</v>
      </c>
      <c r="R403" s="106">
        <f t="shared" si="29"/>
        <v>0.95555555555555549</v>
      </c>
      <c r="S403" s="182"/>
      <c r="T403" s="65"/>
      <c r="Y403" s="89"/>
      <c r="Z403" s="357"/>
      <c r="AA403" s="120"/>
      <c r="AB403" s="120"/>
    </row>
    <row r="404" spans="1:29" s="62" customFormat="1">
      <c r="A404" s="134">
        <v>42908</v>
      </c>
      <c r="B404" s="60"/>
      <c r="C404" s="60"/>
      <c r="D404" s="62" t="s">
        <v>88</v>
      </c>
      <c r="E404" s="62">
        <v>3</v>
      </c>
      <c r="F404" s="89" t="s">
        <v>203</v>
      </c>
      <c r="G404" s="89">
        <v>1</v>
      </c>
      <c r="H404" s="62">
        <v>250</v>
      </c>
      <c r="I404" s="62">
        <v>0</v>
      </c>
      <c r="J404" s="62">
        <v>30</v>
      </c>
      <c r="K404" s="62">
        <v>0</v>
      </c>
      <c r="L404" s="62">
        <v>31</v>
      </c>
      <c r="M404" s="62">
        <v>0</v>
      </c>
      <c r="N404" s="62">
        <v>34</v>
      </c>
      <c r="P404" s="120">
        <f t="shared" si="32"/>
        <v>0</v>
      </c>
      <c r="Q404" s="120">
        <f t="shared" si="28"/>
        <v>7916.666666666667</v>
      </c>
      <c r="R404" s="106">
        <f t="shared" si="29"/>
        <v>0</v>
      </c>
      <c r="S404" s="182"/>
      <c r="T404" s="65"/>
      <c r="Y404" s="89"/>
      <c r="Z404" s="357"/>
      <c r="AA404" s="120"/>
      <c r="AB404" s="120"/>
    </row>
    <row r="405" spans="1:29" s="62" customFormat="1">
      <c r="A405" s="134">
        <v>42908</v>
      </c>
      <c r="B405" s="60"/>
      <c r="C405" s="60"/>
      <c r="D405" s="61" t="s">
        <v>46</v>
      </c>
      <c r="E405" s="62">
        <v>4</v>
      </c>
      <c r="F405" s="89">
        <v>224</v>
      </c>
      <c r="G405" s="89">
        <v>1</v>
      </c>
      <c r="H405" s="62">
        <v>230</v>
      </c>
      <c r="I405" s="62">
        <v>5</v>
      </c>
      <c r="J405" s="62">
        <v>0</v>
      </c>
      <c r="K405" s="62">
        <v>3</v>
      </c>
      <c r="L405" s="62">
        <v>0</v>
      </c>
      <c r="M405" s="62">
        <v>2</v>
      </c>
      <c r="N405" s="62">
        <v>0</v>
      </c>
      <c r="P405" s="120">
        <f t="shared" si="32"/>
        <v>766.66666666666674</v>
      </c>
      <c r="Q405" s="120">
        <f t="shared" si="28"/>
        <v>0</v>
      </c>
      <c r="R405" s="106">
        <f t="shared" si="29"/>
        <v>1</v>
      </c>
      <c r="S405" s="180" t="str">
        <f>D405</f>
        <v>K-6 Low</v>
      </c>
      <c r="T405" s="65"/>
      <c r="Y405" s="89" t="str">
        <f>D405</f>
        <v>K-6 Low</v>
      </c>
      <c r="Z405" s="351">
        <f>(SUMIFS($P$317:$P$380, $D$317:$D$380, Y405, $F$317:$F$380, "&lt;200"))+(SUMIFS($Q$317:$Q$380, $D$317:$D$380, Y405, $F$317:$F$380, "&lt;200"))</f>
        <v>34666.666666666664</v>
      </c>
      <c r="AA405" s="120">
        <f>SUM(P405:Q408)</f>
        <v>30933.333333333336</v>
      </c>
      <c r="AB405" s="120">
        <f>SUMIFS(Collection!O:O, Collection!B:B, "*" &amp; 'Bucket Counts'!Y405 &amp; "*", Collection!A:A, "&lt;" &amp; 'Bucket Counts'!A405,Collection!A:A,  "&gt;=" &amp; 'Bucket Counts'!$A$317)</f>
        <v>0</v>
      </c>
      <c r="AC405" s="106">
        <f>AA405/(Z405+AB405)</f>
        <v>0.89230769230769247</v>
      </c>
    </row>
    <row r="406" spans="1:29" s="62" customFormat="1">
      <c r="A406" s="134">
        <v>42908</v>
      </c>
      <c r="B406" s="60"/>
      <c r="C406" s="60"/>
      <c r="D406" s="61" t="s">
        <v>46</v>
      </c>
      <c r="E406" s="62">
        <v>4</v>
      </c>
      <c r="F406" s="89">
        <v>180</v>
      </c>
      <c r="G406" s="89">
        <v>1</v>
      </c>
      <c r="H406" s="62">
        <v>500</v>
      </c>
      <c r="I406" s="62">
        <v>38</v>
      </c>
      <c r="J406" s="62">
        <v>0</v>
      </c>
      <c r="K406" s="62">
        <v>45</v>
      </c>
      <c r="L406" s="62">
        <v>0</v>
      </c>
      <c r="M406" s="62">
        <v>41</v>
      </c>
      <c r="N406" s="62">
        <v>0</v>
      </c>
      <c r="P406" s="120">
        <f t="shared" si="32"/>
        <v>20666.666666666668</v>
      </c>
      <c r="Q406" s="120">
        <f t="shared" si="28"/>
        <v>0</v>
      </c>
      <c r="R406" s="106">
        <f t="shared" si="29"/>
        <v>1</v>
      </c>
      <c r="S406" s="181">
        <f>(SUM(P405:P408)/(SUM(P405:Q408)))</f>
        <v>0.94504310344827591</v>
      </c>
      <c r="T406" s="65"/>
      <c r="Y406" s="89"/>
      <c r="Z406" s="357"/>
      <c r="AA406" s="120"/>
      <c r="AB406" s="120"/>
    </row>
    <row r="407" spans="1:29" s="62" customFormat="1">
      <c r="A407" s="134">
        <v>42908</v>
      </c>
      <c r="B407" s="60"/>
      <c r="C407" s="60"/>
      <c r="D407" s="61" t="s">
        <v>46</v>
      </c>
      <c r="E407" s="62">
        <v>4</v>
      </c>
      <c r="F407" s="89">
        <v>100</v>
      </c>
      <c r="G407" s="89">
        <v>1</v>
      </c>
      <c r="H407" s="150">
        <v>300</v>
      </c>
      <c r="I407" s="62">
        <v>27</v>
      </c>
      <c r="J407" s="62">
        <v>0</v>
      </c>
      <c r="K407" s="62">
        <v>18</v>
      </c>
      <c r="L407" s="62">
        <v>0</v>
      </c>
      <c r="M407" s="62">
        <v>24</v>
      </c>
      <c r="N407" s="62">
        <v>0</v>
      </c>
      <c r="P407" s="120">
        <f t="shared" si="32"/>
        <v>6900</v>
      </c>
      <c r="Q407" s="120">
        <f t="shared" si="28"/>
        <v>0</v>
      </c>
      <c r="R407" s="106">
        <f t="shared" si="29"/>
        <v>1</v>
      </c>
      <c r="S407" s="179"/>
      <c r="T407" s="65"/>
      <c r="Y407" s="89"/>
      <c r="Z407" s="357"/>
      <c r="AA407" s="120"/>
      <c r="AB407" s="120"/>
    </row>
    <row r="408" spans="1:29" s="62" customFormat="1">
      <c r="A408" s="134">
        <v>42908</v>
      </c>
      <c r="B408" s="60"/>
      <c r="C408" s="60"/>
      <c r="D408" s="61" t="s">
        <v>46</v>
      </c>
      <c r="E408" s="62">
        <v>4</v>
      </c>
      <c r="F408" s="89" t="s">
        <v>203</v>
      </c>
      <c r="G408" s="89">
        <v>1</v>
      </c>
      <c r="H408" s="150">
        <v>300</v>
      </c>
      <c r="I408" s="62">
        <v>3</v>
      </c>
      <c r="J408" s="62">
        <v>7</v>
      </c>
      <c r="K408" s="62">
        <v>6</v>
      </c>
      <c r="L408" s="62">
        <v>4</v>
      </c>
      <c r="M408" s="62">
        <v>0</v>
      </c>
      <c r="N408" s="62">
        <v>6</v>
      </c>
      <c r="P408" s="120">
        <f>(AVERAGE(I408,K408,M408)/G408)*H408</f>
        <v>900</v>
      </c>
      <c r="Q408" s="120">
        <f t="shared" si="28"/>
        <v>1700</v>
      </c>
      <c r="R408" s="106">
        <f t="shared" si="29"/>
        <v>0.34615384615384615</v>
      </c>
      <c r="S408" s="182"/>
      <c r="T408" s="65"/>
      <c r="Y408" s="89"/>
      <c r="Z408" s="357"/>
      <c r="AA408" s="120"/>
      <c r="AB408" s="120"/>
    </row>
    <row r="409" spans="1:29" s="62" customFormat="1">
      <c r="A409" s="134">
        <v>42908</v>
      </c>
      <c r="B409" s="60"/>
      <c r="C409" s="60"/>
      <c r="D409" s="61" t="s">
        <v>38</v>
      </c>
      <c r="E409" s="62">
        <v>4</v>
      </c>
      <c r="F409" s="89">
        <v>224</v>
      </c>
      <c r="G409" s="89">
        <v>1</v>
      </c>
      <c r="H409" s="62">
        <v>300</v>
      </c>
      <c r="I409" s="62">
        <v>9</v>
      </c>
      <c r="J409" s="62">
        <v>0</v>
      </c>
      <c r="K409" s="62">
        <v>5</v>
      </c>
      <c r="L409" s="62">
        <v>0</v>
      </c>
      <c r="M409" s="62">
        <v>5</v>
      </c>
      <c r="N409" s="62">
        <v>0</v>
      </c>
      <c r="P409" s="120">
        <f t="shared" ref="P409:P421" si="33">(AVERAGE(I409,K409,M409)/G409)*H409</f>
        <v>1900</v>
      </c>
      <c r="Q409" s="120">
        <f t="shared" si="28"/>
        <v>0</v>
      </c>
      <c r="R409" s="106">
        <f t="shared" si="29"/>
        <v>1</v>
      </c>
      <c r="S409" s="183" t="str">
        <f>D409</f>
        <v>K-6 Ambient</v>
      </c>
      <c r="T409" s="65"/>
      <c r="Y409" s="89" t="str">
        <f>D409</f>
        <v>K-6 Ambient</v>
      </c>
      <c r="Z409" s="351">
        <f>(SUMIFS($P$317:$P$380, $D$317:$D$380, Y409, $F$317:$F$380, "&lt;200"))+(SUMIFS($Q$317:$Q$380, $D$317:$D$380, Y409, $F$317:$F$380, "&lt;200"))</f>
        <v>33586.666666666664</v>
      </c>
      <c r="AA409" s="120">
        <f>SUM(P409:Q412)</f>
        <v>114666.66666666666</v>
      </c>
      <c r="AB409" s="120">
        <f>SUMIFS(Collection!O:O, Collection!B:B, "*" &amp; 'Bucket Counts'!Y409 &amp; "*", Collection!A:A, "&lt;" &amp; 'Bucket Counts'!A409,Collection!A:A,  "&gt;=" &amp; 'Bucket Counts'!$A$317)</f>
        <v>103683.33333333334</v>
      </c>
      <c r="AC409" s="106">
        <f>AA409/(Z409+AB409)</f>
        <v>0.83533668439328812</v>
      </c>
    </row>
    <row r="410" spans="1:29" s="62" customFormat="1">
      <c r="A410" s="134">
        <v>42908</v>
      </c>
      <c r="B410" s="60"/>
      <c r="C410" s="60"/>
      <c r="D410" s="61" t="s">
        <v>38</v>
      </c>
      <c r="E410" s="62">
        <v>4</v>
      </c>
      <c r="F410" s="89">
        <v>180</v>
      </c>
      <c r="G410" s="89">
        <v>1</v>
      </c>
      <c r="H410" s="62">
        <v>340</v>
      </c>
      <c r="I410" s="62">
        <v>27</v>
      </c>
      <c r="J410" s="62">
        <v>0</v>
      </c>
      <c r="K410" s="62">
        <v>16</v>
      </c>
      <c r="L410" s="62">
        <v>0</v>
      </c>
      <c r="M410" s="62">
        <v>17</v>
      </c>
      <c r="N410" s="62">
        <v>0</v>
      </c>
      <c r="P410" s="120">
        <f t="shared" si="33"/>
        <v>6800</v>
      </c>
      <c r="Q410" s="120">
        <f t="shared" si="28"/>
        <v>0</v>
      </c>
      <c r="R410" s="106">
        <f t="shared" si="29"/>
        <v>1</v>
      </c>
      <c r="S410" s="181">
        <f>(SUM(P409:P412)/(SUM(P409:Q412)))</f>
        <v>0.66209302325581398</v>
      </c>
      <c r="T410" s="65"/>
      <c r="Y410" s="89"/>
      <c r="Z410" s="357"/>
      <c r="AA410" s="120"/>
      <c r="AB410" s="120"/>
    </row>
    <row r="411" spans="1:29" s="62" customFormat="1">
      <c r="A411" s="134">
        <v>42908</v>
      </c>
      <c r="B411" s="60"/>
      <c r="C411" s="60"/>
      <c r="D411" s="61" t="s">
        <v>38</v>
      </c>
      <c r="E411" s="62">
        <v>4</v>
      </c>
      <c r="F411" s="89">
        <v>100</v>
      </c>
      <c r="G411" s="89">
        <v>1</v>
      </c>
      <c r="H411" s="150">
        <v>520</v>
      </c>
      <c r="I411" s="62">
        <v>128</v>
      </c>
      <c r="J411" s="62">
        <v>5</v>
      </c>
      <c r="K411" s="62">
        <v>129</v>
      </c>
      <c r="L411" s="62">
        <v>1</v>
      </c>
      <c r="M411" s="62">
        <v>126</v>
      </c>
      <c r="N411" s="62">
        <v>6</v>
      </c>
      <c r="P411" s="120">
        <f t="shared" si="33"/>
        <v>66386.666666666672</v>
      </c>
      <c r="Q411" s="120">
        <f t="shared" si="28"/>
        <v>2080</v>
      </c>
      <c r="R411" s="106">
        <f t="shared" si="29"/>
        <v>0.96962025316455691</v>
      </c>
      <c r="S411" s="182"/>
      <c r="T411" s="65"/>
      <c r="Y411" s="89"/>
      <c r="Z411" s="357"/>
      <c r="AA411" s="120"/>
      <c r="AB411" s="120"/>
    </row>
    <row r="412" spans="1:29" s="62" customFormat="1">
      <c r="A412" s="134">
        <v>42908</v>
      </c>
      <c r="B412" s="60"/>
      <c r="C412" s="60"/>
      <c r="D412" s="61" t="s">
        <v>38</v>
      </c>
      <c r="E412" s="62">
        <v>4</v>
      </c>
      <c r="F412" s="89" t="s">
        <v>203</v>
      </c>
      <c r="G412" s="89">
        <v>1</v>
      </c>
      <c r="H412" s="150">
        <v>500</v>
      </c>
      <c r="I412" s="62">
        <v>2</v>
      </c>
      <c r="J412" s="62">
        <v>54</v>
      </c>
      <c r="K412" s="62">
        <v>2</v>
      </c>
      <c r="L412" s="62">
        <v>82</v>
      </c>
      <c r="M412" s="62">
        <v>1</v>
      </c>
      <c r="N412" s="62">
        <v>84</v>
      </c>
      <c r="P412" s="120">
        <f t="shared" si="33"/>
        <v>833.33333333333337</v>
      </c>
      <c r="Q412" s="120">
        <f t="shared" si="28"/>
        <v>36666.666666666664</v>
      </c>
      <c r="R412" s="106">
        <f t="shared" si="29"/>
        <v>2.2222222222222223E-2</v>
      </c>
      <c r="S412" s="182"/>
      <c r="T412" s="65"/>
      <c r="Y412" s="89"/>
      <c r="Z412" s="357"/>
      <c r="AA412" s="120"/>
      <c r="AB412" s="120"/>
    </row>
    <row r="413" spans="1:29" s="62" customFormat="1">
      <c r="A413" s="134">
        <v>42908</v>
      </c>
      <c r="B413" s="60"/>
      <c r="C413" s="60"/>
      <c r="D413" s="62" t="s">
        <v>105</v>
      </c>
      <c r="E413" s="62">
        <v>5</v>
      </c>
      <c r="F413" s="89">
        <v>224</v>
      </c>
      <c r="G413" s="89">
        <v>1</v>
      </c>
      <c r="H413" s="62">
        <v>320</v>
      </c>
      <c r="I413" s="62">
        <v>0</v>
      </c>
      <c r="J413" s="62">
        <v>1</v>
      </c>
      <c r="K413" s="62">
        <v>0</v>
      </c>
      <c r="L413" s="62">
        <v>0</v>
      </c>
      <c r="M413" s="62">
        <v>4</v>
      </c>
      <c r="N413" s="62">
        <v>1</v>
      </c>
      <c r="P413" s="120">
        <f t="shared" si="33"/>
        <v>426.66666666666663</v>
      </c>
      <c r="Q413" s="120">
        <f t="shared" si="28"/>
        <v>213.33333333333331</v>
      </c>
      <c r="R413" s="106">
        <f t="shared" si="29"/>
        <v>0.66666666666666663</v>
      </c>
      <c r="S413" s="183" t="str">
        <f>D413</f>
        <v>NF-6 Low</v>
      </c>
      <c r="Y413" s="89" t="str">
        <f>D413</f>
        <v>NF-6 Low</v>
      </c>
      <c r="Z413" s="351">
        <f>(SUMIFS($P$317:$P$380, $D$317:$D$380, Y413, $F$317:$F$380, "&lt;200"))+(SUMIFS($Q$317:$Q$380, $D$317:$D$380, Y413, $F$317:$F$380, "&lt;200"))</f>
        <v>64433.333333333336</v>
      </c>
      <c r="AA413" s="120">
        <f>SUM(P413:Q416)</f>
        <v>91783.333333333343</v>
      </c>
      <c r="AB413" s="120">
        <f>SUMIFS(Collection!O:O, Collection!B:B, "*" &amp; 'Bucket Counts'!Y413 &amp; "*", Collection!A:A, "&lt;" &amp; 'Bucket Counts'!A413,Collection!A:A,  "&gt;=" &amp; 'Bucket Counts'!$A$317)</f>
        <v>59640</v>
      </c>
      <c r="AC413" s="106">
        <f>AA413/(Z413+AB413)</f>
        <v>0.73975068507871689</v>
      </c>
    </row>
    <row r="414" spans="1:29" s="62" customFormat="1">
      <c r="A414" s="134">
        <v>42908</v>
      </c>
      <c r="B414" s="60"/>
      <c r="C414" s="60"/>
      <c r="D414" s="62" t="s">
        <v>105</v>
      </c>
      <c r="E414" s="62">
        <v>5</v>
      </c>
      <c r="F414" s="89">
        <v>180</v>
      </c>
      <c r="G414" s="89">
        <v>1</v>
      </c>
      <c r="H414" s="62">
        <v>530</v>
      </c>
      <c r="I414" s="62">
        <v>16</v>
      </c>
      <c r="J414" s="62">
        <v>1</v>
      </c>
      <c r="K414" s="62">
        <v>12</v>
      </c>
      <c r="L414" s="62">
        <v>0</v>
      </c>
      <c r="M414" s="62">
        <v>17</v>
      </c>
      <c r="N414" s="62">
        <v>0</v>
      </c>
      <c r="P414" s="120">
        <f t="shared" si="33"/>
        <v>7950</v>
      </c>
      <c r="Q414" s="120">
        <f t="shared" si="28"/>
        <v>176.66666666666666</v>
      </c>
      <c r="R414" s="106">
        <f t="shared" si="29"/>
        <v>0.97826086956521741</v>
      </c>
      <c r="S414" s="181">
        <f>(SUM(P413:P416)/(SUM(P413:Q416)))</f>
        <v>0.70608316687851802</v>
      </c>
      <c r="Y414" s="89"/>
      <c r="Z414" s="357"/>
      <c r="AA414" s="120"/>
      <c r="AB414" s="120"/>
    </row>
    <row r="415" spans="1:29" s="62" customFormat="1">
      <c r="A415" s="134">
        <v>42908</v>
      </c>
      <c r="B415" s="60"/>
      <c r="C415" s="60"/>
      <c r="D415" s="62" t="s">
        <v>105</v>
      </c>
      <c r="E415" s="62">
        <v>5</v>
      </c>
      <c r="F415" s="89">
        <v>100</v>
      </c>
      <c r="G415" s="89">
        <v>1</v>
      </c>
      <c r="H415" s="62">
        <v>520</v>
      </c>
      <c r="I415" s="62">
        <v>108</v>
      </c>
      <c r="J415" s="62">
        <v>5</v>
      </c>
      <c r="K415" s="62">
        <v>96</v>
      </c>
      <c r="L415" s="62">
        <v>13</v>
      </c>
      <c r="M415" s="62">
        <v>121</v>
      </c>
      <c r="N415" s="62">
        <v>6</v>
      </c>
      <c r="P415" s="120">
        <f t="shared" si="33"/>
        <v>56333.333333333328</v>
      </c>
      <c r="Q415" s="120">
        <f t="shared" si="28"/>
        <v>4160</v>
      </c>
      <c r="R415" s="106">
        <f t="shared" si="29"/>
        <v>0.93123209169054444</v>
      </c>
      <c r="S415" s="182"/>
      <c r="Y415" s="89"/>
      <c r="Z415" s="357"/>
      <c r="AA415" s="120"/>
      <c r="AB415" s="120"/>
    </row>
    <row r="416" spans="1:29" s="62" customFormat="1">
      <c r="A416" s="134">
        <v>42908</v>
      </c>
      <c r="B416" s="60"/>
      <c r="C416" s="60"/>
      <c r="D416" s="62" t="s">
        <v>105</v>
      </c>
      <c r="E416" s="62">
        <v>5</v>
      </c>
      <c r="F416" s="89" t="s">
        <v>203</v>
      </c>
      <c r="G416" s="89">
        <v>1</v>
      </c>
      <c r="H416" s="62">
        <v>290</v>
      </c>
      <c r="I416" s="62">
        <v>1</v>
      </c>
      <c r="J416" s="62">
        <v>84</v>
      </c>
      <c r="K416" s="62">
        <v>0</v>
      </c>
      <c r="L416" s="62">
        <v>75</v>
      </c>
      <c r="M416" s="62">
        <v>0</v>
      </c>
      <c r="N416" s="62">
        <v>73</v>
      </c>
      <c r="P416" s="120">
        <f t="shared" si="33"/>
        <v>96.666666666666657</v>
      </c>
      <c r="Q416" s="120">
        <f t="shared" si="28"/>
        <v>22426.666666666664</v>
      </c>
      <c r="R416" s="106">
        <f t="shared" si="29"/>
        <v>4.2918454935622317E-3</v>
      </c>
      <c r="S416" s="182"/>
      <c r="Y416" s="89"/>
      <c r="Z416" s="357"/>
      <c r="AA416" s="120"/>
      <c r="AB416" s="120"/>
    </row>
    <row r="417" spans="1:29" s="62" customFormat="1">
      <c r="A417" s="134">
        <v>42908</v>
      </c>
      <c r="B417" s="60"/>
      <c r="C417" s="60"/>
      <c r="D417" s="62" t="s">
        <v>77</v>
      </c>
      <c r="E417" s="62">
        <v>5</v>
      </c>
      <c r="F417" s="89">
        <v>224</v>
      </c>
      <c r="G417" s="89">
        <v>1</v>
      </c>
      <c r="H417" s="62">
        <v>300</v>
      </c>
      <c r="I417" s="62">
        <v>1</v>
      </c>
      <c r="J417" s="62">
        <v>6</v>
      </c>
      <c r="K417" s="62">
        <v>3</v>
      </c>
      <c r="L417" s="62">
        <v>1</v>
      </c>
      <c r="M417" s="62">
        <v>0</v>
      </c>
      <c r="N417" s="62">
        <v>7</v>
      </c>
      <c r="P417" s="120">
        <f t="shared" si="33"/>
        <v>400</v>
      </c>
      <c r="Q417" s="120">
        <f t="shared" si="28"/>
        <v>1400</v>
      </c>
      <c r="R417" s="106">
        <f t="shared" si="29"/>
        <v>0.22222222222222221</v>
      </c>
      <c r="S417" s="183" t="str">
        <f>D417</f>
        <v>SN-6 Low</v>
      </c>
      <c r="T417" s="65"/>
      <c r="U417" s="65"/>
      <c r="V417" s="65"/>
      <c r="Y417" s="89" t="str">
        <f>D417</f>
        <v>SN-6 Low</v>
      </c>
      <c r="Z417" s="351">
        <f>(SUMIFS($P$317:$P$380, $D$317:$D$380, Y417, $F$317:$F$380, "&lt;200"))+(SUMIFS($Q$317:$Q$380, $D$317:$D$380, Y417, $F$317:$F$380, "&lt;200"))</f>
        <v>64143.333333333343</v>
      </c>
      <c r="AA417" s="120">
        <f>SUM(P417:Q420)</f>
        <v>71580</v>
      </c>
      <c r="AB417" s="120">
        <f>SUMIFS(Collection!O:O, Collection!B:B, "*" &amp; 'Bucket Counts'!Y417 &amp; "*", Collection!A:A, "&lt;" &amp; 'Bucket Counts'!A417,Collection!A:A,  "&gt;=" &amp; 'Bucket Counts'!$A$317)</f>
        <v>0</v>
      </c>
      <c r="AC417" s="106">
        <f>AA417/(Z417+AB417)</f>
        <v>1.1159382632645636</v>
      </c>
    </row>
    <row r="418" spans="1:29" s="62" customFormat="1">
      <c r="A418" s="134">
        <v>42908</v>
      </c>
      <c r="B418" s="60"/>
      <c r="C418" s="60"/>
      <c r="D418" s="62" t="s">
        <v>77</v>
      </c>
      <c r="E418" s="62">
        <v>5</v>
      </c>
      <c r="F418" s="89">
        <v>180</v>
      </c>
      <c r="G418" s="89">
        <v>1</v>
      </c>
      <c r="H418" s="62">
        <v>300</v>
      </c>
      <c r="I418" s="62">
        <v>8</v>
      </c>
      <c r="J418" s="62">
        <v>80</v>
      </c>
      <c r="K418" s="62">
        <v>6</v>
      </c>
      <c r="L418" s="62">
        <v>79</v>
      </c>
      <c r="M418" s="62">
        <v>8</v>
      </c>
      <c r="N418" s="62">
        <v>53</v>
      </c>
      <c r="P418" s="120">
        <f t="shared" si="33"/>
        <v>2200</v>
      </c>
      <c r="Q418" s="120">
        <f t="shared" si="28"/>
        <v>21200</v>
      </c>
      <c r="R418" s="106">
        <f t="shared" si="29"/>
        <v>9.4017094017094016E-2</v>
      </c>
      <c r="S418" s="181">
        <f>(SUM(P417:P420)/(SUM(P417:Q420)))</f>
        <v>0.33286765390705042</v>
      </c>
      <c r="T418" s="65"/>
      <c r="U418" s="65"/>
      <c r="V418" s="65"/>
      <c r="Y418" s="89"/>
      <c r="Z418" s="357"/>
      <c r="AA418" s="120"/>
      <c r="AB418" s="120"/>
    </row>
    <row r="419" spans="1:29" s="62" customFormat="1">
      <c r="A419" s="134">
        <v>42908</v>
      </c>
      <c r="B419" s="60"/>
      <c r="C419" s="60"/>
      <c r="D419" s="62" t="s">
        <v>77</v>
      </c>
      <c r="E419" s="62">
        <v>5</v>
      </c>
      <c r="F419" s="89">
        <v>100</v>
      </c>
      <c r="G419" s="89">
        <v>1</v>
      </c>
      <c r="H419" s="62">
        <v>300</v>
      </c>
      <c r="I419" s="62">
        <v>72</v>
      </c>
      <c r="J419" s="62">
        <v>39</v>
      </c>
      <c r="K419" s="62">
        <v>62</v>
      </c>
      <c r="L419" s="62">
        <v>53</v>
      </c>
      <c r="M419" s="62">
        <v>74</v>
      </c>
      <c r="N419" s="62">
        <v>39</v>
      </c>
      <c r="P419" s="120">
        <f t="shared" si="33"/>
        <v>20800</v>
      </c>
      <c r="Q419" s="120">
        <f t="shared" si="28"/>
        <v>13100</v>
      </c>
      <c r="R419" s="106">
        <f t="shared" si="29"/>
        <v>0.6135693215339233</v>
      </c>
      <c r="S419" s="182"/>
      <c r="T419" s="65"/>
      <c r="U419" s="65"/>
      <c r="V419" s="65"/>
      <c r="Y419" s="89"/>
      <c r="Z419" s="357"/>
      <c r="AA419" s="120"/>
      <c r="AB419" s="120"/>
    </row>
    <row r="420" spans="1:29" s="62" customFormat="1">
      <c r="A420" s="134">
        <v>42908</v>
      </c>
      <c r="B420" s="60"/>
      <c r="C420" s="60"/>
      <c r="D420" s="62" t="s">
        <v>77</v>
      </c>
      <c r="E420" s="62">
        <v>5</v>
      </c>
      <c r="F420" s="89" t="s">
        <v>203</v>
      </c>
      <c r="G420" s="89">
        <v>1</v>
      </c>
      <c r="H420" s="62">
        <v>320</v>
      </c>
      <c r="I420" s="62">
        <v>2</v>
      </c>
      <c r="J420" s="62">
        <v>42</v>
      </c>
      <c r="K420" s="62">
        <v>0</v>
      </c>
      <c r="L420" s="62">
        <v>34</v>
      </c>
      <c r="M420" s="62">
        <v>2</v>
      </c>
      <c r="N420" s="62">
        <v>37</v>
      </c>
      <c r="P420" s="120">
        <f t="shared" si="33"/>
        <v>426.66666666666663</v>
      </c>
      <c r="Q420" s="120">
        <f t="shared" ref="Q420:Q483" si="34">(AVERAGE(J420,L420,N420)/G420)*H420</f>
        <v>12053.333333333332</v>
      </c>
      <c r="R420" s="106">
        <f t="shared" ref="R420:R483" si="35">P420/(P420+Q420)</f>
        <v>3.4188034188034191E-2</v>
      </c>
      <c r="S420" s="182"/>
      <c r="T420" s="65"/>
      <c r="U420" s="65"/>
      <c r="V420" s="65"/>
      <c r="Y420" s="89"/>
      <c r="Z420" s="357"/>
      <c r="AA420" s="120"/>
      <c r="AB420" s="120"/>
    </row>
    <row r="421" spans="1:29" s="62" customFormat="1">
      <c r="A421" s="134">
        <v>42908</v>
      </c>
      <c r="B421" s="60"/>
      <c r="C421" s="60"/>
      <c r="D421" s="62" t="s">
        <v>85</v>
      </c>
      <c r="E421" s="62">
        <v>6</v>
      </c>
      <c r="F421" s="89">
        <v>224</v>
      </c>
      <c r="G421" s="89">
        <v>1</v>
      </c>
      <c r="H421" s="62">
        <v>540</v>
      </c>
      <c r="I421" s="62">
        <v>9</v>
      </c>
      <c r="J421" s="62">
        <v>3</v>
      </c>
      <c r="K421" s="62">
        <v>5</v>
      </c>
      <c r="L421" s="62">
        <v>1</v>
      </c>
      <c r="M421" s="62">
        <v>5</v>
      </c>
      <c r="N421" s="62">
        <v>2</v>
      </c>
      <c r="P421" s="120">
        <f t="shared" si="33"/>
        <v>3420</v>
      </c>
      <c r="Q421" s="120">
        <f t="shared" si="34"/>
        <v>1080</v>
      </c>
      <c r="R421" s="106">
        <f t="shared" si="35"/>
        <v>0.76</v>
      </c>
      <c r="S421" s="183" t="str">
        <f>D421</f>
        <v>NF-6 Ambient</v>
      </c>
      <c r="T421" s="65"/>
      <c r="U421" s="65"/>
      <c r="V421" s="65"/>
      <c r="Y421" s="89" t="str">
        <f>D421</f>
        <v>NF-6 Ambient</v>
      </c>
      <c r="Z421" s="351">
        <f>(SUMIFS($P$317:$P$380, $D$317:$D$380, Y421, $F$317:$F$380, "&lt;200"))+(SUMIFS($Q$317:$Q$380, $D$317:$D$380, Y421, $F$317:$F$380, "&lt;200"))</f>
        <v>22860</v>
      </c>
      <c r="AA421" s="120">
        <f>SUM(P421:Q424)</f>
        <v>14090</v>
      </c>
      <c r="AB421" s="120">
        <f>SUMIFS(Collection!O:O, Collection!B:B, "*" &amp; 'Bucket Counts'!Y421 &amp; "*", Collection!A:A, "&lt;" &amp; 'Bucket Counts'!A421,Collection!A:A,  "&gt;=" &amp; 'Bucket Counts'!$A$317)</f>
        <v>0</v>
      </c>
      <c r="AC421" s="106">
        <f>AA421/(Z421+AB421)</f>
        <v>0.61636045494313207</v>
      </c>
    </row>
    <row r="422" spans="1:29" s="62" customFormat="1">
      <c r="A422" s="134">
        <v>42908</v>
      </c>
      <c r="B422" s="60"/>
      <c r="C422" s="60"/>
      <c r="D422" s="62" t="s">
        <v>85</v>
      </c>
      <c r="E422" s="62">
        <v>6</v>
      </c>
      <c r="F422" s="89">
        <v>180</v>
      </c>
      <c r="G422" s="89">
        <v>1</v>
      </c>
      <c r="H422" s="62">
        <v>300</v>
      </c>
      <c r="I422" s="62">
        <v>27</v>
      </c>
      <c r="J422" s="62">
        <v>10</v>
      </c>
      <c r="K422" s="62">
        <v>18</v>
      </c>
      <c r="L422" s="62">
        <v>6</v>
      </c>
      <c r="M422" s="62">
        <v>15</v>
      </c>
      <c r="N422" s="62">
        <v>7</v>
      </c>
      <c r="P422" s="120">
        <f>(AVERAGE(I422,K422,M422)/G422)*H422</f>
        <v>6000</v>
      </c>
      <c r="Q422" s="120">
        <f t="shared" si="34"/>
        <v>2300</v>
      </c>
      <c r="R422" s="106">
        <f t="shared" si="35"/>
        <v>0.72289156626506024</v>
      </c>
      <c r="S422" s="181">
        <f>(SUM(P421:P424)/(SUM(P421:Q424)))</f>
        <v>0.68985095812633068</v>
      </c>
      <c r="T422" s="65"/>
      <c r="U422" s="65"/>
      <c r="V422" s="65"/>
      <c r="Y422" s="89"/>
      <c r="Z422" s="357"/>
      <c r="AA422" s="120"/>
      <c r="AB422" s="120"/>
    </row>
    <row r="423" spans="1:29" s="62" customFormat="1">
      <c r="A423" s="134">
        <v>42908</v>
      </c>
      <c r="B423" s="60"/>
      <c r="C423" s="60"/>
      <c r="D423" s="62" t="s">
        <v>85</v>
      </c>
      <c r="E423" s="62">
        <v>6</v>
      </c>
      <c r="F423" s="89">
        <v>100</v>
      </c>
      <c r="G423" s="89">
        <v>1</v>
      </c>
      <c r="H423" s="62">
        <v>300</v>
      </c>
      <c r="I423" s="62">
        <v>1</v>
      </c>
      <c r="J423" s="62">
        <v>0</v>
      </c>
      <c r="K423" s="62">
        <v>1</v>
      </c>
      <c r="L423" s="62">
        <v>0</v>
      </c>
      <c r="M423" s="62">
        <v>1</v>
      </c>
      <c r="N423" s="62">
        <v>0</v>
      </c>
      <c r="P423" s="120">
        <f t="shared" ref="P423:P444" si="36">(AVERAGE(I423,K423,M423)/G423)*H423</f>
        <v>300</v>
      </c>
      <c r="Q423" s="120">
        <f t="shared" si="34"/>
        <v>0</v>
      </c>
      <c r="R423" s="106">
        <f t="shared" si="35"/>
        <v>1</v>
      </c>
      <c r="S423" s="182"/>
      <c r="T423" s="65"/>
      <c r="U423" s="65"/>
      <c r="V423" s="65"/>
      <c r="Y423" s="89"/>
      <c r="Z423" s="357"/>
      <c r="AA423" s="120"/>
      <c r="AB423" s="120"/>
    </row>
    <row r="424" spans="1:29" s="62" customFormat="1">
      <c r="A424" s="134">
        <v>42908</v>
      </c>
      <c r="B424" s="60"/>
      <c r="C424" s="60"/>
      <c r="D424" s="62" t="s">
        <v>85</v>
      </c>
      <c r="E424" s="62">
        <v>6</v>
      </c>
      <c r="F424" s="89" t="s">
        <v>203</v>
      </c>
      <c r="G424" s="89">
        <v>1</v>
      </c>
      <c r="H424" s="62">
        <v>270</v>
      </c>
      <c r="I424" s="62">
        <v>0</v>
      </c>
      <c r="J424" s="62">
        <v>3</v>
      </c>
      <c r="K424" s="62">
        <v>0</v>
      </c>
      <c r="L424" s="62">
        <v>5</v>
      </c>
      <c r="M424" s="62">
        <v>0</v>
      </c>
      <c r="N424" s="62">
        <v>3</v>
      </c>
      <c r="P424" s="120">
        <f t="shared" si="36"/>
        <v>0</v>
      </c>
      <c r="Q424" s="120">
        <f t="shared" si="34"/>
        <v>990</v>
      </c>
      <c r="R424" s="106">
        <f t="shared" si="35"/>
        <v>0</v>
      </c>
      <c r="S424" s="182"/>
      <c r="T424" s="65"/>
      <c r="U424" s="65"/>
      <c r="V424" s="65"/>
      <c r="Y424" s="89"/>
      <c r="Z424" s="357"/>
      <c r="AA424" s="120"/>
      <c r="AB424" s="120"/>
    </row>
    <row r="425" spans="1:29" s="62" customFormat="1">
      <c r="A425" s="134">
        <v>42908</v>
      </c>
      <c r="B425" s="60"/>
      <c r="C425" s="60"/>
      <c r="D425" s="62" t="s">
        <v>86</v>
      </c>
      <c r="E425" s="62">
        <v>6</v>
      </c>
      <c r="F425" s="89">
        <v>224</v>
      </c>
      <c r="G425" s="89">
        <v>1</v>
      </c>
      <c r="H425" s="62">
        <v>500</v>
      </c>
      <c r="I425" s="62">
        <v>1</v>
      </c>
      <c r="J425" s="62">
        <v>26</v>
      </c>
      <c r="K425" s="62">
        <v>1</v>
      </c>
      <c r="L425" s="62">
        <v>24</v>
      </c>
      <c r="M425" s="62">
        <v>4</v>
      </c>
      <c r="N425" s="62">
        <v>41</v>
      </c>
      <c r="P425" s="120">
        <f t="shared" si="36"/>
        <v>1000</v>
      </c>
      <c r="Q425" s="120">
        <f t="shared" si="34"/>
        <v>15166.666666666666</v>
      </c>
      <c r="R425" s="106">
        <f t="shared" si="35"/>
        <v>6.1855670103092786E-2</v>
      </c>
      <c r="S425" s="183" t="str">
        <f>D425</f>
        <v>SN-10 Ambient</v>
      </c>
      <c r="T425" s="65"/>
      <c r="U425" s="65"/>
      <c r="V425" s="65"/>
      <c r="Y425" s="89" t="str">
        <f>D425</f>
        <v>SN-10 Ambient</v>
      </c>
      <c r="Z425" s="351">
        <f>(SUMIFS($P$317:$P$380, $D$317:$D$380, Y425, $F$317:$F$380, "&lt;200"))+(SUMIFS($Q$317:$Q$380, $D$317:$D$380, Y425, $F$317:$F$380, "&lt;200"))</f>
        <v>98259.999999999985</v>
      </c>
      <c r="AA425" s="120">
        <f>SUM(P425:Q428)</f>
        <v>87458.333333333328</v>
      </c>
      <c r="AB425" s="120">
        <f>SUMIFS(Collection!O:O, Collection!B:B, "*" &amp; 'Bucket Counts'!Y425 &amp; "*", Collection!A:A, "&lt;" &amp; 'Bucket Counts'!A425,Collection!A:A,  "&gt;=" &amp; 'Bucket Counts'!$A$317)</f>
        <v>0</v>
      </c>
      <c r="AC425" s="106">
        <f>AA425/(Z425+AB425)</f>
        <v>0.89007056109641092</v>
      </c>
    </row>
    <row r="426" spans="1:29" s="62" customFormat="1">
      <c r="A426" s="134">
        <v>42908</v>
      </c>
      <c r="B426" s="60"/>
      <c r="C426" s="60"/>
      <c r="D426" s="62" t="s">
        <v>86</v>
      </c>
      <c r="E426" s="62">
        <v>6</v>
      </c>
      <c r="F426" s="89">
        <v>180</v>
      </c>
      <c r="G426" s="89">
        <v>1</v>
      </c>
      <c r="H426" s="62">
        <v>500</v>
      </c>
      <c r="I426" s="62">
        <v>4</v>
      </c>
      <c r="J426" s="62">
        <v>60</v>
      </c>
      <c r="K426" s="62">
        <v>4</v>
      </c>
      <c r="L426" s="62">
        <v>54</v>
      </c>
      <c r="M426" s="62">
        <v>4</v>
      </c>
      <c r="N426" s="62">
        <v>48</v>
      </c>
      <c r="P426" s="120">
        <f t="shared" si="36"/>
        <v>2000</v>
      </c>
      <c r="Q426" s="120">
        <f t="shared" si="34"/>
        <v>27000</v>
      </c>
      <c r="R426" s="106">
        <f t="shared" si="35"/>
        <v>6.8965517241379309E-2</v>
      </c>
      <c r="S426" s="181">
        <f>(SUM(P425:P428)/(SUM(P425:Q428)))</f>
        <v>0.30404954740352547</v>
      </c>
      <c r="T426" s="65"/>
      <c r="U426" s="65"/>
      <c r="V426" s="65"/>
      <c r="Y426" s="89"/>
      <c r="Z426" s="357"/>
      <c r="AA426" s="120"/>
      <c r="AB426" s="120"/>
    </row>
    <row r="427" spans="1:29" s="62" customFormat="1">
      <c r="A427" s="134">
        <v>42908</v>
      </c>
      <c r="B427" s="60"/>
      <c r="C427" s="60"/>
      <c r="D427" s="62" t="s">
        <v>86</v>
      </c>
      <c r="E427" s="62">
        <v>6</v>
      </c>
      <c r="F427" s="89">
        <v>100</v>
      </c>
      <c r="G427" s="89">
        <v>1</v>
      </c>
      <c r="H427" s="62">
        <v>475</v>
      </c>
      <c r="I427" s="62">
        <v>51</v>
      </c>
      <c r="J427" s="62">
        <v>32</v>
      </c>
      <c r="K427" s="62">
        <v>56</v>
      </c>
      <c r="L427" s="62">
        <v>31</v>
      </c>
      <c r="M427" s="62">
        <v>42</v>
      </c>
      <c r="N427" s="62">
        <v>33</v>
      </c>
      <c r="P427" s="120">
        <f t="shared" si="36"/>
        <v>23591.666666666664</v>
      </c>
      <c r="Q427" s="120">
        <f t="shared" si="34"/>
        <v>15200</v>
      </c>
      <c r="R427" s="106">
        <f t="shared" si="35"/>
        <v>0.60816326530612241</v>
      </c>
      <c r="S427" s="182"/>
      <c r="T427" s="65"/>
      <c r="U427" s="65"/>
      <c r="V427" s="65"/>
      <c r="Y427" s="89"/>
      <c r="Z427" s="357"/>
      <c r="AA427" s="120"/>
      <c r="AB427" s="120"/>
    </row>
    <row r="428" spans="1:29" s="62" customFormat="1">
      <c r="A428" s="134">
        <v>42908</v>
      </c>
      <c r="B428" s="60"/>
      <c r="C428" s="60"/>
      <c r="D428" s="62" t="s">
        <v>86</v>
      </c>
      <c r="E428" s="62">
        <v>6</v>
      </c>
      <c r="F428" s="89" t="s">
        <v>203</v>
      </c>
      <c r="G428" s="89">
        <v>1</v>
      </c>
      <c r="H428" s="62">
        <v>300</v>
      </c>
      <c r="I428" s="62">
        <v>0</v>
      </c>
      <c r="J428" s="62">
        <v>9</v>
      </c>
      <c r="K428" s="62">
        <v>0</v>
      </c>
      <c r="L428" s="62">
        <v>12</v>
      </c>
      <c r="M428" s="62">
        <v>0</v>
      </c>
      <c r="N428" s="62">
        <v>14</v>
      </c>
      <c r="P428" s="120">
        <f t="shared" si="36"/>
        <v>0</v>
      </c>
      <c r="Q428" s="120">
        <f t="shared" si="34"/>
        <v>3500</v>
      </c>
      <c r="R428" s="106">
        <f t="shared" si="35"/>
        <v>0</v>
      </c>
      <c r="S428" s="182"/>
      <c r="T428" s="65"/>
      <c r="U428" s="65"/>
      <c r="V428" s="65"/>
      <c r="Y428" s="89"/>
      <c r="Z428" s="357"/>
      <c r="AA428" s="120"/>
      <c r="AB428" s="120"/>
    </row>
    <row r="429" spans="1:29" s="62" customFormat="1">
      <c r="A429" s="134">
        <v>42908</v>
      </c>
      <c r="B429" s="60"/>
      <c r="C429" s="60"/>
      <c r="D429" s="62" t="s">
        <v>74</v>
      </c>
      <c r="E429" s="62">
        <v>7</v>
      </c>
      <c r="F429" s="89">
        <v>224</v>
      </c>
      <c r="G429" s="89">
        <v>1</v>
      </c>
      <c r="H429" s="62">
        <v>300</v>
      </c>
      <c r="I429" s="62">
        <v>0</v>
      </c>
      <c r="J429" s="62">
        <v>6</v>
      </c>
      <c r="K429" s="62">
        <v>2</v>
      </c>
      <c r="L429" s="62">
        <v>9</v>
      </c>
      <c r="M429" s="62">
        <v>0</v>
      </c>
      <c r="N429" s="62">
        <v>4</v>
      </c>
      <c r="P429" s="120">
        <f t="shared" si="36"/>
        <v>200</v>
      </c>
      <c r="Q429" s="120">
        <f t="shared" si="34"/>
        <v>1900</v>
      </c>
      <c r="R429" s="106">
        <f t="shared" si="35"/>
        <v>9.5238095238095233E-2</v>
      </c>
      <c r="S429" s="183" t="str">
        <f>D429</f>
        <v>SN-10 Low</v>
      </c>
      <c r="T429" s="65"/>
      <c r="U429" s="65"/>
      <c r="V429" s="65"/>
      <c r="Y429" s="89" t="str">
        <f>D429</f>
        <v>SN-10 Low</v>
      </c>
      <c r="Z429" s="351">
        <f>(SUMIFS($P$317:$P$380, $D$317:$D$380, Y429, $F$317:$F$380, "&lt;200"))+(SUMIFS($Q$317:$Q$380, $D$317:$D$380, Y429, $F$317:$F$380, "&lt;200"))</f>
        <v>74333.333333333328</v>
      </c>
      <c r="AA429" s="120">
        <f>SUM(P429:Q432)</f>
        <v>82160</v>
      </c>
      <c r="AB429" s="120">
        <f>SUMIFS(Collection!O:O, Collection!B:B, "*" &amp; 'Bucket Counts'!Y429 &amp; "*", Collection!A:A, "&lt;" &amp; 'Bucket Counts'!A429,Collection!A:A,  "&gt;=" &amp; 'Bucket Counts'!$A$317)</f>
        <v>0</v>
      </c>
      <c r="AC429" s="106">
        <f>AA429/(Z429+AB429)</f>
        <v>1.1052914798206279</v>
      </c>
    </row>
    <row r="430" spans="1:29" s="62" customFormat="1">
      <c r="A430" s="134">
        <v>42908</v>
      </c>
      <c r="B430" s="60"/>
      <c r="C430" s="60"/>
      <c r="D430" s="62" t="s">
        <v>74</v>
      </c>
      <c r="E430" s="62">
        <v>7</v>
      </c>
      <c r="F430" s="89">
        <v>180</v>
      </c>
      <c r="G430" s="89">
        <v>1</v>
      </c>
      <c r="H430" s="62">
        <v>500</v>
      </c>
      <c r="I430" s="62">
        <v>1</v>
      </c>
      <c r="J430" s="62">
        <v>25</v>
      </c>
      <c r="K430" s="62">
        <v>2</v>
      </c>
      <c r="L430" s="62">
        <v>35</v>
      </c>
      <c r="M430" s="62">
        <v>1</v>
      </c>
      <c r="N430" s="62">
        <v>28</v>
      </c>
      <c r="P430" s="120">
        <f t="shared" si="36"/>
        <v>666.66666666666663</v>
      </c>
      <c r="Q430" s="120">
        <f t="shared" si="34"/>
        <v>14666.666666666666</v>
      </c>
      <c r="R430" s="106">
        <f t="shared" si="35"/>
        <v>4.3478260869565216E-2</v>
      </c>
      <c r="S430" s="181">
        <f>(SUM(P429:P432)/(SUM(P429:Q432)))</f>
        <v>0.64954560207724765</v>
      </c>
      <c r="T430" s="65"/>
      <c r="U430" s="65"/>
      <c r="V430" s="65"/>
      <c r="Y430" s="89"/>
      <c r="Z430" s="357"/>
      <c r="AA430" s="120"/>
      <c r="AB430" s="120"/>
    </row>
    <row r="431" spans="1:29" s="62" customFormat="1">
      <c r="A431" s="134">
        <v>42908</v>
      </c>
      <c r="B431" s="60"/>
      <c r="C431" s="60"/>
      <c r="D431" s="62" t="s">
        <v>74</v>
      </c>
      <c r="E431" s="62">
        <v>7</v>
      </c>
      <c r="F431" s="89">
        <v>100</v>
      </c>
      <c r="G431" s="89">
        <v>1</v>
      </c>
      <c r="H431" s="62">
        <v>490</v>
      </c>
      <c r="I431" s="62">
        <v>112</v>
      </c>
      <c r="J431" s="62">
        <v>1</v>
      </c>
      <c r="K431" s="62">
        <v>108</v>
      </c>
      <c r="L431" s="62">
        <v>10</v>
      </c>
      <c r="M431" s="62">
        <v>100</v>
      </c>
      <c r="N431" s="62">
        <v>6</v>
      </c>
      <c r="P431" s="120">
        <f t="shared" si="36"/>
        <v>52266.666666666672</v>
      </c>
      <c r="Q431" s="120">
        <f t="shared" si="34"/>
        <v>2776.666666666667</v>
      </c>
      <c r="R431" s="106">
        <f t="shared" si="35"/>
        <v>0.94955489614243327</v>
      </c>
      <c r="S431" s="182"/>
      <c r="T431" s="65"/>
      <c r="U431" s="65"/>
      <c r="V431" s="65"/>
      <c r="Y431" s="89"/>
      <c r="Z431" s="357"/>
      <c r="AA431" s="120"/>
      <c r="AB431" s="120"/>
    </row>
    <row r="432" spans="1:29" s="62" customFormat="1">
      <c r="A432" s="134">
        <v>42908</v>
      </c>
      <c r="B432" s="60"/>
      <c r="C432" s="60"/>
      <c r="D432" s="62" t="s">
        <v>74</v>
      </c>
      <c r="E432" s="62">
        <v>7</v>
      </c>
      <c r="F432" s="89" t="s">
        <v>203</v>
      </c>
      <c r="G432" s="89">
        <v>1</v>
      </c>
      <c r="H432" s="62">
        <v>350</v>
      </c>
      <c r="I432" s="62">
        <v>1</v>
      </c>
      <c r="J432" s="62">
        <v>33</v>
      </c>
      <c r="K432" s="62">
        <v>1</v>
      </c>
      <c r="L432" s="62">
        <v>20</v>
      </c>
      <c r="M432" s="62">
        <v>0</v>
      </c>
      <c r="N432" s="62">
        <v>28</v>
      </c>
      <c r="P432" s="120">
        <f t="shared" si="36"/>
        <v>233.33333333333331</v>
      </c>
      <c r="Q432" s="120">
        <f t="shared" si="34"/>
        <v>9450</v>
      </c>
      <c r="R432" s="106">
        <f t="shared" si="35"/>
        <v>2.4096385542168672E-2</v>
      </c>
      <c r="S432" s="182"/>
      <c r="T432" s="65"/>
      <c r="U432" s="65"/>
      <c r="V432" s="65"/>
      <c r="Y432" s="89"/>
      <c r="Z432" s="357"/>
      <c r="AA432" s="120"/>
      <c r="AB432" s="120"/>
    </row>
    <row r="433" spans="1:29" s="62" customFormat="1">
      <c r="A433" s="134">
        <v>42908</v>
      </c>
      <c r="B433" s="60"/>
      <c r="C433" s="60"/>
      <c r="D433" s="62" t="s">
        <v>119</v>
      </c>
      <c r="E433" s="62">
        <v>7</v>
      </c>
      <c r="F433" s="89">
        <v>224</v>
      </c>
      <c r="G433" s="89">
        <v>1</v>
      </c>
      <c r="H433" s="62">
        <v>225</v>
      </c>
      <c r="I433" s="62">
        <v>0</v>
      </c>
      <c r="J433" s="62">
        <v>0</v>
      </c>
      <c r="K433" s="62">
        <v>0</v>
      </c>
      <c r="L433" s="62">
        <v>0</v>
      </c>
      <c r="M433" s="62">
        <v>0</v>
      </c>
      <c r="N433" s="62">
        <v>0</v>
      </c>
      <c r="P433" s="120">
        <f t="shared" si="36"/>
        <v>0</v>
      </c>
      <c r="Q433" s="120">
        <f t="shared" si="34"/>
        <v>0</v>
      </c>
      <c r="R433" s="106" t="e">
        <f t="shared" si="35"/>
        <v>#DIV/0!</v>
      </c>
      <c r="S433" s="183" t="str">
        <f>D433</f>
        <v>HL-6 Ambient</v>
      </c>
      <c r="T433" s="65"/>
      <c r="U433" s="65"/>
      <c r="V433" s="65"/>
      <c r="Y433" s="89" t="str">
        <f>D433</f>
        <v>HL-6 Ambient</v>
      </c>
      <c r="Z433" s="351">
        <f>(SUMIFS($P$317:$P$380, $D$317:$D$380, Y433, $F$317:$F$380, "&lt;200"))+(SUMIFS($Q$317:$Q$380, $D$317:$D$380, Y433, $F$317:$F$380, "&lt;200"))</f>
        <v>37600.000000000007</v>
      </c>
      <c r="AA433" s="120">
        <f>SUM(P433:Q436)</f>
        <v>30825</v>
      </c>
      <c r="AB433" s="120">
        <f>SUMIFS(Collection!O:O, Collection!B:B, "*" &amp; 'Bucket Counts'!Y433 &amp; "*", Collection!A:A, "&lt;" &amp; 'Bucket Counts'!A433,Collection!A:A,  "&gt;=" &amp; 'Bucket Counts'!$A$317)</f>
        <v>0</v>
      </c>
      <c r="AC433" s="106">
        <f>AA433/(Z433+AB433)</f>
        <v>0.81981382978723394</v>
      </c>
    </row>
    <row r="434" spans="1:29" s="62" customFormat="1">
      <c r="A434" s="134">
        <v>42908</v>
      </c>
      <c r="B434" s="60"/>
      <c r="C434" s="60"/>
      <c r="D434" s="62" t="s">
        <v>119</v>
      </c>
      <c r="E434" s="62">
        <v>7</v>
      </c>
      <c r="F434" s="89">
        <v>180</v>
      </c>
      <c r="G434" s="89">
        <v>1</v>
      </c>
      <c r="H434" s="62">
        <v>250</v>
      </c>
      <c r="I434" s="62">
        <v>0</v>
      </c>
      <c r="J434" s="62">
        <v>0</v>
      </c>
      <c r="K434" s="62">
        <v>1</v>
      </c>
      <c r="L434" s="62">
        <v>0</v>
      </c>
      <c r="M434" s="62">
        <v>1</v>
      </c>
      <c r="N434" s="62">
        <v>0</v>
      </c>
      <c r="P434" s="120">
        <f t="shared" si="36"/>
        <v>166.66666666666666</v>
      </c>
      <c r="Q434" s="120">
        <f t="shared" si="34"/>
        <v>0</v>
      </c>
      <c r="R434" s="106">
        <f t="shared" si="35"/>
        <v>1</v>
      </c>
      <c r="S434" s="181">
        <f>(SUM(P433:P436)/(SUM(P433:Q436)))</f>
        <v>0.91419302514193024</v>
      </c>
      <c r="T434" s="65"/>
      <c r="U434" s="65"/>
      <c r="V434" s="65"/>
      <c r="Y434" s="89"/>
      <c r="Z434" s="357"/>
      <c r="AA434" s="120"/>
      <c r="AB434" s="120"/>
    </row>
    <row r="435" spans="1:29" s="62" customFormat="1">
      <c r="A435" s="134">
        <v>42908</v>
      </c>
      <c r="B435" s="60"/>
      <c r="C435" s="60"/>
      <c r="D435" s="62" t="s">
        <v>119</v>
      </c>
      <c r="E435" s="62">
        <v>7</v>
      </c>
      <c r="F435" s="89">
        <v>100</v>
      </c>
      <c r="G435" s="89">
        <v>1</v>
      </c>
      <c r="H435" s="62">
        <v>475</v>
      </c>
      <c r="I435" s="62">
        <v>61</v>
      </c>
      <c r="J435" s="62">
        <v>3</v>
      </c>
      <c r="K435" s="62">
        <v>56</v>
      </c>
      <c r="L435" s="62">
        <v>9</v>
      </c>
      <c r="M435" s="62">
        <v>59</v>
      </c>
      <c r="N435" s="62">
        <v>1</v>
      </c>
      <c r="P435" s="120">
        <f t="shared" si="36"/>
        <v>27866.666666666664</v>
      </c>
      <c r="Q435" s="120">
        <f t="shared" si="34"/>
        <v>2058.333333333333</v>
      </c>
      <c r="R435" s="106">
        <f t="shared" si="35"/>
        <v>0.93121693121693128</v>
      </c>
      <c r="S435" s="182"/>
      <c r="T435" s="65"/>
      <c r="U435" s="65"/>
      <c r="V435" s="65"/>
      <c r="Y435" s="89"/>
      <c r="Z435" s="357"/>
      <c r="AA435" s="120"/>
      <c r="AB435" s="120"/>
    </row>
    <row r="436" spans="1:29" s="62" customFormat="1">
      <c r="A436" s="134">
        <v>42908</v>
      </c>
      <c r="B436" s="60"/>
      <c r="C436" s="60"/>
      <c r="D436" s="62" t="s">
        <v>119</v>
      </c>
      <c r="E436" s="62">
        <v>7</v>
      </c>
      <c r="F436" s="89" t="s">
        <v>203</v>
      </c>
      <c r="G436" s="89">
        <v>1</v>
      </c>
      <c r="H436" s="62">
        <v>220</v>
      </c>
      <c r="I436" s="62">
        <v>1</v>
      </c>
      <c r="J436" s="62">
        <v>3</v>
      </c>
      <c r="K436" s="62">
        <v>1</v>
      </c>
      <c r="L436" s="62">
        <v>0</v>
      </c>
      <c r="M436" s="62">
        <v>0</v>
      </c>
      <c r="N436" s="62">
        <v>5</v>
      </c>
      <c r="P436" s="120">
        <f t="shared" si="36"/>
        <v>146.66666666666666</v>
      </c>
      <c r="Q436" s="120">
        <f t="shared" si="34"/>
        <v>586.66666666666663</v>
      </c>
      <c r="R436" s="106">
        <f t="shared" si="35"/>
        <v>0.2</v>
      </c>
      <c r="S436" s="182"/>
      <c r="T436" s="65"/>
      <c r="U436" s="65"/>
      <c r="V436" s="65"/>
      <c r="Y436" s="89"/>
      <c r="Z436" s="357"/>
      <c r="AA436" s="120"/>
      <c r="AB436" s="120"/>
    </row>
    <row r="437" spans="1:29" s="62" customFormat="1">
      <c r="A437" s="134">
        <v>42908</v>
      </c>
      <c r="B437" s="60"/>
      <c r="C437" s="60"/>
      <c r="D437" s="62" t="s">
        <v>21</v>
      </c>
      <c r="E437" s="62">
        <v>8</v>
      </c>
      <c r="F437" s="89">
        <v>224</v>
      </c>
      <c r="G437" s="89">
        <v>1</v>
      </c>
      <c r="H437" s="62">
        <v>220</v>
      </c>
      <c r="I437" s="62">
        <v>0</v>
      </c>
      <c r="J437" s="62">
        <v>0</v>
      </c>
      <c r="K437" s="62">
        <v>0</v>
      </c>
      <c r="L437" s="62">
        <v>0</v>
      </c>
      <c r="M437" s="62">
        <v>0</v>
      </c>
      <c r="N437" s="62">
        <v>0</v>
      </c>
      <c r="P437" s="120">
        <f t="shared" si="36"/>
        <v>0</v>
      </c>
      <c r="Q437" s="120">
        <f t="shared" si="34"/>
        <v>0</v>
      </c>
      <c r="R437" s="106" t="e">
        <f t="shared" si="35"/>
        <v>#DIV/0!</v>
      </c>
      <c r="S437" s="183" t="str">
        <f>D437</f>
        <v>HL-6 Low</v>
      </c>
      <c r="T437" s="65"/>
      <c r="U437" s="65"/>
      <c r="V437" s="65"/>
      <c r="Y437" s="89" t="str">
        <f>D437</f>
        <v>HL-6 Low</v>
      </c>
      <c r="Z437" s="351">
        <f>(SUMIFS($P$317:$P$380, $D$317:$D$380, Y437, $F$317:$F$380, "&lt;200"))+(SUMIFS($Q$317:$Q$380, $D$317:$D$380, Y437, $F$317:$F$380, "&lt;200"))</f>
        <v>77333.333333333343</v>
      </c>
      <c r="AA437" s="120">
        <f>SUM(P437:Q440)</f>
        <v>104533.33333333333</v>
      </c>
      <c r="AB437" s="120">
        <f>SUMIFS(Collection!O:O, Collection!B:B, "*" &amp; 'Bucket Counts'!Y437 &amp; "*", Collection!A:A, "&lt;" &amp; 'Bucket Counts'!A437,Collection!A:A,  "&gt;=" &amp; 'Bucket Counts'!$A$317)</f>
        <v>50000</v>
      </c>
      <c r="AC437" s="106">
        <f>AA437/(Z437+AB437)</f>
        <v>0.8209424083769632</v>
      </c>
    </row>
    <row r="438" spans="1:29" s="62" customFormat="1">
      <c r="A438" s="134">
        <v>42908</v>
      </c>
      <c r="B438" s="60"/>
      <c r="C438" s="60"/>
      <c r="D438" s="62" t="s">
        <v>21</v>
      </c>
      <c r="E438" s="62">
        <v>8</v>
      </c>
      <c r="F438" s="89">
        <v>180</v>
      </c>
      <c r="G438" s="89">
        <v>1</v>
      </c>
      <c r="H438" s="62">
        <v>300</v>
      </c>
      <c r="I438" s="62">
        <v>3</v>
      </c>
      <c r="J438" s="62">
        <v>0</v>
      </c>
      <c r="K438" s="62">
        <v>1</v>
      </c>
      <c r="L438" s="62">
        <v>0</v>
      </c>
      <c r="M438" s="62">
        <v>5</v>
      </c>
      <c r="N438" s="62">
        <v>0</v>
      </c>
      <c r="P438" s="120">
        <f t="shared" si="36"/>
        <v>900</v>
      </c>
      <c r="Q438" s="120">
        <f t="shared" si="34"/>
        <v>0</v>
      </c>
      <c r="R438" s="106">
        <f t="shared" si="35"/>
        <v>1</v>
      </c>
      <c r="S438" s="181">
        <f>(SUM(P437:P440)/(SUM(P437:Q440)))</f>
        <v>0.84783163265306127</v>
      </c>
      <c r="T438" s="65"/>
      <c r="Y438" s="89"/>
      <c r="Z438" s="357"/>
      <c r="AA438" s="120"/>
      <c r="AB438" s="120"/>
    </row>
    <row r="439" spans="1:29" s="62" customFormat="1">
      <c r="A439" s="134">
        <v>42908</v>
      </c>
      <c r="B439" s="60"/>
      <c r="C439" s="60"/>
      <c r="D439" s="62" t="s">
        <v>21</v>
      </c>
      <c r="E439" s="62">
        <v>8</v>
      </c>
      <c r="F439" s="89">
        <v>100</v>
      </c>
      <c r="G439" s="89">
        <v>1</v>
      </c>
      <c r="H439" s="62">
        <v>520</v>
      </c>
      <c r="I439" s="62">
        <v>176</v>
      </c>
      <c r="J439" s="62">
        <v>5</v>
      </c>
      <c r="K439" s="62">
        <v>168</v>
      </c>
      <c r="L439" s="62">
        <v>1</v>
      </c>
      <c r="M439" s="62">
        <v>161</v>
      </c>
      <c r="N439" s="62">
        <v>1</v>
      </c>
      <c r="P439" s="120">
        <f t="shared" si="36"/>
        <v>87533.333333333343</v>
      </c>
      <c r="Q439" s="120">
        <f t="shared" si="34"/>
        <v>1213.3333333333335</v>
      </c>
      <c r="R439" s="106">
        <f t="shared" si="35"/>
        <v>0.986328125</v>
      </c>
      <c r="S439" s="182"/>
      <c r="T439" s="65"/>
      <c r="Y439" s="89"/>
      <c r="Z439" s="357"/>
      <c r="AA439" s="120"/>
      <c r="AB439" s="120"/>
    </row>
    <row r="440" spans="1:29" s="62" customFormat="1">
      <c r="A440" s="134">
        <v>42908</v>
      </c>
      <c r="B440" s="60"/>
      <c r="C440" s="60"/>
      <c r="D440" s="62" t="s">
        <v>21</v>
      </c>
      <c r="E440" s="62">
        <v>8</v>
      </c>
      <c r="F440" s="89" t="s">
        <v>203</v>
      </c>
      <c r="G440" s="89">
        <v>1</v>
      </c>
      <c r="H440" s="62">
        <v>290</v>
      </c>
      <c r="I440" s="62">
        <v>0</v>
      </c>
      <c r="J440" s="62">
        <v>58</v>
      </c>
      <c r="K440" s="62">
        <v>0</v>
      </c>
      <c r="L440" s="62">
        <v>51</v>
      </c>
      <c r="M440" s="62">
        <v>2</v>
      </c>
      <c r="N440" s="62">
        <v>43</v>
      </c>
      <c r="P440" s="120">
        <f>(AVERAGE(I440,K440,M440)/G440)*H440</f>
        <v>193.33333333333331</v>
      </c>
      <c r="Q440" s="120">
        <f t="shared" si="34"/>
        <v>14693.333333333332</v>
      </c>
      <c r="R440" s="106">
        <f t="shared" si="35"/>
        <v>1.2987012987012986E-2</v>
      </c>
      <c r="S440" s="182"/>
      <c r="T440" s="65"/>
      <c r="Y440" s="89"/>
      <c r="Z440" s="357"/>
      <c r="AA440" s="120"/>
      <c r="AB440" s="120"/>
    </row>
    <row r="441" spans="1:29" s="62" customFormat="1">
      <c r="A441" s="134">
        <v>42908</v>
      </c>
      <c r="B441" s="60"/>
      <c r="C441" s="60"/>
      <c r="D441" s="61" t="s">
        <v>83</v>
      </c>
      <c r="E441" s="62">
        <v>8</v>
      </c>
      <c r="F441" s="89">
        <v>224</v>
      </c>
      <c r="G441" s="89">
        <v>1</v>
      </c>
      <c r="H441" s="62">
        <v>325</v>
      </c>
      <c r="I441" s="62">
        <v>1</v>
      </c>
      <c r="J441" s="62">
        <v>15</v>
      </c>
      <c r="K441" s="62">
        <v>0</v>
      </c>
      <c r="L441" s="62">
        <v>12</v>
      </c>
      <c r="M441" s="62">
        <v>1</v>
      </c>
      <c r="N441" s="62">
        <v>15</v>
      </c>
      <c r="P441" s="120">
        <f>(AVERAGE(I441,K441,M441)/G441)*H441</f>
        <v>216.66666666666666</v>
      </c>
      <c r="Q441" s="120">
        <f t="shared" si="34"/>
        <v>4550</v>
      </c>
      <c r="R441" s="106">
        <f t="shared" si="35"/>
        <v>4.5454545454545449E-2</v>
      </c>
      <c r="S441" s="183" t="str">
        <f>D441</f>
        <v>NF-10 Low</v>
      </c>
      <c r="T441" s="65"/>
      <c r="Y441" s="89" t="str">
        <f>D441</f>
        <v>NF-10 Low</v>
      </c>
      <c r="Z441" s="351">
        <f>(SUMIFS($P$317:$P$380, $D$317:$D$380, Y441, $F$317:$F$380, "&lt;200"))+(SUMIFS($Q$317:$Q$380, $D$317:$D$380, Y441, $F$317:$F$380, "&lt;200"))</f>
        <v>28440</v>
      </c>
      <c r="AA441" s="120">
        <f>SUM(P441:Q444)</f>
        <v>28950.000000000004</v>
      </c>
      <c r="AB441" s="120">
        <f>SUMIFS(Collection!O:O, Collection!B:B, "*" &amp; 'Bucket Counts'!Y441 &amp; "*", Collection!A:A, "&lt;" &amp; 'Bucket Counts'!A441,Collection!A:A,  "&gt;=" &amp; 'Bucket Counts'!$A$317)</f>
        <v>0</v>
      </c>
      <c r="AC441" s="106">
        <f>AA441/(Z441+AB441)</f>
        <v>1.017932489451477</v>
      </c>
    </row>
    <row r="442" spans="1:29" s="62" customFormat="1">
      <c r="A442" s="134">
        <v>42908</v>
      </c>
      <c r="B442" s="60"/>
      <c r="C442" s="60"/>
      <c r="D442" s="61" t="s">
        <v>83</v>
      </c>
      <c r="E442" s="62">
        <v>8</v>
      </c>
      <c r="F442" s="89">
        <v>180</v>
      </c>
      <c r="G442" s="89">
        <v>1</v>
      </c>
      <c r="H442" s="62">
        <v>500</v>
      </c>
      <c r="I442" s="62">
        <v>0</v>
      </c>
      <c r="J442" s="62">
        <v>55</v>
      </c>
      <c r="K442" s="62">
        <v>0</v>
      </c>
      <c r="L442" s="62">
        <v>45</v>
      </c>
      <c r="M442" s="62">
        <v>1</v>
      </c>
      <c r="N442" s="62">
        <v>35</v>
      </c>
      <c r="P442" s="120">
        <f>(AVERAGE(I442,K442,M442)/G442)*H442</f>
        <v>166.66666666666666</v>
      </c>
      <c r="Q442" s="120">
        <f t="shared" si="34"/>
        <v>22500</v>
      </c>
      <c r="R442" s="106">
        <f t="shared" si="35"/>
        <v>7.3529411764705873E-3</v>
      </c>
      <c r="S442" s="181">
        <f>(SUM(P441:P444)/(SUM(P441:Q444)))</f>
        <v>1.3241220495106502E-2</v>
      </c>
      <c r="T442" s="65"/>
      <c r="Y442" s="89"/>
      <c r="Z442" s="357"/>
      <c r="AA442" s="120"/>
      <c r="AB442" s="120"/>
    </row>
    <row r="443" spans="1:29" s="62" customFormat="1">
      <c r="A443" s="134">
        <v>42908</v>
      </c>
      <c r="B443" s="60"/>
      <c r="C443" s="60"/>
      <c r="D443" s="61" t="s">
        <v>83</v>
      </c>
      <c r="E443" s="62">
        <v>8</v>
      </c>
      <c r="F443" s="89">
        <v>100</v>
      </c>
      <c r="G443" s="89">
        <v>1</v>
      </c>
      <c r="H443" s="62">
        <v>300</v>
      </c>
      <c r="I443" s="62">
        <v>0</v>
      </c>
      <c r="J443" s="62">
        <v>2</v>
      </c>
      <c r="K443" s="62">
        <v>0</v>
      </c>
      <c r="L443" s="62">
        <v>1</v>
      </c>
      <c r="M443" s="62">
        <v>0</v>
      </c>
      <c r="N443" s="62">
        <v>3</v>
      </c>
      <c r="P443" s="120">
        <f t="shared" si="36"/>
        <v>0</v>
      </c>
      <c r="Q443" s="120">
        <f t="shared" si="34"/>
        <v>600</v>
      </c>
      <c r="R443" s="106">
        <f t="shared" si="35"/>
        <v>0</v>
      </c>
      <c r="S443" s="182"/>
      <c r="T443" s="65"/>
      <c r="Y443" s="89"/>
      <c r="Z443" s="357"/>
      <c r="AA443" s="120"/>
      <c r="AB443" s="120"/>
    </row>
    <row r="444" spans="1:29" s="69" customFormat="1" ht="16" thickBot="1">
      <c r="A444" s="247">
        <v>42908</v>
      </c>
      <c r="B444" s="67"/>
      <c r="C444" s="67"/>
      <c r="D444" s="61" t="s">
        <v>83</v>
      </c>
      <c r="E444" s="69">
        <v>8</v>
      </c>
      <c r="F444" s="148" t="s">
        <v>203</v>
      </c>
      <c r="G444" s="148">
        <v>1</v>
      </c>
      <c r="H444" s="69">
        <v>250</v>
      </c>
      <c r="I444" s="69">
        <v>0</v>
      </c>
      <c r="J444" s="69">
        <v>4</v>
      </c>
      <c r="K444" s="69">
        <v>0</v>
      </c>
      <c r="L444" s="69">
        <v>0</v>
      </c>
      <c r="M444" s="69">
        <v>0</v>
      </c>
      <c r="N444" s="69">
        <v>7</v>
      </c>
      <c r="P444" s="149">
        <f t="shared" si="36"/>
        <v>0</v>
      </c>
      <c r="Q444" s="149">
        <f t="shared" si="34"/>
        <v>916.66666666666663</v>
      </c>
      <c r="R444" s="165">
        <f t="shared" si="35"/>
        <v>0</v>
      </c>
      <c r="S444" s="196"/>
      <c r="Y444" s="148"/>
      <c r="Z444" s="365"/>
      <c r="AA444" s="149"/>
      <c r="AB444" s="149"/>
    </row>
    <row r="445" spans="1:29" s="146" customFormat="1">
      <c r="A445" s="190">
        <v>42912</v>
      </c>
      <c r="B445" s="191"/>
      <c r="C445" s="191"/>
      <c r="D445" s="147" t="s">
        <v>86</v>
      </c>
      <c r="E445" s="146">
        <v>1</v>
      </c>
      <c r="F445" s="192">
        <v>224</v>
      </c>
      <c r="G445" s="192">
        <v>2</v>
      </c>
      <c r="H445" s="146">
        <v>700</v>
      </c>
      <c r="I445" s="146">
        <v>0</v>
      </c>
      <c r="J445" s="146">
        <v>1</v>
      </c>
      <c r="K445" s="146">
        <v>0</v>
      </c>
      <c r="L445" s="146">
        <v>0</v>
      </c>
      <c r="M445" s="146">
        <v>0</v>
      </c>
      <c r="N445" s="146">
        <v>0</v>
      </c>
      <c r="P445" s="193">
        <f>(AVERAGE(I445,K445,M445)/G445)*H445</f>
        <v>0</v>
      </c>
      <c r="Q445" s="193">
        <f t="shared" si="34"/>
        <v>116.66666666666666</v>
      </c>
      <c r="R445" s="194">
        <f t="shared" si="35"/>
        <v>0</v>
      </c>
      <c r="S445" s="186" t="str">
        <f>D445</f>
        <v>SN-10 Ambient</v>
      </c>
      <c r="T445" s="195"/>
      <c r="U445" s="195"/>
      <c r="V445" s="195"/>
      <c r="Y445" s="87" t="str">
        <f>D445</f>
        <v>SN-10 Ambient</v>
      </c>
      <c r="Z445" s="352">
        <f>SUMIFS($P$381:$P$444, $D$381:$D$444, Y445, $F$381:$F$444, "&lt;200") + SUMIFS($Q$381:$Q$444, $D$381:$D$444, Y445, $F$381:$F$444, "&lt;200")</f>
        <v>67791.666666666657</v>
      </c>
      <c r="AA445" s="124">
        <f>SUM(P445:Q448)</f>
        <v>66416.666666666672</v>
      </c>
      <c r="AB445" s="124">
        <f>SUMIFS(Collection!O:O, Collection!B:B, "*" &amp; 'Bucket Counts'!Y445 &amp; "*", Collection!A:A, "&lt;" &amp; 'Bucket Counts'!A445,Collection!A:A,  "&gt;=" &amp; 'Bucket Counts'!$A$381)</f>
        <v>0</v>
      </c>
      <c r="AC445" s="161">
        <f>AA445/(Z445+AB445)</f>
        <v>0.97971727105101436</v>
      </c>
    </row>
    <row r="446" spans="1:29" s="80" customFormat="1">
      <c r="A446" s="190">
        <v>42912</v>
      </c>
      <c r="B446" s="78"/>
      <c r="C446" s="78"/>
      <c r="D446" s="147" t="s">
        <v>86</v>
      </c>
      <c r="E446" s="146">
        <v>1</v>
      </c>
      <c r="F446" s="87">
        <v>180</v>
      </c>
      <c r="G446" s="87">
        <v>2</v>
      </c>
      <c r="H446" s="80">
        <v>300</v>
      </c>
      <c r="I446" s="80">
        <v>1</v>
      </c>
      <c r="J446" s="80">
        <v>0</v>
      </c>
      <c r="K446" s="80">
        <v>0</v>
      </c>
      <c r="L446" s="80">
        <v>1</v>
      </c>
      <c r="M446" s="87">
        <v>0</v>
      </c>
      <c r="N446" s="80">
        <v>3</v>
      </c>
      <c r="P446" s="124">
        <f t="shared" ref="P446:P455" si="37">(AVERAGE(I446,K446,M446)/G446)*H446</f>
        <v>50</v>
      </c>
      <c r="Q446" s="124">
        <f t="shared" si="34"/>
        <v>200</v>
      </c>
      <c r="R446" s="161">
        <f t="shared" si="35"/>
        <v>0.2</v>
      </c>
      <c r="S446" s="187">
        <f>(SUM(P445:P448)/(SUM(P445:Q448)))</f>
        <v>6.7754077791718943E-3</v>
      </c>
      <c r="T446" s="81"/>
      <c r="U446" s="81"/>
      <c r="V446" s="81"/>
      <c r="Y446" s="87"/>
      <c r="Z446" s="361"/>
      <c r="AA446" s="124"/>
      <c r="AB446" s="124"/>
    </row>
    <row r="447" spans="1:29" s="80" customFormat="1">
      <c r="A447" s="190">
        <v>42912</v>
      </c>
      <c r="B447" s="78"/>
      <c r="C447" s="78"/>
      <c r="D447" s="147" t="s">
        <v>86</v>
      </c>
      <c r="E447" s="146">
        <v>1</v>
      </c>
      <c r="F447" s="87">
        <v>100</v>
      </c>
      <c r="G447" s="87">
        <v>2</v>
      </c>
      <c r="H447" s="80">
        <v>300</v>
      </c>
      <c r="I447" s="80">
        <v>3</v>
      </c>
      <c r="J447" s="80">
        <v>2</v>
      </c>
      <c r="K447" s="80">
        <v>4</v>
      </c>
      <c r="L447" s="80">
        <v>3</v>
      </c>
      <c r="M447" s="80">
        <v>1</v>
      </c>
      <c r="N447" s="80">
        <v>2</v>
      </c>
      <c r="P447" s="124">
        <f t="shared" si="37"/>
        <v>400</v>
      </c>
      <c r="Q447" s="124">
        <f t="shared" si="34"/>
        <v>350</v>
      </c>
      <c r="R447" s="161">
        <f t="shared" si="35"/>
        <v>0.53333333333333333</v>
      </c>
      <c r="S447" s="185"/>
      <c r="T447" s="81"/>
      <c r="U447" s="81"/>
      <c r="V447" s="81"/>
      <c r="Y447" s="87"/>
      <c r="Z447" s="361"/>
      <c r="AA447" s="124"/>
      <c r="AB447" s="124"/>
    </row>
    <row r="448" spans="1:29" s="80" customFormat="1">
      <c r="A448" s="190">
        <v>42912</v>
      </c>
      <c r="B448" s="78"/>
      <c r="C448" s="78"/>
      <c r="D448" s="147" t="s">
        <v>86</v>
      </c>
      <c r="E448" s="146">
        <v>1</v>
      </c>
      <c r="F448" s="87" t="s">
        <v>203</v>
      </c>
      <c r="G448" s="87">
        <v>1</v>
      </c>
      <c r="H448" s="80">
        <v>300</v>
      </c>
      <c r="I448" s="80">
        <v>0</v>
      </c>
      <c r="J448" s="80">
        <v>257</v>
      </c>
      <c r="K448" s="80">
        <v>0</v>
      </c>
      <c r="L448" s="80">
        <v>202</v>
      </c>
      <c r="M448" s="80">
        <v>0</v>
      </c>
      <c r="N448" s="80">
        <v>194</v>
      </c>
      <c r="P448" s="124">
        <f t="shared" ref="P448" si="38">(AVERAGE(I448,K448,M448)/G448)*H448</f>
        <v>0</v>
      </c>
      <c r="Q448" s="124">
        <f t="shared" ref="Q448" si="39">(AVERAGE(J448,L448,N448)/G448)*H448</f>
        <v>65300</v>
      </c>
      <c r="R448" s="161">
        <f t="shared" si="35"/>
        <v>0</v>
      </c>
      <c r="S448" s="188"/>
      <c r="T448" s="81"/>
      <c r="U448" s="81"/>
      <c r="V448" s="81"/>
      <c r="Y448" s="87"/>
      <c r="Z448" s="361"/>
      <c r="AA448" s="124"/>
      <c r="AB448" s="124"/>
    </row>
    <row r="449" spans="1:29" s="80" customFormat="1">
      <c r="A449" s="190">
        <v>42912</v>
      </c>
      <c r="B449" s="78"/>
      <c r="C449" s="78"/>
      <c r="D449" s="80" t="s">
        <v>77</v>
      </c>
      <c r="E449" s="146">
        <v>1</v>
      </c>
      <c r="F449" s="87">
        <v>224</v>
      </c>
      <c r="G449" s="87">
        <v>2</v>
      </c>
      <c r="H449" s="80">
        <v>300</v>
      </c>
      <c r="I449" s="80">
        <v>0</v>
      </c>
      <c r="J449" s="80">
        <v>0</v>
      </c>
      <c r="K449" s="80">
        <v>1</v>
      </c>
      <c r="L449" s="80">
        <v>0</v>
      </c>
      <c r="M449" s="80">
        <v>2</v>
      </c>
      <c r="N449" s="80">
        <v>0</v>
      </c>
      <c r="P449" s="124">
        <f t="shared" si="37"/>
        <v>150</v>
      </c>
      <c r="Q449" s="124">
        <f t="shared" si="34"/>
        <v>0</v>
      </c>
      <c r="R449" s="161">
        <f t="shared" si="35"/>
        <v>1</v>
      </c>
      <c r="S449" s="189" t="str">
        <f>D449</f>
        <v>SN-6 Low</v>
      </c>
      <c r="T449" s="81"/>
      <c r="U449" s="81"/>
      <c r="V449" s="81"/>
      <c r="W449" s="80" t="s">
        <v>253</v>
      </c>
      <c r="Y449" s="87" t="str">
        <f>D449</f>
        <v>SN-6 Low</v>
      </c>
      <c r="Z449" s="352">
        <f>SUMIFS($P$381:$P$444, $D$381:$D$444, Y449, $F$381:$F$444, "&lt;200") + SUMIFS($Q$381:$Q$444, $D$381:$D$444, Y449, $F$381:$F$444, "&lt;200")</f>
        <v>57300</v>
      </c>
      <c r="AA449" s="124">
        <f>SUM(P449:Q452)</f>
        <v>49210</v>
      </c>
      <c r="AB449" s="124">
        <f>SUMIFS(Collection!O:O, Collection!B:B, "*" &amp; 'Bucket Counts'!Y449 &amp; "*", Collection!A:A, "&lt;" &amp; 'Bucket Counts'!A449,Collection!A:A,  "&gt;=" &amp; 'Bucket Counts'!$A$381)</f>
        <v>0</v>
      </c>
      <c r="AC449" s="161">
        <f>AA449/(Z449+AB449)</f>
        <v>0.8588132635253054</v>
      </c>
    </row>
    <row r="450" spans="1:29" s="80" customFormat="1">
      <c r="A450" s="190">
        <v>42912</v>
      </c>
      <c r="B450" s="78"/>
      <c r="C450" s="78"/>
      <c r="D450" s="80" t="s">
        <v>77</v>
      </c>
      <c r="E450" s="146">
        <v>1</v>
      </c>
      <c r="F450" s="87">
        <v>180</v>
      </c>
      <c r="G450" s="87">
        <v>2</v>
      </c>
      <c r="H450" s="80">
        <v>300</v>
      </c>
      <c r="I450" s="80">
        <v>11</v>
      </c>
      <c r="J450" s="80">
        <v>0</v>
      </c>
      <c r="K450" s="80">
        <v>11</v>
      </c>
      <c r="L450" s="80">
        <v>0</v>
      </c>
      <c r="M450" s="80">
        <v>9</v>
      </c>
      <c r="N450" s="80">
        <v>0</v>
      </c>
      <c r="P450" s="124">
        <f t="shared" si="37"/>
        <v>1550</v>
      </c>
      <c r="Q450" s="124">
        <f t="shared" si="34"/>
        <v>0</v>
      </c>
      <c r="R450" s="161">
        <f t="shared" si="35"/>
        <v>1</v>
      </c>
      <c r="S450" s="187">
        <f>(SUM(P449:P452)/(SUM(P449:Q452)))</f>
        <v>0.1261938630359683</v>
      </c>
      <c r="T450" s="81"/>
      <c r="U450" s="81"/>
      <c r="V450" s="81"/>
      <c r="Y450" s="87"/>
      <c r="Z450" s="361"/>
      <c r="AA450" s="124"/>
      <c r="AB450" s="124"/>
    </row>
    <row r="451" spans="1:29" s="80" customFormat="1">
      <c r="A451" s="190">
        <v>42912</v>
      </c>
      <c r="B451" s="78"/>
      <c r="C451" s="78"/>
      <c r="D451" s="80" t="s">
        <v>77</v>
      </c>
      <c r="E451" s="146">
        <v>1</v>
      </c>
      <c r="F451" s="87">
        <v>100</v>
      </c>
      <c r="G451" s="87">
        <v>2</v>
      </c>
      <c r="H451" s="80">
        <v>330</v>
      </c>
      <c r="I451" s="80">
        <v>40</v>
      </c>
      <c r="J451" s="80">
        <v>0</v>
      </c>
      <c r="K451" s="80">
        <v>19</v>
      </c>
      <c r="L451" s="80">
        <v>0</v>
      </c>
      <c r="M451" s="80">
        <v>23</v>
      </c>
      <c r="N451" s="80">
        <v>0</v>
      </c>
      <c r="P451" s="124">
        <f t="shared" si="37"/>
        <v>4510</v>
      </c>
      <c r="Q451" s="124">
        <f t="shared" si="34"/>
        <v>0</v>
      </c>
      <c r="R451" s="161">
        <f t="shared" si="35"/>
        <v>1</v>
      </c>
      <c r="S451" s="188"/>
      <c r="T451" s="81"/>
      <c r="U451" s="81"/>
      <c r="V451" s="81"/>
      <c r="Y451" s="87"/>
      <c r="Z451" s="361"/>
      <c r="AA451" s="124"/>
      <c r="AB451" s="124"/>
    </row>
    <row r="452" spans="1:29" s="80" customFormat="1">
      <c r="A452" s="190">
        <v>42912</v>
      </c>
      <c r="B452" s="78"/>
      <c r="C452" s="78"/>
      <c r="D452" s="80" t="s">
        <v>77</v>
      </c>
      <c r="E452" s="146">
        <v>1</v>
      </c>
      <c r="F452" s="87" t="s">
        <v>203</v>
      </c>
      <c r="G452" s="87">
        <v>1</v>
      </c>
      <c r="H452" s="80">
        <v>500</v>
      </c>
      <c r="I452" s="80">
        <v>0</v>
      </c>
      <c r="J452" s="80">
        <v>93</v>
      </c>
      <c r="K452" s="80">
        <v>0</v>
      </c>
      <c r="L452" s="80">
        <v>67</v>
      </c>
      <c r="M452" s="80">
        <v>0</v>
      </c>
      <c r="N452" s="80">
        <v>98</v>
      </c>
      <c r="P452" s="124">
        <f t="shared" si="37"/>
        <v>0</v>
      </c>
      <c r="Q452" s="124">
        <f t="shared" si="34"/>
        <v>43000</v>
      </c>
      <c r="R452" s="161">
        <f t="shared" si="35"/>
        <v>0</v>
      </c>
      <c r="S452" s="188"/>
      <c r="T452" s="81"/>
      <c r="U452" s="81"/>
      <c r="V452" s="81"/>
      <c r="Y452" s="87"/>
      <c r="Z452" s="361"/>
      <c r="AA452" s="124"/>
      <c r="AB452" s="124"/>
    </row>
    <row r="453" spans="1:29" s="80" customFormat="1">
      <c r="A453" s="190">
        <v>42912</v>
      </c>
      <c r="B453" s="78"/>
      <c r="C453" s="78"/>
      <c r="D453" s="80" t="s">
        <v>85</v>
      </c>
      <c r="E453" s="80">
        <v>2</v>
      </c>
      <c r="F453" s="87">
        <v>224</v>
      </c>
      <c r="G453" s="87">
        <v>1</v>
      </c>
      <c r="H453" s="80">
        <v>500</v>
      </c>
      <c r="I453" s="80">
        <v>3</v>
      </c>
      <c r="J453" s="80">
        <v>0</v>
      </c>
      <c r="K453" s="80">
        <v>1</v>
      </c>
      <c r="L453" s="80">
        <v>0</v>
      </c>
      <c r="M453" s="80">
        <v>3</v>
      </c>
      <c r="N453" s="80">
        <v>0</v>
      </c>
      <c r="P453" s="124">
        <f t="shared" si="37"/>
        <v>1166.6666666666667</v>
      </c>
      <c r="Q453" s="124">
        <f t="shared" si="34"/>
        <v>0</v>
      </c>
      <c r="R453" s="161">
        <f t="shared" si="35"/>
        <v>1</v>
      </c>
      <c r="S453" s="189" t="str">
        <f>D453</f>
        <v>NF-6 Ambient</v>
      </c>
      <c r="T453" s="81"/>
      <c r="U453" s="81"/>
      <c r="V453" s="81"/>
      <c r="Y453" s="87" t="str">
        <f>D453</f>
        <v>NF-6 Ambient</v>
      </c>
      <c r="Z453" s="352">
        <f>SUMIFS($P$381:$P$444, $D$381:$D$444, Y453, $F$381:$F$444, "&lt;200") + SUMIFS($Q$381:$Q$444, $D$381:$D$444, Y453, $F$381:$F$444, "&lt;200")</f>
        <v>8600</v>
      </c>
      <c r="AA453" s="124">
        <f>SUM(P453:Q456)</f>
        <v>19386.666666666668</v>
      </c>
      <c r="AB453" s="124">
        <f>SUMIFS(Collection!O:O, Collection!B:B, "*" &amp; 'Bucket Counts'!Y453 &amp; "*", Collection!A:A, "&lt;" &amp; 'Bucket Counts'!A453,Collection!A:A,  "&gt;=" &amp; 'Bucket Counts'!$A$381)</f>
        <v>33.333333333333329</v>
      </c>
      <c r="AC453" s="161">
        <f>AA453/(Z453+AB453)</f>
        <v>2.2455598455598453</v>
      </c>
    </row>
    <row r="454" spans="1:29" s="80" customFormat="1">
      <c r="A454" s="190">
        <v>42912</v>
      </c>
      <c r="B454" s="78"/>
      <c r="C454" s="78"/>
      <c r="D454" s="80" t="s">
        <v>85</v>
      </c>
      <c r="E454" s="80">
        <v>2</v>
      </c>
      <c r="F454" s="87">
        <v>180</v>
      </c>
      <c r="G454" s="87">
        <v>1</v>
      </c>
      <c r="H454" s="80">
        <v>490</v>
      </c>
      <c r="I454" s="80">
        <v>7</v>
      </c>
      <c r="J454" s="80">
        <v>0</v>
      </c>
      <c r="K454" s="80">
        <v>7</v>
      </c>
      <c r="L454" s="80">
        <v>3</v>
      </c>
      <c r="M454" s="80">
        <v>5</v>
      </c>
      <c r="N454" s="80">
        <v>2</v>
      </c>
      <c r="P454" s="124">
        <f t="shared" si="37"/>
        <v>3103.333333333333</v>
      </c>
      <c r="Q454" s="124">
        <f t="shared" si="34"/>
        <v>816.66666666666674</v>
      </c>
      <c r="R454" s="161">
        <f t="shared" si="35"/>
        <v>0.79166666666666663</v>
      </c>
      <c r="S454" s="187">
        <f>(SUM(P453:P456)/(SUM(P453:Q456)))</f>
        <v>0.23572902338376889</v>
      </c>
      <c r="T454" s="81"/>
      <c r="U454" s="81"/>
      <c r="V454" s="81"/>
      <c r="Y454" s="87"/>
      <c r="Z454" s="361"/>
      <c r="AA454" s="124"/>
      <c r="AB454" s="124"/>
    </row>
    <row r="455" spans="1:29" s="80" customFormat="1">
      <c r="A455" s="190">
        <v>42912</v>
      </c>
      <c r="B455" s="78"/>
      <c r="C455" s="78"/>
      <c r="D455" s="80" t="s">
        <v>85</v>
      </c>
      <c r="E455" s="80">
        <v>2</v>
      </c>
      <c r="F455" s="87">
        <v>100</v>
      </c>
      <c r="G455" s="87">
        <v>1</v>
      </c>
      <c r="H455" s="80">
        <v>300</v>
      </c>
      <c r="I455" s="80">
        <v>1</v>
      </c>
      <c r="J455" s="80">
        <v>3</v>
      </c>
      <c r="K455" s="80">
        <v>2</v>
      </c>
      <c r="L455" s="80">
        <v>0</v>
      </c>
      <c r="M455" s="80">
        <v>0</v>
      </c>
      <c r="N455" s="80">
        <v>1</v>
      </c>
      <c r="P455" s="124">
        <f t="shared" si="37"/>
        <v>300</v>
      </c>
      <c r="Q455" s="124">
        <f t="shared" si="34"/>
        <v>400</v>
      </c>
      <c r="R455" s="161">
        <f t="shared" si="35"/>
        <v>0.42857142857142855</v>
      </c>
      <c r="S455" s="188"/>
      <c r="T455" s="81"/>
      <c r="U455" s="81"/>
      <c r="V455" s="81"/>
      <c r="Y455" s="87"/>
      <c r="Z455" s="361"/>
      <c r="AA455" s="124"/>
      <c r="AB455" s="124"/>
    </row>
    <row r="456" spans="1:29" s="80" customFormat="1">
      <c r="A456" s="190">
        <v>42912</v>
      </c>
      <c r="B456" s="78"/>
      <c r="C456" s="78"/>
      <c r="D456" s="80" t="s">
        <v>85</v>
      </c>
      <c r="E456" s="80">
        <v>2</v>
      </c>
      <c r="F456" s="87" t="s">
        <v>203</v>
      </c>
      <c r="G456" s="87">
        <v>1</v>
      </c>
      <c r="H456" s="80">
        <v>300</v>
      </c>
      <c r="I456" s="80">
        <v>0</v>
      </c>
      <c r="J456" s="80">
        <v>52</v>
      </c>
      <c r="K456" s="80">
        <v>0</v>
      </c>
      <c r="L456" s="80">
        <v>42</v>
      </c>
      <c r="M456" s="80">
        <v>0</v>
      </c>
      <c r="N456" s="80">
        <v>42</v>
      </c>
      <c r="P456" s="124">
        <f>(AVERAGE(I456,K456,M456)/G456)*H456</f>
        <v>0</v>
      </c>
      <c r="Q456" s="124">
        <f t="shared" si="34"/>
        <v>13600</v>
      </c>
      <c r="R456" s="161">
        <f t="shared" si="35"/>
        <v>0</v>
      </c>
      <c r="S456" s="188"/>
      <c r="T456" s="81"/>
      <c r="U456" s="81"/>
      <c r="V456" s="81"/>
      <c r="Y456" s="87"/>
      <c r="Z456" s="361"/>
      <c r="AA456" s="124"/>
      <c r="AB456" s="124"/>
    </row>
    <row r="457" spans="1:29" s="80" customFormat="1">
      <c r="A457" s="190">
        <v>42912</v>
      </c>
      <c r="B457" s="78"/>
      <c r="C457" s="78"/>
      <c r="D457" s="79" t="s">
        <v>105</v>
      </c>
      <c r="E457" s="80">
        <v>2</v>
      </c>
      <c r="F457" s="87">
        <v>224</v>
      </c>
      <c r="G457" s="87">
        <v>1</v>
      </c>
      <c r="H457" s="235">
        <v>290</v>
      </c>
      <c r="I457" s="80">
        <v>9</v>
      </c>
      <c r="J457" s="80">
        <v>0</v>
      </c>
      <c r="K457" s="80">
        <v>9</v>
      </c>
      <c r="L457" s="80">
        <v>0</v>
      </c>
      <c r="M457" s="80">
        <v>3</v>
      </c>
      <c r="N457" s="80">
        <v>0</v>
      </c>
      <c r="P457" s="124">
        <f>(AVERAGE(I457,K457,M457)/G457)*H457</f>
        <v>2030</v>
      </c>
      <c r="Q457" s="124">
        <f t="shared" si="34"/>
        <v>0</v>
      </c>
      <c r="R457" s="161">
        <f t="shared" si="35"/>
        <v>1</v>
      </c>
      <c r="S457" s="189" t="str">
        <f>D457</f>
        <v>NF-6 Low</v>
      </c>
      <c r="T457" s="81"/>
      <c r="U457" s="81"/>
      <c r="V457" s="81"/>
      <c r="Y457" s="87" t="str">
        <f>D457</f>
        <v>NF-6 Low</v>
      </c>
      <c r="Z457" s="352">
        <f>SUMIFS($P$381:$P$444, $D$381:$D$444, Y457, $F$381:$F$444, "&lt;200") + SUMIFS($Q$381:$Q$444, $D$381:$D$444, Y457, $F$381:$F$444, "&lt;200")</f>
        <v>68620</v>
      </c>
      <c r="AA457" s="124">
        <f>SUM(P457:Q460)</f>
        <v>64473.333333333343</v>
      </c>
      <c r="AB457" s="124">
        <f>SUMIFS(Collection!O:O, Collection!B:B, "*" &amp; 'Bucket Counts'!Y457 &amp; "*", Collection!A:A, "&lt;" &amp; 'Bucket Counts'!A457,Collection!A:A,  "&gt;=" &amp; 'Bucket Counts'!$A$381)</f>
        <v>888.8888888888888</v>
      </c>
      <c r="AC457" s="161">
        <f>AA457/(Z457+AB457)</f>
        <v>0.92755522874772223</v>
      </c>
    </row>
    <row r="458" spans="1:29" s="80" customFormat="1">
      <c r="A458" s="190">
        <v>42912</v>
      </c>
      <c r="B458" s="78"/>
      <c r="C458" s="78"/>
      <c r="D458" s="79" t="s">
        <v>105</v>
      </c>
      <c r="E458" s="80">
        <v>2</v>
      </c>
      <c r="F458" s="87">
        <v>180</v>
      </c>
      <c r="G458" s="87">
        <v>1</v>
      </c>
      <c r="H458" s="235">
        <v>490</v>
      </c>
      <c r="I458" s="80">
        <v>12</v>
      </c>
      <c r="J458" s="80">
        <v>0</v>
      </c>
      <c r="K458" s="80">
        <v>22</v>
      </c>
      <c r="L458" s="80">
        <v>0</v>
      </c>
      <c r="M458" s="80">
        <v>21</v>
      </c>
      <c r="N458" s="80">
        <v>0</v>
      </c>
      <c r="P458" s="124">
        <f t="shared" ref="P458:P468" si="40">(AVERAGE(I458,K458,M458)/G458)*H458</f>
        <v>8983.3333333333321</v>
      </c>
      <c r="Q458" s="124">
        <f t="shared" si="34"/>
        <v>0</v>
      </c>
      <c r="R458" s="161">
        <f t="shared" si="35"/>
        <v>1</v>
      </c>
      <c r="S458" s="187">
        <f>(SUM(P457:P460)/(SUM(P457:Q460)))</f>
        <v>0.75762589184158824</v>
      </c>
      <c r="T458" s="81"/>
      <c r="U458" s="81"/>
      <c r="V458" s="81"/>
      <c r="Y458" s="87"/>
      <c r="Z458" s="361"/>
      <c r="AA458" s="124"/>
      <c r="AB458" s="124"/>
    </row>
    <row r="459" spans="1:29" s="80" customFormat="1">
      <c r="A459" s="190">
        <v>42912</v>
      </c>
      <c r="B459" s="78"/>
      <c r="C459" s="78"/>
      <c r="D459" s="79" t="s">
        <v>105</v>
      </c>
      <c r="E459" s="80">
        <v>2</v>
      </c>
      <c r="F459" s="87">
        <v>100</v>
      </c>
      <c r="G459" s="87">
        <v>1</v>
      </c>
      <c r="H459" s="235">
        <v>500</v>
      </c>
      <c r="I459" s="80">
        <v>76</v>
      </c>
      <c r="J459" s="80">
        <v>1</v>
      </c>
      <c r="K459" s="80">
        <v>83</v>
      </c>
      <c r="L459" s="80">
        <v>0</v>
      </c>
      <c r="M459" s="80">
        <v>68</v>
      </c>
      <c r="N459" s="80">
        <v>1</v>
      </c>
      <c r="P459" s="124">
        <f t="shared" si="40"/>
        <v>37833.333333333336</v>
      </c>
      <c r="Q459" s="124">
        <f t="shared" si="34"/>
        <v>333.33333333333331</v>
      </c>
      <c r="R459" s="161">
        <f t="shared" si="35"/>
        <v>0.99126637554585151</v>
      </c>
      <c r="S459" s="188"/>
      <c r="T459" s="81"/>
      <c r="U459" s="81"/>
      <c r="V459" s="81"/>
      <c r="Y459" s="87"/>
      <c r="Z459" s="361"/>
      <c r="AA459" s="124"/>
      <c r="AB459" s="124"/>
    </row>
    <row r="460" spans="1:29" s="80" customFormat="1">
      <c r="A460" s="190">
        <v>42912</v>
      </c>
      <c r="B460" s="78"/>
      <c r="C460" s="78"/>
      <c r="D460" s="79" t="s">
        <v>105</v>
      </c>
      <c r="E460" s="80">
        <v>2</v>
      </c>
      <c r="F460" s="87" t="s">
        <v>203</v>
      </c>
      <c r="G460" s="87">
        <v>1</v>
      </c>
      <c r="H460" s="235">
        <v>310</v>
      </c>
      <c r="I460" s="80">
        <v>0</v>
      </c>
      <c r="J460" s="80">
        <v>50</v>
      </c>
      <c r="K460" s="80">
        <v>0</v>
      </c>
      <c r="L460" s="80">
        <v>46</v>
      </c>
      <c r="M460" s="80">
        <v>0</v>
      </c>
      <c r="N460" s="80">
        <v>52</v>
      </c>
      <c r="P460" s="124">
        <f t="shared" si="40"/>
        <v>0</v>
      </c>
      <c r="Q460" s="124">
        <f t="shared" si="34"/>
        <v>15293.333333333334</v>
      </c>
      <c r="R460" s="161">
        <f t="shared" si="35"/>
        <v>0</v>
      </c>
      <c r="S460" s="188"/>
      <c r="T460" s="81"/>
      <c r="U460" s="81"/>
      <c r="V460" s="81"/>
      <c r="Y460" s="87"/>
      <c r="Z460" s="361"/>
      <c r="AA460" s="124"/>
      <c r="AB460" s="124"/>
    </row>
    <row r="461" spans="1:29" s="80" customFormat="1">
      <c r="A461" s="190">
        <v>42912</v>
      </c>
      <c r="B461" s="78"/>
      <c r="C461" s="78"/>
      <c r="D461" s="80" t="s">
        <v>119</v>
      </c>
      <c r="E461" s="80">
        <v>3</v>
      </c>
      <c r="F461" s="87">
        <v>224</v>
      </c>
      <c r="G461" s="87">
        <v>2</v>
      </c>
      <c r="H461" s="80">
        <v>290</v>
      </c>
      <c r="I461" s="80">
        <v>0</v>
      </c>
      <c r="J461" s="80">
        <v>0</v>
      </c>
      <c r="K461" s="80">
        <v>0</v>
      </c>
      <c r="L461" s="80">
        <v>0</v>
      </c>
      <c r="M461" s="80">
        <v>0</v>
      </c>
      <c r="N461" s="80">
        <v>0</v>
      </c>
      <c r="P461" s="124">
        <f t="shared" si="40"/>
        <v>0</v>
      </c>
      <c r="Q461" s="124">
        <f t="shared" si="34"/>
        <v>0</v>
      </c>
      <c r="R461" s="161" t="e">
        <f t="shared" si="35"/>
        <v>#DIV/0!</v>
      </c>
      <c r="S461" s="189" t="str">
        <f>D461</f>
        <v>HL-6 Ambient</v>
      </c>
      <c r="T461" s="81"/>
      <c r="U461" s="81"/>
      <c r="V461" s="81"/>
      <c r="W461" s="80" t="s">
        <v>260</v>
      </c>
      <c r="Y461" s="87" t="str">
        <f>D461</f>
        <v>HL-6 Ambient</v>
      </c>
      <c r="Z461" s="352">
        <f>SUMIFS($P$381:$P$444, $D$381:$D$444, Y461, $F$381:$F$444, "&lt;200") + SUMIFS($Q$381:$Q$444, $D$381:$D$444, Y461, $F$381:$F$444, "&lt;200")</f>
        <v>30091.666666666664</v>
      </c>
      <c r="AA461" s="124">
        <f>SUM(P461:Q464)</f>
        <v>31100</v>
      </c>
      <c r="AB461" s="124">
        <f>SUMIFS(Collection!O:O, Collection!B:B, "*" &amp; 'Bucket Counts'!Y461 &amp; "*", Collection!A:A, "&lt;" &amp; 'Bucket Counts'!A461,Collection!A:A,  "&gt;=" &amp; 'Bucket Counts'!$A$381)</f>
        <v>0</v>
      </c>
      <c r="AC461" s="161">
        <f>AA461/(Z461+AB461)</f>
        <v>1.0335087233453337</v>
      </c>
    </row>
    <row r="462" spans="1:29" s="80" customFormat="1">
      <c r="A462" s="190">
        <v>42912</v>
      </c>
      <c r="B462" s="78"/>
      <c r="C462" s="78"/>
      <c r="D462" s="80" t="s">
        <v>119</v>
      </c>
      <c r="E462" s="80">
        <v>3</v>
      </c>
      <c r="F462" s="87">
        <v>180</v>
      </c>
      <c r="G462" s="87">
        <v>1</v>
      </c>
      <c r="H462" s="80">
        <v>500</v>
      </c>
      <c r="I462" s="80">
        <v>5</v>
      </c>
      <c r="J462" s="80">
        <v>0</v>
      </c>
      <c r="K462" s="80">
        <v>5</v>
      </c>
      <c r="L462" s="80">
        <v>0</v>
      </c>
      <c r="M462" s="80">
        <v>8</v>
      </c>
      <c r="N462" s="80">
        <v>0</v>
      </c>
      <c r="P462" s="124">
        <f t="shared" si="40"/>
        <v>3000</v>
      </c>
      <c r="Q462" s="124">
        <f t="shared" si="34"/>
        <v>0</v>
      </c>
      <c r="R462" s="161">
        <f t="shared" si="35"/>
        <v>1</v>
      </c>
      <c r="S462" s="187">
        <f>(SUM(P461:P464)/(SUM(P461:Q464)))</f>
        <v>0.89389067524115751</v>
      </c>
      <c r="T462" s="81"/>
      <c r="U462" s="81"/>
      <c r="V462" s="81"/>
      <c r="Y462" s="87"/>
      <c r="Z462" s="361"/>
      <c r="AA462" s="124"/>
      <c r="AB462" s="124"/>
    </row>
    <row r="463" spans="1:29" s="80" customFormat="1">
      <c r="A463" s="190">
        <v>42912</v>
      </c>
      <c r="B463" s="78"/>
      <c r="C463" s="78"/>
      <c r="D463" s="80" t="s">
        <v>119</v>
      </c>
      <c r="E463" s="80">
        <v>3</v>
      </c>
      <c r="F463" s="87">
        <v>100</v>
      </c>
      <c r="G463" s="87">
        <v>0.5</v>
      </c>
      <c r="H463" s="80">
        <v>400</v>
      </c>
      <c r="I463" s="80">
        <v>32</v>
      </c>
      <c r="J463" s="80">
        <v>0</v>
      </c>
      <c r="K463" s="80">
        <v>31</v>
      </c>
      <c r="L463" s="80">
        <v>0</v>
      </c>
      <c r="M463" s="80">
        <v>30</v>
      </c>
      <c r="N463" s="80">
        <v>1</v>
      </c>
      <c r="P463" s="124">
        <f t="shared" si="40"/>
        <v>24800</v>
      </c>
      <c r="Q463" s="124">
        <f t="shared" si="34"/>
        <v>266.66666666666663</v>
      </c>
      <c r="R463" s="161">
        <f t="shared" si="35"/>
        <v>0.9893617021276595</v>
      </c>
      <c r="S463" s="188"/>
      <c r="T463" s="81"/>
      <c r="U463" s="81"/>
      <c r="V463" s="81"/>
      <c r="Y463" s="87"/>
      <c r="Z463" s="361"/>
      <c r="AA463" s="124"/>
      <c r="AB463" s="124"/>
    </row>
    <row r="464" spans="1:29" s="80" customFormat="1">
      <c r="A464" s="190">
        <v>42912</v>
      </c>
      <c r="B464" s="78"/>
      <c r="C464" s="78"/>
      <c r="D464" s="80" t="s">
        <v>119</v>
      </c>
      <c r="E464" s="80">
        <v>3</v>
      </c>
      <c r="F464" s="87" t="s">
        <v>203</v>
      </c>
      <c r="G464" s="87">
        <v>1</v>
      </c>
      <c r="H464" s="80">
        <v>325</v>
      </c>
      <c r="I464" s="80">
        <v>0</v>
      </c>
      <c r="J464" s="80">
        <v>12</v>
      </c>
      <c r="K464" s="80">
        <v>0</v>
      </c>
      <c r="L464" s="80">
        <v>9</v>
      </c>
      <c r="M464" s="80">
        <v>0</v>
      </c>
      <c r="N464" s="80">
        <v>7</v>
      </c>
      <c r="P464" s="124">
        <f t="shared" si="40"/>
        <v>0</v>
      </c>
      <c r="Q464" s="124">
        <f t="shared" si="34"/>
        <v>3033.3333333333335</v>
      </c>
      <c r="R464" s="161">
        <f t="shared" si="35"/>
        <v>0</v>
      </c>
      <c r="S464" s="188"/>
      <c r="T464" s="81"/>
      <c r="U464" s="81"/>
      <c r="V464" s="81"/>
      <c r="Y464" s="87"/>
      <c r="Z464" s="361"/>
      <c r="AA464" s="124"/>
      <c r="AB464" s="124"/>
    </row>
    <row r="465" spans="1:29" s="80" customFormat="1">
      <c r="A465" s="190">
        <v>42912</v>
      </c>
      <c r="B465" s="78"/>
      <c r="C465" s="78"/>
      <c r="D465" s="80" t="s">
        <v>83</v>
      </c>
      <c r="E465" s="80">
        <v>3</v>
      </c>
      <c r="F465" s="87">
        <v>224</v>
      </c>
      <c r="G465" s="87">
        <v>2</v>
      </c>
      <c r="H465" s="80">
        <v>300</v>
      </c>
      <c r="I465" s="80">
        <v>0</v>
      </c>
      <c r="J465" s="80">
        <v>0</v>
      </c>
      <c r="K465" s="80">
        <v>0</v>
      </c>
      <c r="L465" s="80">
        <v>0</v>
      </c>
      <c r="M465" s="80">
        <v>0</v>
      </c>
      <c r="N465" s="80">
        <v>0</v>
      </c>
      <c r="P465" s="124">
        <f t="shared" si="40"/>
        <v>0</v>
      </c>
      <c r="Q465" s="124">
        <f t="shared" si="34"/>
        <v>0</v>
      </c>
      <c r="R465" s="161" t="e">
        <f t="shared" si="35"/>
        <v>#DIV/0!</v>
      </c>
      <c r="S465" s="189" t="str">
        <f>D465</f>
        <v>NF-10 Low</v>
      </c>
      <c r="T465" s="81"/>
      <c r="U465" s="81"/>
      <c r="V465" s="81"/>
      <c r="W465" s="80" t="s">
        <v>260</v>
      </c>
      <c r="Y465" s="87" t="str">
        <f>D465</f>
        <v>NF-10 Low</v>
      </c>
      <c r="Z465" s="352">
        <f>SUMIFS($P$381:$P$444, $D$381:$D$444, Y465, $F$381:$F$444, "&lt;200") + SUMIFS($Q$381:$Q$444, $D$381:$D$444, Y465, $F$381:$F$444, "&lt;200")</f>
        <v>23266.666666666668</v>
      </c>
      <c r="AA465" s="124">
        <f>SUM(P465:Q468)</f>
        <v>22846.666666666668</v>
      </c>
      <c r="AB465" s="124">
        <f>SUMIFS(Collection!O:O, Collection!B:B, "*" &amp; 'Bucket Counts'!Y465 &amp; "*", Collection!A:A, "&lt;" &amp; 'Bucket Counts'!A465,Collection!A:A,  "&gt;=" &amp; 'Bucket Counts'!$A$381)</f>
        <v>0</v>
      </c>
      <c r="AC465" s="161">
        <f>AA465/(Z465+AB465)</f>
        <v>0.98194842406876792</v>
      </c>
    </row>
    <row r="466" spans="1:29" s="80" customFormat="1">
      <c r="A466" s="190">
        <v>42912</v>
      </c>
      <c r="B466" s="78"/>
      <c r="C466" s="78"/>
      <c r="D466" s="80" t="s">
        <v>83</v>
      </c>
      <c r="E466" s="80">
        <v>3</v>
      </c>
      <c r="F466" s="87">
        <v>180</v>
      </c>
      <c r="G466" s="87">
        <v>2</v>
      </c>
      <c r="H466" s="80">
        <v>250</v>
      </c>
      <c r="I466" s="80">
        <v>1</v>
      </c>
      <c r="J466" s="80">
        <v>0</v>
      </c>
      <c r="K466" s="80">
        <v>1</v>
      </c>
      <c r="L466" s="80">
        <v>0</v>
      </c>
      <c r="M466" s="80">
        <v>2</v>
      </c>
      <c r="N466" s="80">
        <v>0</v>
      </c>
      <c r="P466" s="124">
        <f t="shared" si="40"/>
        <v>166.66666666666666</v>
      </c>
      <c r="Q466" s="124">
        <f t="shared" si="34"/>
        <v>0</v>
      </c>
      <c r="R466" s="161">
        <f t="shared" si="35"/>
        <v>1</v>
      </c>
      <c r="S466" s="187">
        <f>(SUM(P465:P468)/(SUM(P465:Q468)))</f>
        <v>1.0796615115261161E-2</v>
      </c>
      <c r="T466" s="81"/>
      <c r="Y466" s="87"/>
      <c r="Z466" s="361"/>
      <c r="AA466" s="124"/>
      <c r="AB466" s="124"/>
    </row>
    <row r="467" spans="1:29" s="80" customFormat="1">
      <c r="A467" s="190">
        <v>42912</v>
      </c>
      <c r="B467" s="78"/>
      <c r="C467" s="78"/>
      <c r="D467" s="80" t="s">
        <v>83</v>
      </c>
      <c r="E467" s="80">
        <v>3</v>
      </c>
      <c r="F467" s="87">
        <v>100</v>
      </c>
      <c r="G467" s="87">
        <v>2</v>
      </c>
      <c r="H467" s="80">
        <v>240</v>
      </c>
      <c r="I467" s="80">
        <v>0</v>
      </c>
      <c r="J467" s="80">
        <v>0</v>
      </c>
      <c r="K467" s="80">
        <v>1</v>
      </c>
      <c r="L467" s="80">
        <v>0</v>
      </c>
      <c r="M467" s="80">
        <v>1</v>
      </c>
      <c r="N467" s="80">
        <v>0</v>
      </c>
      <c r="P467" s="124">
        <f t="shared" si="40"/>
        <v>80</v>
      </c>
      <c r="Q467" s="124">
        <f t="shared" si="34"/>
        <v>0</v>
      </c>
      <c r="R467" s="161">
        <f t="shared" si="35"/>
        <v>1</v>
      </c>
      <c r="S467" s="188"/>
      <c r="T467" s="81"/>
      <c r="Y467" s="87"/>
      <c r="Z467" s="361"/>
      <c r="AA467" s="124"/>
      <c r="AB467" s="124"/>
    </row>
    <row r="468" spans="1:29" s="80" customFormat="1">
      <c r="A468" s="190">
        <v>42912</v>
      </c>
      <c r="B468" s="78"/>
      <c r="C468" s="78"/>
      <c r="D468" s="80" t="s">
        <v>83</v>
      </c>
      <c r="E468" s="80">
        <v>3</v>
      </c>
      <c r="F468" s="87" t="s">
        <v>203</v>
      </c>
      <c r="G468" s="87">
        <v>1</v>
      </c>
      <c r="H468" s="80">
        <v>300</v>
      </c>
      <c r="I468" s="80">
        <v>0</v>
      </c>
      <c r="J468" s="80">
        <v>91</v>
      </c>
      <c r="K468" s="80">
        <v>0</v>
      </c>
      <c r="L468" s="80">
        <v>70</v>
      </c>
      <c r="M468" s="80">
        <v>0</v>
      </c>
      <c r="N468" s="80">
        <v>65</v>
      </c>
      <c r="P468" s="124">
        <f t="shared" si="40"/>
        <v>0</v>
      </c>
      <c r="Q468" s="124">
        <f t="shared" si="34"/>
        <v>22600</v>
      </c>
      <c r="R468" s="161">
        <f t="shared" si="35"/>
        <v>0</v>
      </c>
      <c r="S468" s="188"/>
      <c r="T468" s="81"/>
      <c r="Y468" s="87"/>
      <c r="Z468" s="361"/>
      <c r="AA468" s="124"/>
      <c r="AB468" s="124"/>
    </row>
    <row r="469" spans="1:29" s="80" customFormat="1">
      <c r="A469" s="190">
        <v>42912</v>
      </c>
      <c r="B469" s="78"/>
      <c r="C469" s="78"/>
      <c r="D469" s="79" t="s">
        <v>21</v>
      </c>
      <c r="E469" s="80">
        <v>4</v>
      </c>
      <c r="F469" s="87">
        <v>224</v>
      </c>
      <c r="G469" s="87">
        <v>2</v>
      </c>
      <c r="H469" s="80">
        <v>240</v>
      </c>
      <c r="I469" s="80">
        <v>0</v>
      </c>
      <c r="J469" s="80">
        <v>0</v>
      </c>
      <c r="K469" s="80">
        <v>0</v>
      </c>
      <c r="L469" s="80">
        <v>0</v>
      </c>
      <c r="M469" s="80">
        <v>0</v>
      </c>
      <c r="N469" s="80">
        <v>0</v>
      </c>
      <c r="P469" s="124">
        <f t="shared" ref="P469:P480" si="41">(AVERAGE(I470,K470,M470)/G469)*H469</f>
        <v>680</v>
      </c>
      <c r="Q469" s="124">
        <f t="shared" ref="Q469:Q480" si="42">(AVERAGE(J470,L470,N470)/G469)*H469</f>
        <v>0</v>
      </c>
      <c r="R469" s="161">
        <f t="shared" si="35"/>
        <v>1</v>
      </c>
      <c r="S469" s="186" t="str">
        <f>D469</f>
        <v>HL-6 Low</v>
      </c>
      <c r="T469" s="81"/>
      <c r="W469" s="80" t="s">
        <v>260</v>
      </c>
      <c r="Y469" s="87" t="str">
        <f>D469</f>
        <v>HL-6 Low</v>
      </c>
      <c r="Z469" s="352">
        <f>SUMIFS($P$381:$P$444, $D$381:$D$444, Y469, $F$381:$F$444, "&lt;200") + SUMIFS($Q$381:$Q$444, $D$381:$D$444, Y469, $F$381:$F$444, "&lt;200")</f>
        <v>89646.666666666672</v>
      </c>
      <c r="AA469" s="124">
        <f>SUM(P469:Q472)</f>
        <v>47058.333333333336</v>
      </c>
      <c r="AB469" s="124">
        <f>SUMIFS(Collection!O:O, Collection!B:B, "*" &amp; 'Bucket Counts'!Y469 &amp; "*", Collection!A:A, "&lt;" &amp; 'Bucket Counts'!A469,Collection!A:A,  "&gt;=" &amp; 'Bucket Counts'!$A$381)</f>
        <v>995.55555555555554</v>
      </c>
      <c r="AC469" s="161">
        <f>AA469/(Z469+AB469)</f>
        <v>0.51916570644046189</v>
      </c>
    </row>
    <row r="470" spans="1:29" s="80" customFormat="1">
      <c r="A470" s="190">
        <v>42912</v>
      </c>
      <c r="B470" s="78"/>
      <c r="C470" s="78"/>
      <c r="D470" s="79" t="s">
        <v>21</v>
      </c>
      <c r="E470" s="80">
        <v>4</v>
      </c>
      <c r="F470" s="87">
        <v>180</v>
      </c>
      <c r="G470" s="87">
        <v>1</v>
      </c>
      <c r="H470" s="80">
        <v>480</v>
      </c>
      <c r="I470" s="80">
        <v>7</v>
      </c>
      <c r="J470" s="80">
        <v>0</v>
      </c>
      <c r="K470" s="80">
        <v>5</v>
      </c>
      <c r="L470" s="80">
        <v>0</v>
      </c>
      <c r="M470" s="80">
        <v>5</v>
      </c>
      <c r="N470" s="80">
        <v>0</v>
      </c>
      <c r="P470" s="124">
        <f t="shared" si="41"/>
        <v>23040</v>
      </c>
      <c r="Q470" s="124">
        <f t="shared" si="42"/>
        <v>0</v>
      </c>
      <c r="R470" s="161">
        <f t="shared" si="35"/>
        <v>1</v>
      </c>
      <c r="S470" s="187">
        <f>(SUM(P469:P472)/(SUM(P469:Q472)))</f>
        <v>0.58009562599610409</v>
      </c>
      <c r="T470" s="81"/>
      <c r="Y470" s="87"/>
      <c r="Z470" s="361"/>
      <c r="AA470" s="124"/>
      <c r="AB470" s="124"/>
    </row>
    <row r="471" spans="1:29" s="80" customFormat="1">
      <c r="A471" s="190">
        <v>42912</v>
      </c>
      <c r="B471" s="78"/>
      <c r="C471" s="78"/>
      <c r="D471" s="79" t="s">
        <v>21</v>
      </c>
      <c r="E471" s="80">
        <v>4</v>
      </c>
      <c r="F471" s="87">
        <v>100</v>
      </c>
      <c r="G471" s="87">
        <v>0.5</v>
      </c>
      <c r="H471" s="228">
        <v>520</v>
      </c>
      <c r="I471" s="80">
        <v>51</v>
      </c>
      <c r="J471" s="80">
        <v>0</v>
      </c>
      <c r="K471" s="80">
        <v>46</v>
      </c>
      <c r="L471" s="80">
        <v>0</v>
      </c>
      <c r="M471" s="80">
        <v>47</v>
      </c>
      <c r="N471" s="80">
        <v>0</v>
      </c>
      <c r="P471" s="124">
        <f t="shared" si="41"/>
        <v>3120</v>
      </c>
      <c r="Q471" s="124">
        <f t="shared" si="42"/>
        <v>19760</v>
      </c>
      <c r="R471" s="161">
        <f t="shared" si="35"/>
        <v>0.13636363636363635</v>
      </c>
      <c r="S471" s="185"/>
      <c r="T471" s="81"/>
      <c r="Y471" s="87"/>
      <c r="Z471" s="361"/>
      <c r="AA471" s="124"/>
      <c r="AB471" s="124"/>
    </row>
    <row r="472" spans="1:29" s="80" customFormat="1">
      <c r="A472" s="190">
        <v>42912</v>
      </c>
      <c r="B472" s="78"/>
      <c r="C472" s="78"/>
      <c r="D472" s="79" t="s">
        <v>21</v>
      </c>
      <c r="E472" s="80">
        <v>4</v>
      </c>
      <c r="F472" s="87" t="s">
        <v>203</v>
      </c>
      <c r="G472" s="87">
        <v>1</v>
      </c>
      <c r="H472" s="228">
        <v>275</v>
      </c>
      <c r="I472" s="80">
        <v>2</v>
      </c>
      <c r="J472" s="80">
        <v>21</v>
      </c>
      <c r="K472" s="80">
        <v>3</v>
      </c>
      <c r="L472" s="80">
        <v>14</v>
      </c>
      <c r="M472" s="80">
        <v>4</v>
      </c>
      <c r="N472" s="80">
        <v>22</v>
      </c>
      <c r="P472" s="124">
        <f t="shared" si="41"/>
        <v>458.33333333333337</v>
      </c>
      <c r="Q472" s="124">
        <f t="shared" si="42"/>
        <v>0</v>
      </c>
      <c r="R472" s="161">
        <f t="shared" si="35"/>
        <v>1</v>
      </c>
      <c r="S472" s="188"/>
      <c r="T472" s="81"/>
      <c r="Y472" s="87"/>
      <c r="Z472" s="361"/>
      <c r="AA472" s="124"/>
      <c r="AB472" s="124"/>
    </row>
    <row r="473" spans="1:29" s="80" customFormat="1">
      <c r="A473" s="190">
        <v>42912</v>
      </c>
      <c r="B473" s="78"/>
      <c r="C473" s="78"/>
      <c r="D473" s="79" t="s">
        <v>74</v>
      </c>
      <c r="E473" s="80">
        <v>4</v>
      </c>
      <c r="F473" s="87">
        <v>224</v>
      </c>
      <c r="G473" s="87">
        <v>2</v>
      </c>
      <c r="H473" s="80">
        <v>290</v>
      </c>
      <c r="I473" s="80">
        <v>2</v>
      </c>
      <c r="J473" s="80">
        <v>0</v>
      </c>
      <c r="K473" s="80">
        <v>3</v>
      </c>
      <c r="L473" s="80">
        <v>0</v>
      </c>
      <c r="M473" s="80">
        <v>0</v>
      </c>
      <c r="N473" s="80">
        <v>0</v>
      </c>
      <c r="P473" s="124">
        <f t="shared" si="41"/>
        <v>4060</v>
      </c>
      <c r="Q473" s="124">
        <f t="shared" si="42"/>
        <v>48.333333333333329</v>
      </c>
      <c r="R473" s="161">
        <f t="shared" si="35"/>
        <v>0.9882352941176471</v>
      </c>
      <c r="S473" s="189" t="str">
        <f>D473</f>
        <v>SN-10 Low</v>
      </c>
      <c r="T473" s="81"/>
      <c r="Y473" s="87" t="str">
        <f>D473</f>
        <v>SN-10 Low</v>
      </c>
      <c r="Z473" s="352">
        <f>SUMIFS($P$381:$P$444, $D$381:$D$444, Y473, $F$381:$F$444, "&lt;200") + SUMIFS($Q$381:$Q$444, $D$381:$D$444, Y473, $F$381:$F$444, "&lt;200")</f>
        <v>70376.666666666672</v>
      </c>
      <c r="AA473" s="124">
        <f>SUM(P473:Q476)</f>
        <v>134281.66666666666</v>
      </c>
      <c r="AB473" s="124">
        <f>SUMIFS(Collection!O:O, Collection!B:B, "*" &amp; 'Bucket Counts'!Y473 &amp; "*", Collection!A:A, "&lt;" &amp; 'Bucket Counts'!A473,Collection!A:A,  "&gt;=" &amp; 'Bucket Counts'!$A$381)</f>
        <v>78433.333333333328</v>
      </c>
      <c r="AC473" s="161">
        <f>AA473/(Z473+AB473)</f>
        <v>0.90236991241628017</v>
      </c>
    </row>
    <row r="474" spans="1:29" s="80" customFormat="1">
      <c r="A474" s="190">
        <v>42912</v>
      </c>
      <c r="B474" s="78"/>
      <c r="C474" s="78"/>
      <c r="D474" s="79" t="s">
        <v>74</v>
      </c>
      <c r="E474" s="80">
        <v>4</v>
      </c>
      <c r="F474" s="87">
        <v>180</v>
      </c>
      <c r="G474" s="87">
        <v>1</v>
      </c>
      <c r="H474" s="80">
        <v>300</v>
      </c>
      <c r="I474" s="80">
        <v>24</v>
      </c>
      <c r="J474" s="80">
        <v>0</v>
      </c>
      <c r="K474" s="80">
        <v>28</v>
      </c>
      <c r="L474" s="80">
        <v>1</v>
      </c>
      <c r="M474" s="80">
        <v>32</v>
      </c>
      <c r="N474" s="80">
        <v>0</v>
      </c>
      <c r="P474" s="124">
        <f t="shared" si="41"/>
        <v>23200</v>
      </c>
      <c r="Q474" s="124">
        <f t="shared" si="42"/>
        <v>800</v>
      </c>
      <c r="R474" s="161">
        <f t="shared" si="35"/>
        <v>0.96666666666666667</v>
      </c>
      <c r="S474" s="187">
        <f>(SUM(P473:P476)/(SUM(P473:Q476)))</f>
        <v>0.25920639451898375</v>
      </c>
      <c r="T474" s="81"/>
      <c r="Y474" s="87"/>
      <c r="Z474" s="361"/>
      <c r="AA474" s="124"/>
      <c r="AB474" s="124"/>
    </row>
    <row r="475" spans="1:29" s="80" customFormat="1">
      <c r="A475" s="190">
        <v>42912</v>
      </c>
      <c r="B475" s="78"/>
      <c r="C475" s="78"/>
      <c r="D475" s="79" t="s">
        <v>74</v>
      </c>
      <c r="E475" s="80">
        <v>4</v>
      </c>
      <c r="F475" s="87">
        <v>100</v>
      </c>
      <c r="G475" s="87">
        <v>1</v>
      </c>
      <c r="H475" s="228">
        <v>520</v>
      </c>
      <c r="I475" s="80">
        <v>84</v>
      </c>
      <c r="J475" s="80">
        <v>1</v>
      </c>
      <c r="K475" s="80">
        <v>84</v>
      </c>
      <c r="L475" s="80">
        <v>4</v>
      </c>
      <c r="M475" s="80">
        <v>64</v>
      </c>
      <c r="N475" s="80">
        <v>3</v>
      </c>
      <c r="P475" s="124">
        <f t="shared" si="41"/>
        <v>5546.6666666666661</v>
      </c>
      <c r="Q475" s="124">
        <f t="shared" si="42"/>
        <v>98626.666666666657</v>
      </c>
      <c r="R475" s="161">
        <f t="shared" si="35"/>
        <v>5.3244592346089845E-2</v>
      </c>
      <c r="S475" s="188"/>
      <c r="T475" s="81"/>
      <c r="Y475" s="87"/>
      <c r="Z475" s="361"/>
      <c r="AA475" s="124"/>
      <c r="AB475" s="124"/>
    </row>
    <row r="476" spans="1:29" s="80" customFormat="1">
      <c r="A476" s="190">
        <v>42912</v>
      </c>
      <c r="B476" s="78"/>
      <c r="C476" s="78"/>
      <c r="D476" s="79" t="s">
        <v>74</v>
      </c>
      <c r="E476" s="80">
        <v>4</v>
      </c>
      <c r="F476" s="87" t="s">
        <v>203</v>
      </c>
      <c r="G476" s="87">
        <v>1</v>
      </c>
      <c r="H476" s="228">
        <v>400</v>
      </c>
      <c r="I476" s="80">
        <v>9</v>
      </c>
      <c r="J476" s="80">
        <v>196</v>
      </c>
      <c r="K476" s="80">
        <v>8</v>
      </c>
      <c r="L476" s="80">
        <v>199</v>
      </c>
      <c r="M476" s="80">
        <v>15</v>
      </c>
      <c r="N476" s="80">
        <v>174</v>
      </c>
      <c r="P476" s="124">
        <f t="shared" si="41"/>
        <v>2000</v>
      </c>
      <c r="Q476" s="124">
        <f t="shared" si="42"/>
        <v>0</v>
      </c>
      <c r="R476" s="161">
        <f t="shared" si="35"/>
        <v>1</v>
      </c>
      <c r="S476" s="188"/>
      <c r="T476" s="81"/>
      <c r="Y476" s="87"/>
      <c r="Z476" s="361"/>
      <c r="AA476" s="124"/>
      <c r="AB476" s="124"/>
    </row>
    <row r="477" spans="1:29" s="80" customFormat="1">
      <c r="A477" s="190">
        <v>42912</v>
      </c>
      <c r="B477" s="78"/>
      <c r="C477" s="78"/>
      <c r="D477" s="80" t="s">
        <v>38</v>
      </c>
      <c r="E477" s="80">
        <v>5</v>
      </c>
      <c r="F477" s="87">
        <v>224</v>
      </c>
      <c r="G477" s="87">
        <v>2</v>
      </c>
      <c r="H477" s="80">
        <v>300</v>
      </c>
      <c r="I477" s="80">
        <v>5</v>
      </c>
      <c r="J477" s="80">
        <v>0</v>
      </c>
      <c r="K477" s="80">
        <v>4</v>
      </c>
      <c r="L477" s="80">
        <v>0</v>
      </c>
      <c r="M477" s="80">
        <v>6</v>
      </c>
      <c r="N477" s="80">
        <v>0</v>
      </c>
      <c r="P477" s="124">
        <f t="shared" si="41"/>
        <v>1850</v>
      </c>
      <c r="Q477" s="124">
        <f t="shared" si="42"/>
        <v>0</v>
      </c>
      <c r="R477" s="161">
        <f t="shared" si="35"/>
        <v>1</v>
      </c>
      <c r="S477" s="189" t="str">
        <f>D477</f>
        <v>K-6 Ambient</v>
      </c>
      <c r="Y477" s="87" t="str">
        <f>D477</f>
        <v>K-6 Ambient</v>
      </c>
      <c r="Z477" s="352">
        <f>SUMIFS($P$381:$P$444, $D$381:$D$444, Y477, $F$381:$F$444, "&lt;200") + SUMIFS($Q$381:$Q$444, $D$381:$D$444, Y477, $F$381:$F$444, "&lt;200")</f>
        <v>75266.666666666672</v>
      </c>
      <c r="AA477" s="124">
        <f>SUM(P477:Q480)</f>
        <v>60583.333333333336</v>
      </c>
      <c r="AB477" s="124">
        <f>SUMIFS(Collection!O:O, Collection!B:B, "*" &amp; 'Bucket Counts'!Y477 &amp; "*", Collection!A:A, "&lt;" &amp; 'Bucket Counts'!A477,Collection!A:A,  "&gt;=" &amp; 'Bucket Counts'!$A$381)</f>
        <v>193.33333333333331</v>
      </c>
      <c r="AC477" s="161">
        <f>AA477/(Z477+AB477)</f>
        <v>0.80285360897605795</v>
      </c>
    </row>
    <row r="478" spans="1:29" s="80" customFormat="1">
      <c r="A478" s="190">
        <v>42912</v>
      </c>
      <c r="B478" s="78"/>
      <c r="C478" s="78"/>
      <c r="D478" s="80" t="s">
        <v>38</v>
      </c>
      <c r="E478" s="80">
        <v>5</v>
      </c>
      <c r="F478" s="87">
        <v>180</v>
      </c>
      <c r="G478" s="87">
        <v>1</v>
      </c>
      <c r="H478" s="80">
        <v>520</v>
      </c>
      <c r="I478" s="80">
        <v>15</v>
      </c>
      <c r="J478" s="80">
        <v>0</v>
      </c>
      <c r="K478" s="80">
        <v>15</v>
      </c>
      <c r="L478" s="80">
        <v>0</v>
      </c>
      <c r="M478" s="80">
        <v>7</v>
      </c>
      <c r="N478" s="80">
        <v>0</v>
      </c>
      <c r="P478" s="124">
        <f t="shared" si="41"/>
        <v>27733.333333333336</v>
      </c>
      <c r="Q478" s="124">
        <f t="shared" si="42"/>
        <v>0</v>
      </c>
      <c r="R478" s="161">
        <f t="shared" si="35"/>
        <v>1</v>
      </c>
      <c r="S478" s="187">
        <f>(SUM(P477:P480)/(SUM(P477:Q480)))</f>
        <v>0.74690508940852818</v>
      </c>
      <c r="Y478" s="87"/>
      <c r="Z478" s="361"/>
      <c r="AA478" s="124"/>
      <c r="AB478" s="124"/>
    </row>
    <row r="479" spans="1:29" s="80" customFormat="1">
      <c r="A479" s="190">
        <v>42912</v>
      </c>
      <c r="B479" s="78"/>
      <c r="C479" s="78"/>
      <c r="D479" s="80" t="s">
        <v>38</v>
      </c>
      <c r="E479" s="80">
        <v>5</v>
      </c>
      <c r="F479" s="87">
        <v>100</v>
      </c>
      <c r="G479" s="87">
        <v>0.5</v>
      </c>
      <c r="H479" s="80">
        <v>500</v>
      </c>
      <c r="I479" s="80">
        <v>62</v>
      </c>
      <c r="J479" s="80">
        <v>0</v>
      </c>
      <c r="K479" s="80">
        <v>57</v>
      </c>
      <c r="L479" s="80">
        <v>0</v>
      </c>
      <c r="M479" s="80">
        <v>41</v>
      </c>
      <c r="N479" s="80">
        <v>0</v>
      </c>
      <c r="P479" s="124">
        <f t="shared" si="41"/>
        <v>12666.666666666666</v>
      </c>
      <c r="Q479" s="124">
        <f t="shared" si="42"/>
        <v>15333.333333333334</v>
      </c>
      <c r="R479" s="161">
        <f t="shared" si="35"/>
        <v>0.45238095238095238</v>
      </c>
      <c r="S479" s="188"/>
      <c r="Y479" s="87"/>
      <c r="Z479" s="361"/>
      <c r="AA479" s="124"/>
      <c r="AB479" s="124"/>
    </row>
    <row r="480" spans="1:29" s="80" customFormat="1">
      <c r="A480" s="190">
        <v>42912</v>
      </c>
      <c r="B480" s="78"/>
      <c r="C480" s="78"/>
      <c r="D480" s="80" t="s">
        <v>38</v>
      </c>
      <c r="E480" s="80">
        <v>5</v>
      </c>
      <c r="F480" s="87" t="s">
        <v>203</v>
      </c>
      <c r="G480" s="87">
        <v>1</v>
      </c>
      <c r="H480" s="80">
        <v>500</v>
      </c>
      <c r="I480" s="80">
        <v>13</v>
      </c>
      <c r="J480" s="80">
        <v>10</v>
      </c>
      <c r="K480" s="80">
        <v>9</v>
      </c>
      <c r="L480" s="80">
        <v>23</v>
      </c>
      <c r="M480" s="80">
        <v>16</v>
      </c>
      <c r="N480" s="80">
        <v>13</v>
      </c>
      <c r="P480" s="124">
        <f t="shared" si="41"/>
        <v>3000</v>
      </c>
      <c r="Q480" s="124">
        <f t="shared" si="42"/>
        <v>0</v>
      </c>
      <c r="R480" s="161">
        <f t="shared" si="35"/>
        <v>1</v>
      </c>
      <c r="S480" s="188"/>
      <c r="Y480" s="87"/>
      <c r="Z480" s="361"/>
      <c r="AA480" s="124"/>
      <c r="AB480" s="124"/>
    </row>
    <row r="481" spans="1:29" s="80" customFormat="1">
      <c r="A481" s="190">
        <v>42912</v>
      </c>
      <c r="B481" s="78"/>
      <c r="C481" s="78"/>
      <c r="D481" s="80" t="s">
        <v>87</v>
      </c>
      <c r="E481" s="80">
        <v>5</v>
      </c>
      <c r="F481" s="87">
        <v>224</v>
      </c>
      <c r="G481" s="87">
        <v>1</v>
      </c>
      <c r="H481" s="80">
        <v>260</v>
      </c>
      <c r="I481" s="80">
        <v>6</v>
      </c>
      <c r="J481" s="80">
        <v>0</v>
      </c>
      <c r="K481" s="80">
        <v>7</v>
      </c>
      <c r="L481" s="80">
        <v>0</v>
      </c>
      <c r="M481" s="80">
        <v>5</v>
      </c>
      <c r="N481" s="80">
        <v>0</v>
      </c>
      <c r="P481" s="124">
        <f t="shared" ref="P481:P485" si="43">(AVERAGE(I481,K481,M481)/G481)*H481</f>
        <v>1560</v>
      </c>
      <c r="Q481" s="124">
        <f t="shared" si="34"/>
        <v>0</v>
      </c>
      <c r="R481" s="161">
        <f t="shared" si="35"/>
        <v>1</v>
      </c>
      <c r="S481" s="189" t="str">
        <f>D481</f>
        <v>SN-6 Ambient</v>
      </c>
      <c r="T481" s="81"/>
      <c r="U481" s="81"/>
      <c r="V481" s="81"/>
      <c r="Y481" s="87" t="str">
        <f>D481</f>
        <v>SN-6 Ambient</v>
      </c>
      <c r="Z481" s="352">
        <f>SUMIFS($P$381:$P$444, $D$381:$D$444, Y481, $F$381:$F$444, "&lt;200") + SUMIFS($Q$381:$Q$444, $D$381:$D$444, Y481, $F$381:$F$444, "&lt;200")</f>
        <v>74591.666666666657</v>
      </c>
      <c r="AA481" s="124">
        <f>SUM(P481:Q484)</f>
        <v>65606.666666666657</v>
      </c>
      <c r="AB481" s="124">
        <f>SUMIFS(Collection!O:O, Collection!B:B, "*" &amp; 'Bucket Counts'!Y481 &amp; "*", Collection!A:A, "&lt;" &amp; 'Bucket Counts'!A481,Collection!A:A,  "&gt;=" &amp; 'Bucket Counts'!$A$381)</f>
        <v>0</v>
      </c>
      <c r="AC481" s="161">
        <f>AA481/(Z481+AB481)</f>
        <v>0.87954418500726173</v>
      </c>
    </row>
    <row r="482" spans="1:29" s="80" customFormat="1">
      <c r="A482" s="190">
        <v>42912</v>
      </c>
      <c r="B482" s="78"/>
      <c r="C482" s="78"/>
      <c r="D482" s="80" t="s">
        <v>87</v>
      </c>
      <c r="E482" s="80">
        <v>5</v>
      </c>
      <c r="F482" s="87">
        <v>180</v>
      </c>
      <c r="G482" s="87">
        <v>1</v>
      </c>
      <c r="H482" s="80">
        <v>290</v>
      </c>
      <c r="I482" s="80">
        <v>22</v>
      </c>
      <c r="J482" s="80">
        <v>0</v>
      </c>
      <c r="K482" s="80">
        <v>18</v>
      </c>
      <c r="L482" s="80">
        <v>0</v>
      </c>
      <c r="M482" s="80">
        <v>16</v>
      </c>
      <c r="N482" s="80">
        <v>0</v>
      </c>
      <c r="P482" s="124">
        <f t="shared" si="43"/>
        <v>5413.3333333333339</v>
      </c>
      <c r="Q482" s="124">
        <f t="shared" si="34"/>
        <v>0</v>
      </c>
      <c r="R482" s="161">
        <f t="shared" si="35"/>
        <v>1</v>
      </c>
      <c r="S482" s="187">
        <f>(SUM(P481:P484)/(SUM(P481:Q484)))</f>
        <v>0.65389696169088518</v>
      </c>
      <c r="T482" s="81"/>
      <c r="U482" s="81"/>
      <c r="V482" s="81"/>
      <c r="W482" s="80" t="s">
        <v>261</v>
      </c>
      <c r="Y482" s="87"/>
      <c r="Z482" s="361"/>
      <c r="AA482" s="124"/>
      <c r="AB482" s="124"/>
    </row>
    <row r="483" spans="1:29" s="80" customFormat="1">
      <c r="A483" s="190">
        <v>42912</v>
      </c>
      <c r="B483" s="78"/>
      <c r="C483" s="78"/>
      <c r="D483" s="80" t="s">
        <v>87</v>
      </c>
      <c r="E483" s="80">
        <v>5</v>
      </c>
      <c r="F483" s="87">
        <v>100</v>
      </c>
      <c r="G483" s="87">
        <v>1</v>
      </c>
      <c r="H483" s="80">
        <v>500</v>
      </c>
      <c r="I483" s="80">
        <v>50</v>
      </c>
      <c r="J483" s="80">
        <v>0</v>
      </c>
      <c r="K483" s="80">
        <v>70</v>
      </c>
      <c r="L483" s="80">
        <v>1</v>
      </c>
      <c r="M483" s="80">
        <v>56</v>
      </c>
      <c r="N483" s="80">
        <v>0</v>
      </c>
      <c r="P483" s="124">
        <f t="shared" si="43"/>
        <v>29333.333333333332</v>
      </c>
      <c r="Q483" s="124">
        <f t="shared" si="34"/>
        <v>166.66666666666666</v>
      </c>
      <c r="R483" s="161">
        <f t="shared" si="35"/>
        <v>0.99435028248587565</v>
      </c>
      <c r="S483" s="188"/>
      <c r="T483" s="81"/>
      <c r="U483" s="81"/>
      <c r="V483" s="81"/>
      <c r="Y483" s="87"/>
      <c r="Z483" s="361"/>
      <c r="AA483" s="124"/>
      <c r="AB483" s="124"/>
    </row>
    <row r="484" spans="1:29" s="80" customFormat="1">
      <c r="A484" s="190">
        <v>42912</v>
      </c>
      <c r="B484" s="78"/>
      <c r="C484" s="78"/>
      <c r="D484" s="80" t="s">
        <v>87</v>
      </c>
      <c r="E484" s="80">
        <v>5</v>
      </c>
      <c r="F484" s="87" t="s">
        <v>203</v>
      </c>
      <c r="G484" s="87">
        <v>1</v>
      </c>
      <c r="H484" s="80">
        <v>460</v>
      </c>
      <c r="I484" s="80">
        <v>20</v>
      </c>
      <c r="J484" s="80">
        <v>47</v>
      </c>
      <c r="K484" s="80">
        <v>14</v>
      </c>
      <c r="L484" s="80">
        <v>40</v>
      </c>
      <c r="M484" s="80">
        <v>9</v>
      </c>
      <c r="N484" s="80">
        <v>60</v>
      </c>
      <c r="P484" s="124">
        <f t="shared" si="43"/>
        <v>6593.3333333333339</v>
      </c>
      <c r="Q484" s="124">
        <f t="shared" ref="Q484:Q547" si="44">(AVERAGE(J484,L484,N484)/G484)*H484</f>
        <v>22540</v>
      </c>
      <c r="R484" s="161">
        <f t="shared" ref="R484:R547" si="45">P484/(P484+Q484)</f>
        <v>0.22631578947368422</v>
      </c>
      <c r="S484" s="188"/>
      <c r="T484" s="81"/>
      <c r="U484" s="81"/>
      <c r="V484" s="81"/>
      <c r="Y484" s="87"/>
      <c r="Z484" s="361"/>
      <c r="AA484" s="124"/>
      <c r="AB484" s="124"/>
    </row>
    <row r="485" spans="1:29" s="80" customFormat="1">
      <c r="A485" s="190">
        <v>42912</v>
      </c>
      <c r="B485" s="78"/>
      <c r="C485" s="78"/>
      <c r="D485" s="80" t="s">
        <v>20</v>
      </c>
      <c r="E485" s="80">
        <v>6</v>
      </c>
      <c r="F485" s="87">
        <v>224</v>
      </c>
      <c r="G485" s="87">
        <v>2</v>
      </c>
      <c r="H485" s="80">
        <v>250</v>
      </c>
      <c r="I485" s="80">
        <v>1</v>
      </c>
      <c r="J485" s="80">
        <v>0</v>
      </c>
      <c r="K485" s="80">
        <v>1</v>
      </c>
      <c r="L485" s="80">
        <v>0</v>
      </c>
      <c r="M485" s="80">
        <v>1</v>
      </c>
      <c r="N485" s="80">
        <v>0</v>
      </c>
      <c r="P485" s="124">
        <f t="shared" si="43"/>
        <v>125</v>
      </c>
      <c r="Q485" s="124">
        <f t="shared" si="44"/>
        <v>0</v>
      </c>
      <c r="R485" s="161">
        <f t="shared" si="45"/>
        <v>1</v>
      </c>
      <c r="S485" s="189" t="str">
        <f>D485</f>
        <v>K-10 Low</v>
      </c>
      <c r="T485" s="81"/>
      <c r="U485" s="81"/>
      <c r="V485" s="81"/>
      <c r="Y485" s="87" t="str">
        <f>D485</f>
        <v>K-10 Low</v>
      </c>
      <c r="Z485" s="352">
        <f>SUMIFS($P$381:$P$444, $D$381:$D$444, Y485, $F$381:$F$444, "&lt;200") + SUMIFS($Q$381:$Q$444, $D$381:$D$444, Y485, $F$381:$F$444, "&lt;200")</f>
        <v>7926.666666666667</v>
      </c>
      <c r="AA485" s="124">
        <f>SUM(P485:Q488)</f>
        <v>7183.333333333333</v>
      </c>
      <c r="AB485" s="124">
        <f>SUMIFS(Collection!O:O, Collection!B:B, "*" &amp; 'Bucket Counts'!Y485 &amp; "*", Collection!A:A, "&lt;" &amp; 'Bucket Counts'!A485,Collection!A:A,  "&gt;=" &amp; 'Bucket Counts'!$A$381)</f>
        <v>0</v>
      </c>
      <c r="AC485" s="161">
        <f>AA485/(Z485+AB485)</f>
        <v>0.90622371740958785</v>
      </c>
    </row>
    <row r="486" spans="1:29" s="80" customFormat="1">
      <c r="A486" s="190">
        <v>42912</v>
      </c>
      <c r="B486" s="78"/>
      <c r="C486" s="78"/>
      <c r="D486" s="80" t="s">
        <v>20</v>
      </c>
      <c r="E486" s="80">
        <v>6</v>
      </c>
      <c r="F486" s="87">
        <v>180</v>
      </c>
      <c r="G486" s="87">
        <v>2</v>
      </c>
      <c r="H486" s="80">
        <v>250</v>
      </c>
      <c r="I486" s="80">
        <v>1</v>
      </c>
      <c r="J486" s="80">
        <v>0</v>
      </c>
      <c r="K486" s="80">
        <v>1</v>
      </c>
      <c r="L486" s="80">
        <v>0</v>
      </c>
      <c r="M486" s="80">
        <v>5</v>
      </c>
      <c r="N486" s="80">
        <v>0</v>
      </c>
      <c r="P486" s="124">
        <f>(AVERAGE(I486,K486,M486)/G486)*H486</f>
        <v>291.66666666666669</v>
      </c>
      <c r="Q486" s="124">
        <f t="shared" si="44"/>
        <v>0</v>
      </c>
      <c r="R486" s="161">
        <f t="shared" si="45"/>
        <v>1</v>
      </c>
      <c r="S486" s="187">
        <f>(SUM(P485:P488)/(SUM(P485:Q488)))</f>
        <v>0.94153132250580052</v>
      </c>
      <c r="T486" s="81"/>
      <c r="U486" s="81"/>
      <c r="V486" s="81"/>
      <c r="Y486" s="87"/>
      <c r="Z486" s="361"/>
      <c r="AA486" s="124"/>
      <c r="AB486" s="124"/>
    </row>
    <row r="487" spans="1:29" s="80" customFormat="1">
      <c r="A487" s="190">
        <v>42912</v>
      </c>
      <c r="B487" s="78"/>
      <c r="C487" s="78"/>
      <c r="D487" s="80" t="s">
        <v>20</v>
      </c>
      <c r="E487" s="80">
        <v>6</v>
      </c>
      <c r="F487" s="87">
        <v>100</v>
      </c>
      <c r="G487" s="87">
        <v>2</v>
      </c>
      <c r="H487" s="80">
        <v>280</v>
      </c>
      <c r="I487" s="80">
        <v>52</v>
      </c>
      <c r="J487" s="80">
        <v>1</v>
      </c>
      <c r="K487" s="80">
        <v>49</v>
      </c>
      <c r="L487" s="80">
        <v>0</v>
      </c>
      <c r="M487" s="80">
        <v>30</v>
      </c>
      <c r="N487" s="80">
        <v>0</v>
      </c>
      <c r="P487" s="124">
        <f t="shared" ref="P487:P508" si="46">(AVERAGE(I487,K487,M487)/G487)*H487</f>
        <v>6113.333333333333</v>
      </c>
      <c r="Q487" s="124">
        <f t="shared" si="44"/>
        <v>46.666666666666664</v>
      </c>
      <c r="R487" s="161">
        <f t="shared" si="45"/>
        <v>0.99242424242424232</v>
      </c>
      <c r="S487" s="188"/>
      <c r="T487" s="81"/>
      <c r="U487" s="81"/>
      <c r="V487" s="81"/>
      <c r="Y487" s="87"/>
      <c r="Z487" s="361"/>
      <c r="AA487" s="124"/>
      <c r="AB487" s="124"/>
    </row>
    <row r="488" spans="1:29" s="80" customFormat="1">
      <c r="A488" s="190">
        <v>42912</v>
      </c>
      <c r="B488" s="78"/>
      <c r="C488" s="78"/>
      <c r="D488" s="80" t="s">
        <v>20</v>
      </c>
      <c r="E488" s="80">
        <v>6</v>
      </c>
      <c r="F488" s="87" t="s">
        <v>203</v>
      </c>
      <c r="G488" s="87">
        <v>2</v>
      </c>
      <c r="H488" s="80">
        <v>280</v>
      </c>
      <c r="I488" s="80">
        <v>2</v>
      </c>
      <c r="J488" s="80">
        <v>5</v>
      </c>
      <c r="K488" s="80">
        <v>1</v>
      </c>
      <c r="L488" s="80">
        <v>2</v>
      </c>
      <c r="M488" s="80">
        <v>2</v>
      </c>
      <c r="N488" s="80">
        <v>1</v>
      </c>
      <c r="P488" s="124">
        <f t="shared" si="46"/>
        <v>233.33333333333334</v>
      </c>
      <c r="Q488" s="124">
        <f t="shared" si="44"/>
        <v>373.33333333333331</v>
      </c>
      <c r="R488" s="161">
        <f t="shared" si="45"/>
        <v>0.38461538461538464</v>
      </c>
      <c r="S488" s="188"/>
      <c r="T488" s="81"/>
      <c r="U488" s="81"/>
      <c r="V488" s="81"/>
      <c r="Y488" s="87"/>
      <c r="Z488" s="361"/>
      <c r="AA488" s="124"/>
      <c r="AB488" s="124"/>
    </row>
    <row r="489" spans="1:29" s="80" customFormat="1">
      <c r="A489" s="190">
        <v>42912</v>
      </c>
      <c r="B489" s="78"/>
      <c r="C489" s="78"/>
      <c r="D489" s="80" t="s">
        <v>84</v>
      </c>
      <c r="E489" s="80">
        <v>6</v>
      </c>
      <c r="F489" s="87">
        <v>224</v>
      </c>
      <c r="G489" s="87">
        <v>2</v>
      </c>
      <c r="H489" s="80">
        <v>300</v>
      </c>
      <c r="I489" s="80">
        <v>5</v>
      </c>
      <c r="J489" s="80">
        <v>0</v>
      </c>
      <c r="K489" s="80">
        <v>6</v>
      </c>
      <c r="L489" s="80">
        <v>1</v>
      </c>
      <c r="M489" s="80">
        <v>2</v>
      </c>
      <c r="N489" s="80">
        <v>1</v>
      </c>
      <c r="P489" s="124">
        <f t="shared" si="46"/>
        <v>650</v>
      </c>
      <c r="Q489" s="124">
        <f t="shared" si="44"/>
        <v>100</v>
      </c>
      <c r="R489" s="161">
        <f t="shared" si="45"/>
        <v>0.8666666666666667</v>
      </c>
      <c r="S489" s="189" t="str">
        <f>D489</f>
        <v>NF-10 Ambient</v>
      </c>
      <c r="T489" s="81"/>
      <c r="U489" s="81"/>
      <c r="V489" s="81"/>
      <c r="Y489" s="87" t="str">
        <f>D489</f>
        <v>NF-10 Ambient</v>
      </c>
      <c r="Z489" s="352">
        <f>SUMIFS($P$381:$P$444, $D$381:$D$444, Y489, $F$381:$F$444, "&lt;200") + SUMIFS($Q$381:$Q$444, $D$381:$D$444, Y489, $F$381:$F$444, "&lt;200")</f>
        <v>25900</v>
      </c>
      <c r="AA489" s="124">
        <f>SUM(P489:Q492)</f>
        <v>28533.333333333336</v>
      </c>
      <c r="AB489" s="124">
        <f>SUMIFS(Collection!O:O, Collection!B:B, "*" &amp; 'Bucket Counts'!Y489 &amp; "*", Collection!A:A, "&lt;" &amp; 'Bucket Counts'!A489,Collection!A:A,  "&gt;=" &amp; 'Bucket Counts'!$A$381)</f>
        <v>0</v>
      </c>
      <c r="AC489" s="161">
        <f>AA489/(Z489+AB489)</f>
        <v>1.1016731016731018</v>
      </c>
    </row>
    <row r="490" spans="1:29" s="80" customFormat="1">
      <c r="A490" s="190">
        <v>42912</v>
      </c>
      <c r="B490" s="78"/>
      <c r="C490" s="78"/>
      <c r="D490" s="80" t="s">
        <v>84</v>
      </c>
      <c r="E490" s="80">
        <v>6</v>
      </c>
      <c r="F490" s="87">
        <v>180</v>
      </c>
      <c r="G490" s="87">
        <v>2</v>
      </c>
      <c r="H490" s="80">
        <v>300</v>
      </c>
      <c r="I490" s="80">
        <v>12</v>
      </c>
      <c r="J490" s="80">
        <v>0</v>
      </c>
      <c r="K490" s="80">
        <v>15</v>
      </c>
      <c r="L490" s="80">
        <v>1</v>
      </c>
      <c r="M490" s="80">
        <v>13</v>
      </c>
      <c r="N490" s="80">
        <v>0</v>
      </c>
      <c r="P490" s="124">
        <f t="shared" si="46"/>
        <v>2000</v>
      </c>
      <c r="Q490" s="124">
        <f t="shared" si="44"/>
        <v>50</v>
      </c>
      <c r="R490" s="161">
        <f t="shared" si="45"/>
        <v>0.97560975609756095</v>
      </c>
      <c r="S490" s="187">
        <f>(SUM(P489:P492)/(SUM(P489:Q492)))</f>
        <v>0.35630841121495321</v>
      </c>
      <c r="T490" s="81"/>
      <c r="U490" s="81"/>
      <c r="V490" s="81"/>
      <c r="Y490" s="87"/>
      <c r="Z490" s="361"/>
      <c r="AA490" s="124"/>
      <c r="AB490" s="124"/>
    </row>
    <row r="491" spans="1:29" s="80" customFormat="1">
      <c r="A491" s="190">
        <v>42912</v>
      </c>
      <c r="B491" s="78"/>
      <c r="C491" s="78"/>
      <c r="D491" s="80" t="s">
        <v>84</v>
      </c>
      <c r="E491" s="80">
        <v>6</v>
      </c>
      <c r="F491" s="87">
        <v>100</v>
      </c>
      <c r="G491" s="87">
        <v>2</v>
      </c>
      <c r="H491" s="80">
        <v>300</v>
      </c>
      <c r="I491" s="80">
        <v>43</v>
      </c>
      <c r="J491" s="80">
        <v>1</v>
      </c>
      <c r="K491" s="80">
        <v>48</v>
      </c>
      <c r="L491" s="80">
        <v>0</v>
      </c>
      <c r="M491" s="80">
        <v>36</v>
      </c>
      <c r="N491" s="80">
        <v>0</v>
      </c>
      <c r="P491" s="124">
        <f t="shared" si="46"/>
        <v>6350</v>
      </c>
      <c r="Q491" s="124">
        <f t="shared" si="44"/>
        <v>50</v>
      </c>
      <c r="R491" s="161">
        <f t="shared" si="45"/>
        <v>0.9921875</v>
      </c>
      <c r="S491" s="188"/>
      <c r="T491" s="81"/>
      <c r="U491" s="81"/>
      <c r="V491" s="81"/>
      <c r="Y491" s="87"/>
      <c r="Z491" s="361"/>
      <c r="AA491" s="124"/>
      <c r="AB491" s="124"/>
    </row>
    <row r="492" spans="1:29" s="80" customFormat="1">
      <c r="A492" s="190">
        <v>42912</v>
      </c>
      <c r="B492" s="78"/>
      <c r="C492" s="78"/>
      <c r="D492" s="80" t="s">
        <v>84</v>
      </c>
      <c r="E492" s="80">
        <v>6</v>
      </c>
      <c r="F492" s="87" t="s">
        <v>203</v>
      </c>
      <c r="G492" s="87">
        <v>1</v>
      </c>
      <c r="H492" s="80">
        <v>500</v>
      </c>
      <c r="I492" s="80">
        <v>2</v>
      </c>
      <c r="J492" s="80">
        <v>31</v>
      </c>
      <c r="K492" s="80">
        <v>2</v>
      </c>
      <c r="L492" s="80">
        <v>45</v>
      </c>
      <c r="M492" s="80">
        <v>3</v>
      </c>
      <c r="N492" s="80">
        <v>33</v>
      </c>
      <c r="P492" s="124">
        <f t="shared" si="46"/>
        <v>1166.6666666666667</v>
      </c>
      <c r="Q492" s="124">
        <f t="shared" si="44"/>
        <v>18166.666666666668</v>
      </c>
      <c r="R492" s="161">
        <f t="shared" si="45"/>
        <v>6.0344827586206892E-2</v>
      </c>
      <c r="S492" s="188"/>
      <c r="T492" s="81"/>
      <c r="U492" s="81"/>
      <c r="V492" s="81"/>
      <c r="Y492" s="87"/>
      <c r="Z492" s="361"/>
      <c r="AA492" s="124"/>
      <c r="AB492" s="124"/>
    </row>
    <row r="493" spans="1:29" s="80" customFormat="1">
      <c r="A493" s="190">
        <v>42912</v>
      </c>
      <c r="B493" s="78"/>
      <c r="C493" s="78"/>
      <c r="D493" s="80" t="s">
        <v>109</v>
      </c>
      <c r="E493" s="80">
        <v>7</v>
      </c>
      <c r="F493" s="87">
        <v>224</v>
      </c>
      <c r="G493" s="87">
        <v>2</v>
      </c>
      <c r="H493" s="80">
        <v>280</v>
      </c>
      <c r="I493" s="80">
        <v>5</v>
      </c>
      <c r="J493" s="80">
        <v>0</v>
      </c>
      <c r="K493" s="80">
        <v>4</v>
      </c>
      <c r="L493" s="80">
        <v>0</v>
      </c>
      <c r="M493" s="80">
        <v>5</v>
      </c>
      <c r="N493" s="80">
        <v>0</v>
      </c>
      <c r="P493" s="124">
        <f t="shared" si="46"/>
        <v>653.33333333333337</v>
      </c>
      <c r="Q493" s="124">
        <f t="shared" si="44"/>
        <v>0</v>
      </c>
      <c r="R493" s="161">
        <f t="shared" si="45"/>
        <v>1</v>
      </c>
      <c r="S493" s="189" t="str">
        <f>D493</f>
        <v>HL-10 Low</v>
      </c>
      <c r="T493" s="81"/>
      <c r="U493" s="81"/>
      <c r="V493" s="81"/>
      <c r="Y493" s="87" t="str">
        <f>D493</f>
        <v>HL-10 Low</v>
      </c>
      <c r="Z493" s="352">
        <f>SUMIFS($P$381:$P$444, $D$381:$D$444, Y493, $F$381:$F$444, "&lt;200") + SUMIFS($Q$381:$Q$444, $D$381:$D$444, Y493, $F$381:$F$444, "&lt;200")</f>
        <v>84933.333333333328</v>
      </c>
      <c r="AA493" s="124">
        <f>SUM(P493:Q496)</f>
        <v>82111.666666666657</v>
      </c>
      <c r="AB493" s="124">
        <f>SUMIFS(Collection!O:O, Collection!B:B, "*" &amp; 'Bucket Counts'!Y493 &amp; "*", Collection!A:A, "&lt;" &amp; 'Bucket Counts'!A493,Collection!A:A,  "&gt;=" &amp; 'Bucket Counts'!$A$381)</f>
        <v>10000</v>
      </c>
      <c r="AC493" s="161">
        <f>AA493/(Z493+AB493)</f>
        <v>0.86494030898876395</v>
      </c>
    </row>
    <row r="494" spans="1:29" s="80" customFormat="1">
      <c r="A494" s="190">
        <v>42912</v>
      </c>
      <c r="B494" s="78"/>
      <c r="C494" s="78"/>
      <c r="D494" s="80" t="s">
        <v>109</v>
      </c>
      <c r="E494" s="80">
        <v>7</v>
      </c>
      <c r="F494" s="87">
        <v>180</v>
      </c>
      <c r="G494" s="87">
        <v>1</v>
      </c>
      <c r="H494" s="80">
        <v>500</v>
      </c>
      <c r="I494" s="80">
        <v>14</v>
      </c>
      <c r="J494" s="80">
        <v>0</v>
      </c>
      <c r="K494" s="80">
        <v>13</v>
      </c>
      <c r="L494" s="80">
        <v>0</v>
      </c>
      <c r="M494" s="80">
        <v>16</v>
      </c>
      <c r="N494" s="80">
        <v>0</v>
      </c>
      <c r="P494" s="124">
        <f t="shared" si="46"/>
        <v>7166.666666666667</v>
      </c>
      <c r="Q494" s="124">
        <f t="shared" si="44"/>
        <v>0</v>
      </c>
      <c r="R494" s="161">
        <f t="shared" si="45"/>
        <v>1</v>
      </c>
      <c r="S494" s="187">
        <f>(SUM(P493:P496)/(SUM(P493:Q496)))</f>
        <v>0.56999614346317007</v>
      </c>
      <c r="T494" s="81"/>
      <c r="U494" s="81"/>
      <c r="V494" s="81"/>
      <c r="Y494" s="87"/>
      <c r="Z494" s="361"/>
      <c r="AA494" s="124"/>
      <c r="AB494" s="124"/>
    </row>
    <row r="495" spans="1:29" s="80" customFormat="1">
      <c r="A495" s="190">
        <v>42912</v>
      </c>
      <c r="B495" s="78"/>
      <c r="C495" s="78"/>
      <c r="D495" s="80" t="s">
        <v>109</v>
      </c>
      <c r="E495" s="80">
        <v>7</v>
      </c>
      <c r="F495" s="87">
        <v>100</v>
      </c>
      <c r="G495" s="87">
        <v>1</v>
      </c>
      <c r="H495" s="80">
        <v>500</v>
      </c>
      <c r="I495" s="80">
        <v>62</v>
      </c>
      <c r="J495" s="80">
        <v>0</v>
      </c>
      <c r="K495" s="80">
        <v>77</v>
      </c>
      <c r="L495" s="80">
        <v>0</v>
      </c>
      <c r="M495" s="80">
        <v>93</v>
      </c>
      <c r="N495" s="80">
        <v>0</v>
      </c>
      <c r="P495" s="124">
        <f t="shared" si="46"/>
        <v>38666.666666666664</v>
      </c>
      <c r="Q495" s="124">
        <f t="shared" si="44"/>
        <v>0</v>
      </c>
      <c r="R495" s="161">
        <f t="shared" si="45"/>
        <v>1</v>
      </c>
      <c r="S495" s="188"/>
      <c r="T495" s="81"/>
      <c r="U495" s="81"/>
      <c r="V495" s="81"/>
      <c r="Y495" s="87"/>
      <c r="Z495" s="361"/>
      <c r="AA495" s="124"/>
      <c r="AB495" s="124"/>
    </row>
    <row r="496" spans="1:29" s="80" customFormat="1">
      <c r="A496" s="190">
        <v>42912</v>
      </c>
      <c r="B496" s="78"/>
      <c r="C496" s="78"/>
      <c r="D496" s="80" t="s">
        <v>109</v>
      </c>
      <c r="E496" s="80">
        <v>7</v>
      </c>
      <c r="F496" s="87" t="s">
        <v>203</v>
      </c>
      <c r="G496" s="87">
        <v>1</v>
      </c>
      <c r="H496" s="80">
        <v>475</v>
      </c>
      <c r="I496" s="80">
        <v>1</v>
      </c>
      <c r="J496" s="80">
        <v>77</v>
      </c>
      <c r="K496" s="80">
        <v>1</v>
      </c>
      <c r="L496" s="80">
        <v>82</v>
      </c>
      <c r="M496" s="80">
        <v>0</v>
      </c>
      <c r="N496" s="80">
        <v>64</v>
      </c>
      <c r="P496" s="124">
        <f t="shared" si="46"/>
        <v>316.66666666666663</v>
      </c>
      <c r="Q496" s="124">
        <f t="shared" si="44"/>
        <v>35308.333333333328</v>
      </c>
      <c r="R496" s="161">
        <f t="shared" si="45"/>
        <v>8.8888888888888889E-3</v>
      </c>
      <c r="S496" s="188"/>
      <c r="T496" s="81"/>
      <c r="U496" s="81"/>
      <c r="V496" s="81"/>
      <c r="Y496" s="87"/>
      <c r="Z496" s="361"/>
      <c r="AA496" s="124"/>
      <c r="AB496" s="124"/>
    </row>
    <row r="497" spans="1:29" s="80" customFormat="1">
      <c r="A497" s="190">
        <v>42912</v>
      </c>
      <c r="B497" s="78"/>
      <c r="C497" s="78"/>
      <c r="D497" s="80" t="s">
        <v>17</v>
      </c>
      <c r="E497" s="80">
        <v>7</v>
      </c>
      <c r="F497" s="87">
        <v>224</v>
      </c>
      <c r="G497" s="87">
        <v>2</v>
      </c>
      <c r="H497" s="80">
        <v>240</v>
      </c>
      <c r="I497" s="80">
        <v>5</v>
      </c>
      <c r="J497" s="80">
        <v>0</v>
      </c>
      <c r="K497" s="80">
        <v>5</v>
      </c>
      <c r="L497" s="80">
        <v>0</v>
      </c>
      <c r="M497" s="80">
        <v>5</v>
      </c>
      <c r="N497" s="80">
        <v>0</v>
      </c>
      <c r="P497" s="124">
        <f t="shared" si="46"/>
        <v>600</v>
      </c>
      <c r="Q497" s="124">
        <f t="shared" si="44"/>
        <v>0</v>
      </c>
      <c r="R497" s="161">
        <f t="shared" si="45"/>
        <v>1</v>
      </c>
      <c r="S497" s="189" t="str">
        <f>D497</f>
        <v>K-10 Ambient</v>
      </c>
      <c r="T497" s="81"/>
      <c r="U497" s="81"/>
      <c r="V497" s="81"/>
      <c r="Y497" s="87" t="str">
        <f>D497</f>
        <v>K-10 Ambient</v>
      </c>
      <c r="Z497" s="352">
        <f>SUMIFS($P$381:$P$444, $D$381:$D$444, Y497, $F$381:$F$444, "&lt;200") + SUMIFS($Q$381:$Q$444, $D$381:$D$444, Y497, $F$381:$F$444, "&lt;200")</f>
        <v>27800</v>
      </c>
      <c r="AA497" s="124">
        <f>SUM(P497:Q500)</f>
        <v>20090</v>
      </c>
      <c r="AB497" s="124">
        <f>SUMIFS(Collection!O:O, Collection!B:B, "*" &amp; 'Bucket Counts'!Y497 &amp; "*", Collection!A:A, "&lt;" &amp; 'Bucket Counts'!A497,Collection!A:A,  "&gt;=" &amp; 'Bucket Counts'!$A$381)</f>
        <v>0</v>
      </c>
      <c r="AC497" s="161">
        <f>AA497/(Z497+AB497)</f>
        <v>0.72266187050359709</v>
      </c>
    </row>
    <row r="498" spans="1:29" s="80" customFormat="1">
      <c r="A498" s="190">
        <v>42912</v>
      </c>
      <c r="B498" s="78"/>
      <c r="C498" s="78"/>
      <c r="D498" s="80" t="s">
        <v>17</v>
      </c>
      <c r="E498" s="80">
        <v>7</v>
      </c>
      <c r="F498" s="87">
        <v>180</v>
      </c>
      <c r="G498" s="87">
        <v>1</v>
      </c>
      <c r="H498" s="80">
        <v>330</v>
      </c>
      <c r="I498" s="80">
        <v>8</v>
      </c>
      <c r="J498" s="80">
        <v>0</v>
      </c>
      <c r="K498" s="80">
        <v>15</v>
      </c>
      <c r="L498" s="80">
        <v>0</v>
      </c>
      <c r="M498" s="80">
        <v>16</v>
      </c>
      <c r="N498" s="80">
        <v>0</v>
      </c>
      <c r="P498" s="124">
        <f t="shared" si="46"/>
        <v>4290</v>
      </c>
      <c r="Q498" s="124">
        <f t="shared" si="44"/>
        <v>0</v>
      </c>
      <c r="R498" s="161">
        <f t="shared" si="45"/>
        <v>1</v>
      </c>
      <c r="S498" s="187">
        <f>(SUM(P497:P500)/(SUM(P497:Q500)))</f>
        <v>0.63497594159615067</v>
      </c>
      <c r="T498" s="81"/>
      <c r="U498" s="81"/>
      <c r="V498" s="81"/>
      <c r="Y498" s="87"/>
      <c r="Z498" s="361"/>
      <c r="AA498" s="124"/>
      <c r="AB498" s="124"/>
    </row>
    <row r="499" spans="1:29" s="80" customFormat="1">
      <c r="A499" s="190">
        <v>42912</v>
      </c>
      <c r="B499" s="78"/>
      <c r="C499" s="78"/>
      <c r="D499" s="80" t="s">
        <v>17</v>
      </c>
      <c r="E499" s="80">
        <v>7</v>
      </c>
      <c r="F499" s="87">
        <v>100</v>
      </c>
      <c r="G499" s="87">
        <v>1</v>
      </c>
      <c r="H499" s="80">
        <v>300</v>
      </c>
      <c r="I499" s="80">
        <v>10</v>
      </c>
      <c r="J499" s="80">
        <v>0</v>
      </c>
      <c r="K499" s="80">
        <v>28</v>
      </c>
      <c r="L499" s="80">
        <v>0</v>
      </c>
      <c r="M499" s="80">
        <v>30</v>
      </c>
      <c r="N499" s="80">
        <v>0</v>
      </c>
      <c r="P499" s="124">
        <f t="shared" si="46"/>
        <v>6800</v>
      </c>
      <c r="Q499" s="124">
        <f t="shared" si="44"/>
        <v>0</v>
      </c>
      <c r="R499" s="161">
        <f t="shared" si="45"/>
        <v>1</v>
      </c>
      <c r="S499" s="188"/>
      <c r="T499" s="81"/>
      <c r="U499" s="81"/>
      <c r="V499" s="81"/>
      <c r="Y499" s="87"/>
      <c r="Z499" s="361"/>
      <c r="AA499" s="124"/>
      <c r="AB499" s="124"/>
    </row>
    <row r="500" spans="1:29" s="80" customFormat="1">
      <c r="A500" s="190">
        <v>42912</v>
      </c>
      <c r="B500" s="78"/>
      <c r="C500" s="78"/>
      <c r="D500" s="80" t="s">
        <v>17</v>
      </c>
      <c r="E500" s="80">
        <v>7</v>
      </c>
      <c r="F500" s="87" t="s">
        <v>203</v>
      </c>
      <c r="G500" s="87">
        <v>1</v>
      </c>
      <c r="H500" s="80">
        <v>400</v>
      </c>
      <c r="I500" s="80">
        <v>1</v>
      </c>
      <c r="J500" s="80">
        <v>17</v>
      </c>
      <c r="K500" s="80">
        <v>4</v>
      </c>
      <c r="L500" s="80">
        <v>21</v>
      </c>
      <c r="M500" s="80">
        <v>3</v>
      </c>
      <c r="N500" s="80">
        <v>17</v>
      </c>
      <c r="P500" s="124">
        <f t="shared" si="46"/>
        <v>1066.6666666666665</v>
      </c>
      <c r="Q500" s="124">
        <f t="shared" si="44"/>
        <v>7333.333333333333</v>
      </c>
      <c r="R500" s="161">
        <f t="shared" si="45"/>
        <v>0.12698412698412698</v>
      </c>
      <c r="S500" s="188"/>
      <c r="T500" s="81"/>
      <c r="U500" s="81"/>
      <c r="V500" s="81"/>
      <c r="Y500" s="87"/>
      <c r="Z500" s="361"/>
      <c r="AA500" s="124"/>
      <c r="AB500" s="124"/>
    </row>
    <row r="501" spans="1:29" s="80" customFormat="1">
      <c r="A501" s="190">
        <v>42912</v>
      </c>
      <c r="B501" s="78"/>
      <c r="C501" s="78"/>
      <c r="D501" s="80" t="s">
        <v>88</v>
      </c>
      <c r="E501" s="80">
        <v>8</v>
      </c>
      <c r="F501" s="87">
        <v>224</v>
      </c>
      <c r="G501" s="87">
        <v>1</v>
      </c>
      <c r="H501" s="80">
        <v>300</v>
      </c>
      <c r="I501" s="80">
        <v>5</v>
      </c>
      <c r="J501" s="80">
        <v>0</v>
      </c>
      <c r="K501" s="80">
        <v>6</v>
      </c>
      <c r="L501" s="80">
        <v>0</v>
      </c>
      <c r="M501" s="80">
        <v>9</v>
      </c>
      <c r="N501" s="80">
        <v>0</v>
      </c>
      <c r="P501" s="124">
        <f t="shared" si="46"/>
        <v>2000</v>
      </c>
      <c r="Q501" s="124">
        <f t="shared" si="44"/>
        <v>0</v>
      </c>
      <c r="R501" s="161">
        <f t="shared" si="45"/>
        <v>1</v>
      </c>
      <c r="S501" s="189" t="str">
        <f>D501</f>
        <v>HL-10 Ambient</v>
      </c>
      <c r="T501" s="81"/>
      <c r="U501" s="81"/>
      <c r="V501" s="81"/>
      <c r="Y501" s="87" t="str">
        <f>D501</f>
        <v>HL-10 Ambient</v>
      </c>
      <c r="Z501" s="352">
        <f>SUMIFS($P$381:$P$444, $D$381:$D$444, Y501, $F$381:$F$444, "&lt;200") + SUMIFS($Q$381:$Q$444, $D$381:$D$444, Y501, $F$381:$F$444, "&lt;200")</f>
        <v>40943.333333333336</v>
      </c>
      <c r="AA501" s="124">
        <f>SUM(P501:Q504)</f>
        <v>47853.333333333328</v>
      </c>
      <c r="AB501" s="124">
        <f>SUMIFS(Collection!O:O, Collection!B:B, "*" &amp; 'Bucket Counts'!Y501 &amp; "*", Collection!A:A, "&lt;" &amp; 'Bucket Counts'!A501,Collection!A:A,  "&gt;=" &amp; 'Bucket Counts'!$A$381)</f>
        <v>1564.4444444444443</v>
      </c>
      <c r="AC501" s="161">
        <f>AA501/(Z501+AB501)</f>
        <v>1.1257547638340695</v>
      </c>
    </row>
    <row r="502" spans="1:29" s="80" customFormat="1">
      <c r="A502" s="190">
        <v>42912</v>
      </c>
      <c r="B502" s="78"/>
      <c r="C502" s="78"/>
      <c r="D502" s="80" t="s">
        <v>88</v>
      </c>
      <c r="E502" s="80">
        <v>8</v>
      </c>
      <c r="F502" s="87">
        <v>180</v>
      </c>
      <c r="G502" s="87">
        <v>1</v>
      </c>
      <c r="H502" s="80">
        <v>480</v>
      </c>
      <c r="I502" s="80">
        <v>5</v>
      </c>
      <c r="J502" s="80">
        <v>0</v>
      </c>
      <c r="K502" s="80">
        <v>2</v>
      </c>
      <c r="L502" s="80">
        <v>0</v>
      </c>
      <c r="M502" s="80">
        <v>8</v>
      </c>
      <c r="N502" s="80">
        <v>0</v>
      </c>
      <c r="P502" s="124">
        <f t="shared" si="46"/>
        <v>2400</v>
      </c>
      <c r="Q502" s="124">
        <f t="shared" si="44"/>
        <v>0</v>
      </c>
      <c r="R502" s="161">
        <f t="shared" si="45"/>
        <v>1</v>
      </c>
      <c r="S502" s="187">
        <f>(SUM(P501:P504)/(SUM(P501:Q504)))</f>
        <v>0.60420730008358881</v>
      </c>
      <c r="T502" s="81"/>
      <c r="Y502" s="87"/>
      <c r="Z502" s="361"/>
      <c r="AA502" s="124"/>
      <c r="AB502" s="124"/>
    </row>
    <row r="503" spans="1:29" s="80" customFormat="1">
      <c r="A503" s="190">
        <v>42912</v>
      </c>
      <c r="B503" s="78"/>
      <c r="C503" s="78"/>
      <c r="D503" s="80" t="s">
        <v>88</v>
      </c>
      <c r="E503" s="80">
        <v>8</v>
      </c>
      <c r="F503" s="87">
        <v>100</v>
      </c>
      <c r="G503" s="87">
        <v>1</v>
      </c>
      <c r="H503" s="80">
        <v>410</v>
      </c>
      <c r="I503" s="80">
        <v>53</v>
      </c>
      <c r="J503" s="80">
        <v>1</v>
      </c>
      <c r="K503" s="80">
        <v>40</v>
      </c>
      <c r="L503" s="80">
        <v>1</v>
      </c>
      <c r="M503" s="80">
        <v>61</v>
      </c>
      <c r="N503" s="80">
        <v>0</v>
      </c>
      <c r="P503" s="124">
        <f t="shared" si="46"/>
        <v>21046.666666666668</v>
      </c>
      <c r="Q503" s="124">
        <f t="shared" si="44"/>
        <v>273.33333333333331</v>
      </c>
      <c r="R503" s="161">
        <f t="shared" si="45"/>
        <v>0.98717948717948723</v>
      </c>
      <c r="S503" s="188"/>
      <c r="T503" s="81"/>
      <c r="Y503" s="87"/>
      <c r="Z503" s="361"/>
      <c r="AA503" s="124"/>
      <c r="AB503" s="124"/>
    </row>
    <row r="504" spans="1:29" s="80" customFormat="1">
      <c r="A504" s="190">
        <v>42912</v>
      </c>
      <c r="B504" s="78"/>
      <c r="C504" s="78"/>
      <c r="D504" s="80" t="s">
        <v>88</v>
      </c>
      <c r="E504" s="80">
        <v>8</v>
      </c>
      <c r="F504" s="87" t="s">
        <v>203</v>
      </c>
      <c r="G504" s="87">
        <v>1</v>
      </c>
      <c r="H504" s="80">
        <v>400</v>
      </c>
      <c r="I504" s="80">
        <v>8</v>
      </c>
      <c r="J504" s="80">
        <v>54</v>
      </c>
      <c r="K504" s="80">
        <v>8</v>
      </c>
      <c r="L504" s="80">
        <v>37</v>
      </c>
      <c r="M504" s="80">
        <v>10</v>
      </c>
      <c r="N504" s="80">
        <v>49</v>
      </c>
      <c r="P504" s="124">
        <f t="shared" si="46"/>
        <v>3466.6666666666665</v>
      </c>
      <c r="Q504" s="124">
        <f t="shared" si="44"/>
        <v>18666.666666666664</v>
      </c>
      <c r="R504" s="161">
        <f t="shared" si="45"/>
        <v>0.15662650602409639</v>
      </c>
      <c r="S504" s="188"/>
      <c r="T504" s="81"/>
      <c r="Y504" s="87"/>
      <c r="Z504" s="361"/>
      <c r="AA504" s="124"/>
      <c r="AB504" s="124"/>
    </row>
    <row r="505" spans="1:29" s="80" customFormat="1">
      <c r="A505" s="190">
        <v>42912</v>
      </c>
      <c r="B505" s="78"/>
      <c r="C505" s="78"/>
      <c r="D505" s="79" t="s">
        <v>46</v>
      </c>
      <c r="E505" s="80">
        <v>8</v>
      </c>
      <c r="F505" s="87">
        <v>224</v>
      </c>
      <c r="G505" s="87">
        <v>1</v>
      </c>
      <c r="H505" s="80">
        <v>300</v>
      </c>
      <c r="I505" s="80">
        <v>8</v>
      </c>
      <c r="J505" s="80">
        <v>0</v>
      </c>
      <c r="K505" s="80">
        <v>5</v>
      </c>
      <c r="L505" s="80">
        <v>0</v>
      </c>
      <c r="M505" s="80">
        <v>7</v>
      </c>
      <c r="N505" s="80">
        <v>0</v>
      </c>
      <c r="P505" s="124">
        <f t="shared" si="46"/>
        <v>2000</v>
      </c>
      <c r="Q505" s="124">
        <f t="shared" si="44"/>
        <v>0</v>
      </c>
      <c r="R505" s="161">
        <f t="shared" si="45"/>
        <v>1</v>
      </c>
      <c r="S505" s="189" t="str">
        <f>D505</f>
        <v>K-6 Low</v>
      </c>
      <c r="T505" s="81"/>
      <c r="Y505" s="87" t="str">
        <f>D505</f>
        <v>K-6 Low</v>
      </c>
      <c r="Z505" s="352">
        <f>SUMIFS($P$381:$P$444, $D$381:$D$444, Y505, $F$381:$F$444, "&lt;200") + SUMIFS($Q$381:$Q$444, $D$381:$D$444, Y505, $F$381:$F$444, "&lt;200")</f>
        <v>27566.666666666668</v>
      </c>
      <c r="AA505" s="124">
        <f>SUM(P505:Q508)</f>
        <v>28800</v>
      </c>
      <c r="AB505" s="124">
        <f>SUMIFS(Collection!O:O, Collection!B:B, "*" &amp; 'Bucket Counts'!Y505 &amp; "*", Collection!A:A, "&lt;" &amp; 'Bucket Counts'!A505,Collection!A:A,  "&gt;=" &amp; 'Bucket Counts'!$A$381)</f>
        <v>0</v>
      </c>
      <c r="AC505" s="161">
        <f>AA505/(Z505+AB505)</f>
        <v>1.0447400241837967</v>
      </c>
    </row>
    <row r="506" spans="1:29" s="80" customFormat="1">
      <c r="A506" s="190">
        <v>42912</v>
      </c>
      <c r="B506" s="78"/>
      <c r="C506" s="78"/>
      <c r="D506" s="79" t="s">
        <v>46</v>
      </c>
      <c r="E506" s="80">
        <v>8</v>
      </c>
      <c r="F506" s="87">
        <v>180</v>
      </c>
      <c r="G506" s="87">
        <v>1</v>
      </c>
      <c r="H506" s="80">
        <v>500</v>
      </c>
      <c r="I506" s="80">
        <v>42</v>
      </c>
      <c r="J506" s="80">
        <v>0</v>
      </c>
      <c r="K506" s="80">
        <v>24</v>
      </c>
      <c r="L506" s="80">
        <v>0</v>
      </c>
      <c r="M506" s="80">
        <v>30</v>
      </c>
      <c r="N506" s="80">
        <v>0</v>
      </c>
      <c r="P506" s="124">
        <f t="shared" si="46"/>
        <v>16000</v>
      </c>
      <c r="Q506" s="124">
        <f t="shared" si="44"/>
        <v>0</v>
      </c>
      <c r="R506" s="161">
        <f t="shared" si="45"/>
        <v>1</v>
      </c>
      <c r="S506" s="187">
        <f>(SUM(P505:P508)/(SUM(P505:Q508)))</f>
        <v>0.71180555555555558</v>
      </c>
      <c r="T506" s="81"/>
      <c r="Y506" s="87"/>
      <c r="Z506" s="361"/>
      <c r="AA506" s="124"/>
      <c r="AB506" s="124"/>
    </row>
    <row r="507" spans="1:29" s="80" customFormat="1">
      <c r="A507" s="190">
        <v>42912</v>
      </c>
      <c r="B507" s="78"/>
      <c r="C507" s="78"/>
      <c r="D507" s="79" t="s">
        <v>46</v>
      </c>
      <c r="E507" s="80">
        <v>8</v>
      </c>
      <c r="F507" s="87">
        <v>100</v>
      </c>
      <c r="G507" s="87">
        <v>1</v>
      </c>
      <c r="H507" s="80">
        <v>300</v>
      </c>
      <c r="I507" s="80">
        <v>7</v>
      </c>
      <c r="J507" s="80">
        <v>0</v>
      </c>
      <c r="K507" s="80">
        <v>4</v>
      </c>
      <c r="L507" s="80">
        <v>0</v>
      </c>
      <c r="M507" s="80">
        <v>8</v>
      </c>
      <c r="N507" s="80">
        <v>0</v>
      </c>
      <c r="P507" s="124">
        <f t="shared" si="46"/>
        <v>1900</v>
      </c>
      <c r="Q507" s="124">
        <f t="shared" si="44"/>
        <v>0</v>
      </c>
      <c r="R507" s="161">
        <f t="shared" si="45"/>
        <v>1</v>
      </c>
      <c r="S507" s="188"/>
      <c r="T507" s="81"/>
      <c r="Y507" s="87"/>
      <c r="Z507" s="361"/>
      <c r="AA507" s="124"/>
      <c r="AB507" s="124"/>
    </row>
    <row r="508" spans="1:29" s="157" customFormat="1" ht="16" thickBot="1">
      <c r="A508" s="261">
        <v>42912</v>
      </c>
      <c r="B508" s="156"/>
      <c r="C508" s="156"/>
      <c r="D508" s="236" t="s">
        <v>46</v>
      </c>
      <c r="E508" s="157">
        <v>8</v>
      </c>
      <c r="F508" s="158" t="s">
        <v>203</v>
      </c>
      <c r="G508" s="158">
        <v>1</v>
      </c>
      <c r="H508" s="157">
        <v>300</v>
      </c>
      <c r="I508" s="157">
        <v>1</v>
      </c>
      <c r="J508" s="157">
        <v>21</v>
      </c>
      <c r="K508" s="157">
        <v>2</v>
      </c>
      <c r="L508" s="157">
        <v>29</v>
      </c>
      <c r="M508" s="157">
        <v>3</v>
      </c>
      <c r="N508" s="157">
        <v>33</v>
      </c>
      <c r="P508" s="159">
        <f t="shared" si="46"/>
        <v>600</v>
      </c>
      <c r="Q508" s="159">
        <f t="shared" si="44"/>
        <v>8300</v>
      </c>
      <c r="R508" s="162">
        <f t="shared" si="45"/>
        <v>6.741573033707865E-2</v>
      </c>
      <c r="S508" s="237"/>
      <c r="Y508" s="158"/>
      <c r="Z508" s="362"/>
      <c r="AA508" s="159"/>
      <c r="AB508" s="159"/>
    </row>
    <row r="509" spans="1:29" s="241" customFormat="1">
      <c r="A509" s="238">
        <v>42915</v>
      </c>
      <c r="B509" s="239"/>
      <c r="C509" s="239"/>
      <c r="D509" s="271" t="s">
        <v>38</v>
      </c>
      <c r="E509" s="241">
        <v>1</v>
      </c>
      <c r="F509" s="242">
        <v>224</v>
      </c>
      <c r="G509" s="242">
        <v>1</v>
      </c>
      <c r="H509" s="241">
        <v>240</v>
      </c>
      <c r="I509" s="241">
        <v>3</v>
      </c>
      <c r="J509" s="241">
        <v>0</v>
      </c>
      <c r="K509" s="241">
        <v>3</v>
      </c>
      <c r="L509" s="241">
        <v>0</v>
      </c>
      <c r="M509" s="241">
        <v>2</v>
      </c>
      <c r="N509" s="241">
        <v>0</v>
      </c>
      <c r="P509" s="243">
        <f>(AVERAGE(I509,K509,M509)/G509)*H509</f>
        <v>640</v>
      </c>
      <c r="Q509" s="243">
        <f t="shared" si="44"/>
        <v>0</v>
      </c>
      <c r="R509" s="244">
        <f t="shared" si="45"/>
        <v>1</v>
      </c>
      <c r="S509" s="245" t="str">
        <f>D509</f>
        <v>K-6 Ambient</v>
      </c>
      <c r="T509" s="246"/>
      <c r="U509" s="246"/>
      <c r="V509" s="246"/>
      <c r="Y509" s="89" t="str">
        <f>D509</f>
        <v>K-6 Ambient</v>
      </c>
      <c r="Z509" s="351">
        <f>SUMIFS($P$445:$P$508, $D$445:$D$508, Y509, $F$445:$F$508, "&lt;200") + SUMIFS($Q$445:$Q$508, $D$445:$D$508, Y509, $F$445:$F$508, "&lt;200")</f>
        <v>55733.333333333336</v>
      </c>
      <c r="AA509" s="120">
        <f>SUM(P509:Q512)</f>
        <v>53133.333333333328</v>
      </c>
      <c r="AB509" s="120">
        <f>SUMIFS(Collection!O:O, Collection!B:B, "*" &amp; 'Bucket Counts'!Y509 &amp; "*", Collection!A:A, "&lt;" &amp; 'Bucket Counts'!A509,Collection!A:A,  "&gt;=" &amp; 'Bucket Counts'!$A$445)</f>
        <v>0</v>
      </c>
      <c r="AC509" s="106">
        <f>AA509/(Z509+AB509)</f>
        <v>0.95334928229665061</v>
      </c>
    </row>
    <row r="510" spans="1:29" s="62" customFormat="1">
      <c r="A510" s="134">
        <v>42915</v>
      </c>
      <c r="B510" s="60"/>
      <c r="C510" s="60"/>
      <c r="D510" s="61" t="s">
        <v>38</v>
      </c>
      <c r="E510" s="137">
        <v>1</v>
      </c>
      <c r="F510" s="89">
        <v>180</v>
      </c>
      <c r="G510" s="89">
        <v>1</v>
      </c>
      <c r="H510" s="62">
        <v>500</v>
      </c>
      <c r="I510" s="62">
        <v>24</v>
      </c>
      <c r="J510" s="62">
        <v>0</v>
      </c>
      <c r="K510" s="62">
        <v>27</v>
      </c>
      <c r="L510" s="62">
        <v>0</v>
      </c>
      <c r="M510" s="89">
        <v>18</v>
      </c>
      <c r="N510" s="62">
        <v>0</v>
      </c>
      <c r="P510" s="120">
        <f t="shared" ref="P510:P513" si="47">(AVERAGE(I510,K510,M510)/G510)*H510</f>
        <v>11500</v>
      </c>
      <c r="Q510" s="120">
        <f t="shared" si="44"/>
        <v>0</v>
      </c>
      <c r="R510" s="106">
        <f t="shared" si="45"/>
        <v>1</v>
      </c>
      <c r="S510" s="181">
        <f>(SUM(P509:P512)/(SUM(P509:Q512)))</f>
        <v>0.94002509410288582</v>
      </c>
      <c r="T510" s="65"/>
      <c r="U510" s="65"/>
      <c r="V510" s="65"/>
      <c r="Y510" s="89"/>
      <c r="Z510" s="357"/>
      <c r="AA510" s="120"/>
      <c r="AB510" s="120"/>
    </row>
    <row r="511" spans="1:29" s="62" customFormat="1">
      <c r="A511" s="134">
        <v>42915</v>
      </c>
      <c r="B511" s="60"/>
      <c r="C511" s="60"/>
      <c r="D511" s="61" t="s">
        <v>38</v>
      </c>
      <c r="E511" s="137">
        <v>1</v>
      </c>
      <c r="F511" s="89">
        <v>100</v>
      </c>
      <c r="G511" s="89">
        <v>1</v>
      </c>
      <c r="H511" s="62">
        <v>500</v>
      </c>
      <c r="I511" s="62">
        <v>68</v>
      </c>
      <c r="J511" s="62">
        <v>2</v>
      </c>
      <c r="K511" s="62">
        <v>73</v>
      </c>
      <c r="L511" s="62">
        <v>1</v>
      </c>
      <c r="M511" s="62">
        <v>64</v>
      </c>
      <c r="N511" s="62">
        <v>0</v>
      </c>
      <c r="P511" s="120">
        <f t="shared" si="47"/>
        <v>34166.666666666664</v>
      </c>
      <c r="Q511" s="120">
        <f t="shared" si="44"/>
        <v>500</v>
      </c>
      <c r="R511" s="106">
        <f t="shared" si="45"/>
        <v>0.98557692307692313</v>
      </c>
      <c r="S511" s="179"/>
      <c r="T511" s="65"/>
      <c r="U511" s="65"/>
      <c r="V511" s="65"/>
      <c r="Y511" s="89"/>
      <c r="Z511" s="357"/>
      <c r="AA511" s="120"/>
      <c r="AB511" s="120"/>
    </row>
    <row r="512" spans="1:29" s="62" customFormat="1">
      <c r="A512" s="134">
        <v>42915</v>
      </c>
      <c r="B512" s="60"/>
      <c r="C512" s="60"/>
      <c r="D512" s="248" t="s">
        <v>38</v>
      </c>
      <c r="E512" s="137">
        <v>1</v>
      </c>
      <c r="F512" s="89" t="s">
        <v>203</v>
      </c>
      <c r="G512" s="89">
        <v>1</v>
      </c>
      <c r="H512" s="62">
        <v>260</v>
      </c>
      <c r="I512" s="62">
        <v>10</v>
      </c>
      <c r="J512" s="62">
        <v>6</v>
      </c>
      <c r="K512" s="62">
        <v>17</v>
      </c>
      <c r="L512" s="62">
        <v>13</v>
      </c>
      <c r="M512" s="62">
        <v>15</v>
      </c>
      <c r="N512" s="62">
        <v>12</v>
      </c>
      <c r="P512" s="120">
        <f t="shared" si="47"/>
        <v>3640</v>
      </c>
      <c r="Q512" s="120">
        <f t="shared" si="44"/>
        <v>2686.666666666667</v>
      </c>
      <c r="R512" s="106">
        <f t="shared" si="45"/>
        <v>0.57534246575342463</v>
      </c>
      <c r="S512" s="182"/>
      <c r="T512" s="65"/>
      <c r="U512" s="65"/>
      <c r="V512" s="65"/>
      <c r="Y512" s="89"/>
      <c r="Z512" s="357"/>
      <c r="AA512" s="120"/>
      <c r="AB512" s="120"/>
    </row>
    <row r="513" spans="1:30" s="62" customFormat="1">
      <c r="A513" s="134">
        <v>42915</v>
      </c>
      <c r="B513" s="60"/>
      <c r="C513" s="60"/>
      <c r="D513" s="62" t="s">
        <v>87</v>
      </c>
      <c r="E513" s="137">
        <v>1</v>
      </c>
      <c r="F513" s="89">
        <v>224</v>
      </c>
      <c r="G513" s="89">
        <v>2</v>
      </c>
      <c r="H513" s="62">
        <v>240</v>
      </c>
      <c r="I513" s="62">
        <v>0</v>
      </c>
      <c r="J513" s="62">
        <v>0</v>
      </c>
      <c r="K513" s="62">
        <v>0</v>
      </c>
      <c r="L513" s="62">
        <v>0</v>
      </c>
      <c r="M513" s="62">
        <v>1</v>
      </c>
      <c r="N513" s="62">
        <v>0</v>
      </c>
      <c r="P513" s="120">
        <f t="shared" si="47"/>
        <v>40</v>
      </c>
      <c r="Q513" s="120">
        <f t="shared" si="44"/>
        <v>0</v>
      </c>
      <c r="R513" s="106">
        <f t="shared" si="45"/>
        <v>1</v>
      </c>
      <c r="S513" s="183" t="str">
        <f>D513</f>
        <v>SN-6 Ambient</v>
      </c>
      <c r="T513" s="65"/>
      <c r="U513" s="65"/>
      <c r="V513" s="65"/>
      <c r="W513" s="62" t="s">
        <v>262</v>
      </c>
      <c r="Y513" s="89" t="str">
        <f>D513</f>
        <v>SN-6 Ambient</v>
      </c>
      <c r="Z513" s="351">
        <f>SUMIFS($P$445:$P$508, $D$445:$D$508, Y513, $F$445:$F$508, "&lt;200") + SUMIFS($Q$445:$Q$508, $D$445:$D$508, Y513, $F$445:$F$508, "&lt;200")</f>
        <v>34913.333333333328</v>
      </c>
      <c r="AA513" s="120">
        <f>SUM(P513:Q516)</f>
        <v>9706.6666666666661</v>
      </c>
      <c r="AB513" s="120">
        <f>SUMIFS(Collection!O:O, Collection!B:B, "*" &amp; 'Bucket Counts'!Y513 &amp; "*", Collection!A:A, "&lt;" &amp; 'Bucket Counts'!A513,Collection!A:A,  "&gt;=" &amp; 'Bucket Counts'!$A$445)</f>
        <v>0</v>
      </c>
      <c r="AC513" s="106">
        <f>AA513/(Z513+AB513)</f>
        <v>0.27802176818789387</v>
      </c>
      <c r="AD513" s="373">
        <f>0.94*Z513-AA513</f>
        <v>23111.866666666661</v>
      </c>
    </row>
    <row r="514" spans="1:30" s="62" customFormat="1">
      <c r="A514" s="134">
        <v>42915</v>
      </c>
      <c r="B514" s="60"/>
      <c r="C514" s="60"/>
      <c r="D514" s="62" t="s">
        <v>87</v>
      </c>
      <c r="E514" s="137">
        <v>1</v>
      </c>
      <c r="F514" s="89">
        <v>180</v>
      </c>
      <c r="G514" s="89">
        <v>1</v>
      </c>
      <c r="H514" s="62">
        <v>340</v>
      </c>
      <c r="I514" s="62">
        <v>13</v>
      </c>
      <c r="J514" s="62">
        <v>0</v>
      </c>
      <c r="K514" s="62">
        <v>17</v>
      </c>
      <c r="L514" s="62">
        <v>1</v>
      </c>
      <c r="M514" s="62">
        <v>17</v>
      </c>
      <c r="N514" s="62">
        <v>2</v>
      </c>
      <c r="P514" s="120">
        <f t="shared" ref="P514:P529" si="48">(AVERAGE(I518,K518,M518)/G514)*H514</f>
        <v>2380</v>
      </c>
      <c r="Q514" s="120">
        <f t="shared" ref="Q514:Q529" si="49">(AVERAGE(J518,L518,N518)/G514)*H514</f>
        <v>0</v>
      </c>
      <c r="R514" s="106">
        <f t="shared" si="45"/>
        <v>1</v>
      </c>
      <c r="S514" s="181">
        <f>(SUM(P513:P516)/(SUM(P513:Q516)))</f>
        <v>0.77438186813186816</v>
      </c>
      <c r="T514" s="65"/>
      <c r="U514" s="65"/>
      <c r="V514" s="65"/>
      <c r="Y514" s="89"/>
      <c r="Z514" s="357"/>
      <c r="AA514" s="120"/>
      <c r="AB514" s="120"/>
    </row>
    <row r="515" spans="1:30" s="62" customFormat="1">
      <c r="A515" s="134">
        <v>42915</v>
      </c>
      <c r="B515" s="60"/>
      <c r="C515" s="60"/>
      <c r="D515" s="62" t="s">
        <v>87</v>
      </c>
      <c r="E515" s="137">
        <v>1</v>
      </c>
      <c r="F515" s="89">
        <v>100</v>
      </c>
      <c r="G515" s="89">
        <v>1</v>
      </c>
      <c r="H515" s="62">
        <v>350</v>
      </c>
      <c r="I515" s="62">
        <v>32</v>
      </c>
      <c r="J515" s="62">
        <v>5</v>
      </c>
      <c r="K515" s="62">
        <v>44</v>
      </c>
      <c r="L515" s="62">
        <v>6</v>
      </c>
      <c r="M515" s="62">
        <v>34</v>
      </c>
      <c r="N515" s="62">
        <v>5</v>
      </c>
      <c r="P515" s="120">
        <f t="shared" si="48"/>
        <v>3850</v>
      </c>
      <c r="Q515" s="120">
        <f t="shared" si="49"/>
        <v>1283.3333333333333</v>
      </c>
      <c r="R515" s="106">
        <f t="shared" si="45"/>
        <v>0.75</v>
      </c>
      <c r="S515" s="182"/>
      <c r="T515" s="65"/>
      <c r="U515" s="65"/>
      <c r="V515" s="65"/>
      <c r="Y515" s="89"/>
      <c r="Z515" s="357"/>
      <c r="AA515" s="120"/>
      <c r="AB515" s="120"/>
    </row>
    <row r="516" spans="1:30" s="62" customFormat="1">
      <c r="A516" s="134">
        <v>42915</v>
      </c>
      <c r="B516" s="60"/>
      <c r="C516" s="60"/>
      <c r="D516" s="62" t="s">
        <v>87</v>
      </c>
      <c r="E516" s="137">
        <v>1</v>
      </c>
      <c r="F516" s="89" t="s">
        <v>203</v>
      </c>
      <c r="G516" s="89">
        <v>1</v>
      </c>
      <c r="H516" s="62">
        <v>340</v>
      </c>
      <c r="I516" s="62">
        <v>9</v>
      </c>
      <c r="J516" s="62">
        <v>21</v>
      </c>
      <c r="K516" s="62">
        <v>2</v>
      </c>
      <c r="L516" s="62">
        <v>40</v>
      </c>
      <c r="M516" s="62">
        <v>2</v>
      </c>
      <c r="N516" s="62">
        <v>35</v>
      </c>
      <c r="P516" s="120">
        <f t="shared" si="48"/>
        <v>1246.6666666666665</v>
      </c>
      <c r="Q516" s="120">
        <f t="shared" si="49"/>
        <v>906.66666666666663</v>
      </c>
      <c r="R516" s="106">
        <f t="shared" si="45"/>
        <v>0.57894736842105265</v>
      </c>
      <c r="S516" s="182"/>
      <c r="T516" s="65"/>
      <c r="U516" s="65"/>
      <c r="V516" s="65"/>
      <c r="Y516" s="89"/>
      <c r="Z516" s="357"/>
      <c r="AA516" s="120"/>
      <c r="AB516" s="120"/>
    </row>
    <row r="517" spans="1:30" s="62" customFormat="1">
      <c r="A517" s="134">
        <v>42915</v>
      </c>
      <c r="B517" s="60"/>
      <c r="C517" s="60"/>
      <c r="D517" s="62" t="s">
        <v>20</v>
      </c>
      <c r="E517" s="62">
        <v>2</v>
      </c>
      <c r="F517" s="89">
        <v>224</v>
      </c>
      <c r="G517" s="89">
        <v>2</v>
      </c>
      <c r="H517" s="62">
        <v>270</v>
      </c>
      <c r="I517" s="62">
        <v>0</v>
      </c>
      <c r="J517" s="62">
        <v>0</v>
      </c>
      <c r="K517" s="62">
        <v>0</v>
      </c>
      <c r="L517" s="62">
        <v>0</v>
      </c>
      <c r="M517" s="62">
        <v>0</v>
      </c>
      <c r="N517" s="62">
        <v>0</v>
      </c>
      <c r="P517" s="120">
        <f t="shared" si="48"/>
        <v>135</v>
      </c>
      <c r="Q517" s="120">
        <f t="shared" si="49"/>
        <v>135</v>
      </c>
      <c r="R517" s="106">
        <f t="shared" si="45"/>
        <v>0.5</v>
      </c>
      <c r="S517" s="183" t="str">
        <f>D517</f>
        <v>K-10 Low</v>
      </c>
      <c r="T517" s="65"/>
      <c r="U517" s="65"/>
      <c r="V517" s="65"/>
      <c r="W517" s="62" t="s">
        <v>263</v>
      </c>
      <c r="Y517" s="89" t="str">
        <f>D517</f>
        <v>K-10 Low</v>
      </c>
      <c r="Z517" s="351">
        <f>SUMIFS($P$445:$P$508, $D$445:$D$508, Y517, $F$445:$F$508, "&lt;200") + SUMIFS($Q$445:$Q$508, $D$445:$D$508, Y517, $F$445:$F$508, "&lt;200")</f>
        <v>6451.666666666667</v>
      </c>
      <c r="AA517" s="120">
        <f>SUM(P517:Q520)</f>
        <v>5603.333333333333</v>
      </c>
      <c r="AB517" s="120">
        <f>SUMIFS(Collection!O:O, Collection!B:B, "*" &amp; 'Bucket Counts'!Y517 &amp; "*", Collection!A:A, "&lt;" &amp; 'Bucket Counts'!A517,Collection!A:A,  "&gt;=" &amp; 'Bucket Counts'!$A$445)</f>
        <v>0</v>
      </c>
      <c r="AC517" s="106">
        <f>AA517/(Z517+AB517)</f>
        <v>0.86850942908809081</v>
      </c>
    </row>
    <row r="518" spans="1:30" s="62" customFormat="1">
      <c r="A518" s="134">
        <v>42915</v>
      </c>
      <c r="B518" s="60"/>
      <c r="C518" s="60"/>
      <c r="D518" s="62" t="s">
        <v>20</v>
      </c>
      <c r="E518" s="62">
        <v>2</v>
      </c>
      <c r="F518" s="89">
        <v>180</v>
      </c>
      <c r="G518" s="89">
        <v>2</v>
      </c>
      <c r="H518" s="62">
        <v>250</v>
      </c>
      <c r="I518" s="62">
        <v>10</v>
      </c>
      <c r="J518" s="62">
        <v>0</v>
      </c>
      <c r="K518" s="62">
        <v>6</v>
      </c>
      <c r="L518" s="62">
        <v>0</v>
      </c>
      <c r="M518" s="62">
        <v>5</v>
      </c>
      <c r="N518" s="62">
        <v>0</v>
      </c>
      <c r="P518" s="120">
        <f t="shared" si="48"/>
        <v>833.33333333333337</v>
      </c>
      <c r="Q518" s="120">
        <f t="shared" si="49"/>
        <v>83.333333333333329</v>
      </c>
      <c r="R518" s="106">
        <f t="shared" si="45"/>
        <v>0.90909090909090906</v>
      </c>
      <c r="S518" s="181">
        <f>(SUM(P517:P520)/(SUM(P517:Q520)))</f>
        <v>0.48512790005948836</v>
      </c>
      <c r="T518" s="65"/>
      <c r="U518" s="65"/>
      <c r="V518" s="65"/>
      <c r="Y518" s="89"/>
      <c r="Z518" s="357"/>
      <c r="AA518" s="120"/>
      <c r="AB518" s="120"/>
    </row>
    <row r="519" spans="1:30" s="62" customFormat="1">
      <c r="A519" s="134">
        <v>42915</v>
      </c>
      <c r="B519" s="60"/>
      <c r="C519" s="60"/>
      <c r="D519" s="62" t="s">
        <v>20</v>
      </c>
      <c r="E519" s="62">
        <v>2</v>
      </c>
      <c r="F519" s="89">
        <v>100</v>
      </c>
      <c r="G519" s="89">
        <v>1</v>
      </c>
      <c r="H519" s="62">
        <v>250</v>
      </c>
      <c r="I519" s="62">
        <v>10</v>
      </c>
      <c r="J519" s="62">
        <v>4</v>
      </c>
      <c r="K519" s="62">
        <v>11</v>
      </c>
      <c r="L519" s="62">
        <v>1</v>
      </c>
      <c r="M519" s="62">
        <v>12</v>
      </c>
      <c r="N519" s="62">
        <v>6</v>
      </c>
      <c r="P519" s="120">
        <f t="shared" si="48"/>
        <v>1583.3333333333333</v>
      </c>
      <c r="Q519" s="120">
        <f t="shared" si="49"/>
        <v>500</v>
      </c>
      <c r="R519" s="106">
        <f t="shared" si="45"/>
        <v>0.76000000000000012</v>
      </c>
      <c r="S519" s="182"/>
      <c r="T519" s="65"/>
      <c r="U519" s="65"/>
      <c r="V519" s="65"/>
      <c r="Y519" s="89"/>
      <c r="Z519" s="357"/>
      <c r="AA519" s="120"/>
      <c r="AB519" s="120"/>
    </row>
    <row r="520" spans="1:30" s="62" customFormat="1">
      <c r="A520" s="134">
        <v>42915</v>
      </c>
      <c r="B520" s="60"/>
      <c r="C520" s="60"/>
      <c r="D520" s="62" t="s">
        <v>20</v>
      </c>
      <c r="E520" s="62">
        <v>2</v>
      </c>
      <c r="F520" s="89" t="s">
        <v>203</v>
      </c>
      <c r="G520" s="89">
        <v>1</v>
      </c>
      <c r="H520" s="249">
        <v>250</v>
      </c>
      <c r="I520" s="62">
        <v>4</v>
      </c>
      <c r="J520" s="62">
        <v>3</v>
      </c>
      <c r="K520" s="62">
        <v>4</v>
      </c>
      <c r="L520" s="62">
        <v>3</v>
      </c>
      <c r="M520" s="62">
        <v>3</v>
      </c>
      <c r="N520" s="62">
        <v>2</v>
      </c>
      <c r="P520" s="120">
        <f t="shared" si="48"/>
        <v>166.66666666666666</v>
      </c>
      <c r="Q520" s="120">
        <f t="shared" si="49"/>
        <v>2166.6666666666665</v>
      </c>
      <c r="R520" s="106">
        <f t="shared" si="45"/>
        <v>7.1428571428571438E-2</v>
      </c>
      <c r="S520" s="182"/>
      <c r="T520" s="65"/>
      <c r="U520" s="65"/>
      <c r="V520" s="65"/>
      <c r="Y520" s="89"/>
      <c r="Z520" s="357"/>
      <c r="AA520" s="120"/>
      <c r="AB520" s="120"/>
    </row>
    <row r="521" spans="1:30" s="62" customFormat="1">
      <c r="A521" s="134">
        <v>42915</v>
      </c>
      <c r="B521" s="60"/>
      <c r="C521" s="60"/>
      <c r="D521" s="61" t="s">
        <v>84</v>
      </c>
      <c r="E521" s="62">
        <v>2</v>
      </c>
      <c r="F521" s="89">
        <v>224</v>
      </c>
      <c r="G521" s="89">
        <v>2</v>
      </c>
      <c r="H521" s="249">
        <v>230</v>
      </c>
      <c r="I521" s="62">
        <v>1</v>
      </c>
      <c r="J521" s="62">
        <v>0</v>
      </c>
      <c r="K521" s="62">
        <v>1</v>
      </c>
      <c r="L521" s="62">
        <v>1</v>
      </c>
      <c r="M521" s="62">
        <v>1</v>
      </c>
      <c r="N521" s="62">
        <v>2</v>
      </c>
      <c r="P521" s="120">
        <f t="shared" si="48"/>
        <v>76.666666666666657</v>
      </c>
      <c r="Q521" s="120">
        <f t="shared" si="49"/>
        <v>0</v>
      </c>
      <c r="R521" s="106">
        <f t="shared" si="45"/>
        <v>1</v>
      </c>
      <c r="S521" s="183" t="str">
        <f>D521</f>
        <v>NF-10 Ambient</v>
      </c>
      <c r="T521" s="65"/>
      <c r="U521" s="65"/>
      <c r="V521" s="65"/>
      <c r="Y521" s="89" t="str">
        <f>D521</f>
        <v>NF-10 Ambient</v>
      </c>
      <c r="Z521" s="351">
        <f>SUMIFS($P$445:$P$508, $D$445:$D$508, Y521, $F$445:$F$508, "&lt;200") + SUMIFS($Q$445:$Q$508, $D$445:$D$508, Y521, $F$445:$F$508, "&lt;200")</f>
        <v>8450</v>
      </c>
      <c r="AA521" s="120">
        <f>SUM(P521:Q524)</f>
        <v>24453.333333333328</v>
      </c>
      <c r="AB521" s="120">
        <f>SUMIFS(Collection!O:O, Collection!B:B, "*" &amp; 'Bucket Counts'!Y521 &amp; "*", Collection!A:A, "&lt;" &amp; 'Bucket Counts'!A521,Collection!A:A,  "&gt;=" &amp; 'Bucket Counts'!$A$445)</f>
        <v>0</v>
      </c>
      <c r="AC521" s="106">
        <f>AA521/(Z521+AB521)</f>
        <v>2.8938856015779089</v>
      </c>
    </row>
    <row r="522" spans="1:30" s="62" customFormat="1">
      <c r="A522" s="134">
        <v>42915</v>
      </c>
      <c r="B522" s="60"/>
      <c r="C522" s="60"/>
      <c r="D522" s="61" t="s">
        <v>84</v>
      </c>
      <c r="E522" s="62">
        <v>2</v>
      </c>
      <c r="F522" s="89">
        <v>180</v>
      </c>
      <c r="G522" s="89">
        <v>2</v>
      </c>
      <c r="H522" s="249">
        <v>290</v>
      </c>
      <c r="I522" s="62">
        <v>10</v>
      </c>
      <c r="J522" s="62">
        <v>1</v>
      </c>
      <c r="K522" s="62">
        <v>5</v>
      </c>
      <c r="L522" s="62">
        <v>0</v>
      </c>
      <c r="M522" s="62">
        <v>5</v>
      </c>
      <c r="N522" s="62">
        <v>1</v>
      </c>
      <c r="P522" s="120">
        <f t="shared" si="48"/>
        <v>3576.666666666667</v>
      </c>
      <c r="Q522" s="120">
        <f t="shared" si="49"/>
        <v>0</v>
      </c>
      <c r="R522" s="106">
        <f t="shared" si="45"/>
        <v>1</v>
      </c>
      <c r="S522" s="181">
        <f>(SUM(P521:P524)/(SUM(P521:Q524)))</f>
        <v>0.88413304252998914</v>
      </c>
      <c r="T522" s="65"/>
      <c r="U522" s="65"/>
      <c r="V522" s="65"/>
      <c r="Y522" s="89"/>
      <c r="Z522" s="357"/>
      <c r="AA522" s="120"/>
      <c r="AB522" s="120"/>
    </row>
    <row r="523" spans="1:30" s="62" customFormat="1">
      <c r="A523" s="134">
        <v>42915</v>
      </c>
      <c r="B523" s="60"/>
      <c r="C523" s="60"/>
      <c r="D523" s="61" t="s">
        <v>84</v>
      </c>
      <c r="E523" s="62">
        <v>2</v>
      </c>
      <c r="F523" s="89">
        <v>100</v>
      </c>
      <c r="G523" s="89">
        <v>1</v>
      </c>
      <c r="H523" s="249">
        <v>290</v>
      </c>
      <c r="I523" s="62">
        <v>7</v>
      </c>
      <c r="J523" s="62">
        <v>2</v>
      </c>
      <c r="K523" s="62">
        <v>6</v>
      </c>
      <c r="L523" s="62">
        <v>3</v>
      </c>
      <c r="M523" s="62">
        <v>6</v>
      </c>
      <c r="N523" s="62">
        <v>1</v>
      </c>
      <c r="P523" s="120">
        <f t="shared" si="48"/>
        <v>17883.333333333332</v>
      </c>
      <c r="Q523" s="120">
        <f t="shared" si="49"/>
        <v>0</v>
      </c>
      <c r="R523" s="106">
        <f t="shared" si="45"/>
        <v>1</v>
      </c>
      <c r="S523" s="182"/>
      <c r="T523" s="65"/>
      <c r="U523" s="65"/>
      <c r="V523" s="65"/>
      <c r="Y523" s="89"/>
      <c r="Z523" s="357"/>
      <c r="AA523" s="120"/>
      <c r="AB523" s="120"/>
    </row>
    <row r="524" spans="1:30" s="62" customFormat="1">
      <c r="A524" s="134">
        <v>42915</v>
      </c>
      <c r="B524" s="60"/>
      <c r="C524" s="60"/>
      <c r="D524" s="61" t="s">
        <v>84</v>
      </c>
      <c r="E524" s="62">
        <v>2</v>
      </c>
      <c r="F524" s="89" t="s">
        <v>203</v>
      </c>
      <c r="G524" s="89">
        <v>1</v>
      </c>
      <c r="H524" s="249">
        <v>250</v>
      </c>
      <c r="I524" s="62">
        <v>1</v>
      </c>
      <c r="J524" s="62">
        <v>11</v>
      </c>
      <c r="K524" s="62">
        <v>1</v>
      </c>
      <c r="L524" s="62">
        <v>9</v>
      </c>
      <c r="M524" s="62">
        <v>0</v>
      </c>
      <c r="N524" s="62">
        <v>6</v>
      </c>
      <c r="P524" s="120">
        <f t="shared" si="48"/>
        <v>83.333333333333329</v>
      </c>
      <c r="Q524" s="120">
        <f t="shared" si="49"/>
        <v>2833.3333333333335</v>
      </c>
      <c r="R524" s="106">
        <f t="shared" si="45"/>
        <v>2.8571428571428567E-2</v>
      </c>
      <c r="S524" s="182"/>
      <c r="T524" s="65"/>
      <c r="U524" s="65"/>
      <c r="V524" s="65"/>
      <c r="Y524" s="89"/>
      <c r="Z524" s="357"/>
      <c r="AA524" s="120"/>
      <c r="AB524" s="120"/>
    </row>
    <row r="525" spans="1:30" s="62" customFormat="1">
      <c r="A525" s="134">
        <v>42915</v>
      </c>
      <c r="B525" s="60"/>
      <c r="C525" s="60"/>
      <c r="D525" s="62" t="s">
        <v>109</v>
      </c>
      <c r="E525" s="62">
        <v>3</v>
      </c>
      <c r="F525" s="89">
        <v>224</v>
      </c>
      <c r="G525" s="89">
        <v>1</v>
      </c>
      <c r="H525" s="249">
        <v>330</v>
      </c>
      <c r="I525" s="62">
        <v>1</v>
      </c>
      <c r="J525" s="62">
        <v>0</v>
      </c>
      <c r="K525" s="62">
        <v>0</v>
      </c>
      <c r="L525" s="62">
        <v>0</v>
      </c>
      <c r="M525" s="62">
        <v>1</v>
      </c>
      <c r="N525" s="62">
        <v>0</v>
      </c>
      <c r="P525" s="120">
        <f t="shared" si="48"/>
        <v>220</v>
      </c>
      <c r="Q525" s="120">
        <f t="shared" si="49"/>
        <v>0</v>
      </c>
      <c r="R525" s="106">
        <f t="shared" si="45"/>
        <v>1</v>
      </c>
      <c r="S525" s="183" t="str">
        <f>D525</f>
        <v>HL-10 Low</v>
      </c>
      <c r="T525" s="65"/>
      <c r="U525" s="65"/>
      <c r="V525" s="65"/>
      <c r="Y525" s="89" t="str">
        <f>D525</f>
        <v>HL-10 Low</v>
      </c>
      <c r="Z525" s="351">
        <f>SUMIFS($P$445:$P$508, $D$445:$D$508, Y525, $F$445:$F$508, "&lt;200") + SUMIFS($Q$445:$Q$508, $D$445:$D$508, Y525, $F$445:$F$508, "&lt;200")</f>
        <v>45833.333333333328</v>
      </c>
      <c r="AA525" s="120">
        <f>SUM(P525:Q528)</f>
        <v>14086.666666666666</v>
      </c>
      <c r="AB525" s="120">
        <f>SUMIFS(Collection!O:O, Collection!B:B, "*" &amp; 'Bucket Counts'!Y525 &amp; "*", Collection!A:A, "&lt;" &amp; 'Bucket Counts'!A525,Collection!A:A,  "&gt;=" &amp; 'Bucket Counts'!$A$445)</f>
        <v>0</v>
      </c>
      <c r="AC525" s="106">
        <f>AA525/(Z525+AB525)</f>
        <v>0.30734545454545459</v>
      </c>
    </row>
    <row r="526" spans="1:30" s="62" customFormat="1">
      <c r="A526" s="134">
        <v>42915</v>
      </c>
      <c r="B526" s="60"/>
      <c r="C526" s="60"/>
      <c r="D526" s="62" t="s">
        <v>109</v>
      </c>
      <c r="E526" s="62">
        <v>3</v>
      </c>
      <c r="F526" s="89">
        <v>180</v>
      </c>
      <c r="G526" s="89">
        <v>1</v>
      </c>
      <c r="H526" s="249">
        <v>490</v>
      </c>
      <c r="I526" s="62">
        <v>19</v>
      </c>
      <c r="J526" s="62">
        <v>0</v>
      </c>
      <c r="K526" s="62">
        <v>26</v>
      </c>
      <c r="L526" s="62">
        <v>0</v>
      </c>
      <c r="M526" s="62">
        <v>29</v>
      </c>
      <c r="N526" s="62">
        <v>0</v>
      </c>
      <c r="P526" s="120">
        <f t="shared" si="48"/>
        <v>7186.6666666666661</v>
      </c>
      <c r="Q526" s="120">
        <f t="shared" si="49"/>
        <v>0</v>
      </c>
      <c r="R526" s="106">
        <f t="shared" si="45"/>
        <v>1</v>
      </c>
      <c r="S526" s="181">
        <f>(SUM(P525:P528)/(SUM(P525:Q528)))</f>
        <v>0.90558447704685285</v>
      </c>
      <c r="T526" s="65"/>
      <c r="U526" s="65"/>
      <c r="V526" s="65"/>
      <c r="Y526" s="89"/>
      <c r="Z526" s="357"/>
      <c r="AA526" s="120"/>
      <c r="AB526" s="120"/>
    </row>
    <row r="527" spans="1:30" s="62" customFormat="1">
      <c r="A527" s="134">
        <v>42915</v>
      </c>
      <c r="B527" s="60"/>
      <c r="C527" s="60"/>
      <c r="D527" s="62" t="s">
        <v>109</v>
      </c>
      <c r="E527" s="62">
        <v>3</v>
      </c>
      <c r="F527" s="89">
        <v>100</v>
      </c>
      <c r="G527" s="89">
        <v>1</v>
      </c>
      <c r="H527" s="249">
        <v>480</v>
      </c>
      <c r="I527" s="62">
        <v>64</v>
      </c>
      <c r="J527" s="62">
        <v>0</v>
      </c>
      <c r="K527" s="62">
        <v>64</v>
      </c>
      <c r="L527" s="62">
        <v>0</v>
      </c>
      <c r="M527" s="62">
        <v>57</v>
      </c>
      <c r="N527" s="62">
        <v>0</v>
      </c>
      <c r="P527" s="120">
        <f t="shared" si="48"/>
        <v>5120</v>
      </c>
      <c r="Q527" s="120">
        <f t="shared" si="49"/>
        <v>640</v>
      </c>
      <c r="R527" s="106">
        <f t="shared" si="45"/>
        <v>0.88888888888888884</v>
      </c>
      <c r="S527" s="182"/>
      <c r="T527" s="65"/>
      <c r="U527" s="65"/>
      <c r="V527" s="65"/>
      <c r="Y527" s="89"/>
      <c r="Z527" s="357"/>
      <c r="AA527" s="120"/>
      <c r="AB527" s="120"/>
    </row>
    <row r="528" spans="1:30" s="62" customFormat="1">
      <c r="A528" s="134">
        <v>42915</v>
      </c>
      <c r="B528" s="60"/>
      <c r="C528" s="60"/>
      <c r="D528" s="62" t="s">
        <v>109</v>
      </c>
      <c r="E528" s="62">
        <v>3</v>
      </c>
      <c r="F528" s="89" t="s">
        <v>203</v>
      </c>
      <c r="G528" s="89">
        <v>1</v>
      </c>
      <c r="H528" s="62">
        <v>230</v>
      </c>
      <c r="I528" s="62">
        <v>0</v>
      </c>
      <c r="J528" s="62">
        <v>15</v>
      </c>
      <c r="K528" s="62">
        <v>0</v>
      </c>
      <c r="L528" s="62">
        <v>5</v>
      </c>
      <c r="M528" s="62">
        <v>1</v>
      </c>
      <c r="N528" s="62">
        <v>14</v>
      </c>
      <c r="P528" s="120">
        <f t="shared" si="48"/>
        <v>230</v>
      </c>
      <c r="Q528" s="120">
        <f t="shared" si="49"/>
        <v>690</v>
      </c>
      <c r="R528" s="106">
        <f t="shared" si="45"/>
        <v>0.25</v>
      </c>
      <c r="S528" s="182"/>
      <c r="T528" s="65"/>
      <c r="U528" s="65"/>
      <c r="V528" s="65"/>
      <c r="Y528" s="89"/>
      <c r="Z528" s="357"/>
      <c r="AA528" s="120"/>
      <c r="AB528" s="120"/>
    </row>
    <row r="529" spans="1:29" s="62" customFormat="1">
      <c r="A529" s="134">
        <v>42915</v>
      </c>
      <c r="B529" s="60"/>
      <c r="C529" s="60"/>
      <c r="D529" s="62" t="s">
        <v>17</v>
      </c>
      <c r="E529" s="62">
        <v>3</v>
      </c>
      <c r="F529" s="89">
        <v>224</v>
      </c>
      <c r="G529" s="89">
        <v>1</v>
      </c>
      <c r="H529" s="62">
        <v>230</v>
      </c>
      <c r="I529" s="62">
        <v>1</v>
      </c>
      <c r="J529" s="62">
        <v>0</v>
      </c>
      <c r="K529" s="62">
        <v>0</v>
      </c>
      <c r="L529" s="62">
        <v>0</v>
      </c>
      <c r="M529" s="62">
        <v>1</v>
      </c>
      <c r="N529" s="62">
        <v>0</v>
      </c>
      <c r="P529" s="120">
        <f t="shared" si="48"/>
        <v>230</v>
      </c>
      <c r="Q529" s="120">
        <f t="shared" si="49"/>
        <v>76.666666666666657</v>
      </c>
      <c r="R529" s="106">
        <f t="shared" si="45"/>
        <v>0.75000000000000011</v>
      </c>
      <c r="S529" s="183" t="str">
        <f>D529</f>
        <v>K-10 Ambient</v>
      </c>
      <c r="T529" s="65"/>
      <c r="U529" s="65"/>
      <c r="V529" s="65"/>
      <c r="Y529" s="89" t="str">
        <f>D529</f>
        <v>K-10 Ambient</v>
      </c>
      <c r="Z529" s="351">
        <f>SUMIFS($P$445:$P$508, $D$445:$D$508, Y529, $F$445:$F$508, "&lt;200") + SUMIFS($Q$445:$Q$508, $D$445:$D$508, Y529, $F$445:$F$508, "&lt;200")</f>
        <v>11090</v>
      </c>
      <c r="AA529" s="120">
        <f>SUM(P529:Q532)</f>
        <v>9140</v>
      </c>
      <c r="AB529" s="120">
        <f>SUMIFS(Collection!O:O, Collection!B:B, "*" &amp; 'Bucket Counts'!Y529 &amp; "*", Collection!A:A, "&lt;" &amp; 'Bucket Counts'!A529,Collection!A:A,  "&gt;=" &amp; 'Bucket Counts'!$A$445)</f>
        <v>0</v>
      </c>
      <c r="AC529" s="106">
        <f>AA529/(Z529+AB529)</f>
        <v>0.82416591523895399</v>
      </c>
    </row>
    <row r="530" spans="1:29" s="62" customFormat="1">
      <c r="A530" s="134">
        <v>42915</v>
      </c>
      <c r="B530" s="60"/>
      <c r="C530" s="60"/>
      <c r="D530" s="62" t="s">
        <v>17</v>
      </c>
      <c r="E530" s="62">
        <v>3</v>
      </c>
      <c r="F530" s="89">
        <v>180</v>
      </c>
      <c r="G530" s="89">
        <v>1</v>
      </c>
      <c r="H530" s="62">
        <v>275</v>
      </c>
      <c r="I530" s="62">
        <v>16</v>
      </c>
      <c r="J530" s="62">
        <v>0</v>
      </c>
      <c r="K530" s="62">
        <v>12</v>
      </c>
      <c r="L530" s="62">
        <v>0</v>
      </c>
      <c r="M530" s="62">
        <v>16</v>
      </c>
      <c r="N530" s="62">
        <v>0</v>
      </c>
      <c r="P530" s="120">
        <f t="shared" ref="P530:P535" si="50">(AVERAGE(I530,K530,M530)/G530)*H530</f>
        <v>4033.333333333333</v>
      </c>
      <c r="Q530" s="120">
        <f t="shared" si="44"/>
        <v>0</v>
      </c>
      <c r="R530" s="106">
        <f t="shared" si="45"/>
        <v>1</v>
      </c>
      <c r="S530" s="181">
        <f>(SUM(P529:P532)/(SUM(P529:Q532)))</f>
        <v>0.84938001458789203</v>
      </c>
      <c r="T530" s="65"/>
      <c r="Y530" s="89"/>
      <c r="Z530" s="357"/>
      <c r="AA530" s="120"/>
      <c r="AB530" s="120"/>
    </row>
    <row r="531" spans="1:29" s="62" customFormat="1">
      <c r="A531" s="134">
        <v>42915</v>
      </c>
      <c r="B531" s="60"/>
      <c r="C531" s="60"/>
      <c r="D531" s="62" t="s">
        <v>17</v>
      </c>
      <c r="E531" s="62">
        <v>3</v>
      </c>
      <c r="F531" s="89">
        <v>100</v>
      </c>
      <c r="G531" s="89">
        <v>1</v>
      </c>
      <c r="H531" s="62">
        <v>300</v>
      </c>
      <c r="I531" s="62">
        <v>9</v>
      </c>
      <c r="J531" s="62">
        <v>1</v>
      </c>
      <c r="K531" s="62">
        <v>11</v>
      </c>
      <c r="L531" s="62">
        <v>1</v>
      </c>
      <c r="M531" s="62">
        <v>12</v>
      </c>
      <c r="N531" s="62">
        <v>2</v>
      </c>
      <c r="P531" s="120">
        <f t="shared" si="50"/>
        <v>3200</v>
      </c>
      <c r="Q531" s="120">
        <f t="shared" si="44"/>
        <v>400</v>
      </c>
      <c r="R531" s="106">
        <f t="shared" si="45"/>
        <v>0.88888888888888884</v>
      </c>
      <c r="S531" s="182"/>
      <c r="T531" s="65"/>
      <c r="Y531" s="89"/>
      <c r="Z531" s="357"/>
      <c r="AA531" s="120"/>
      <c r="AB531" s="120"/>
    </row>
    <row r="532" spans="1:29" s="62" customFormat="1">
      <c r="A532" s="134">
        <v>42915</v>
      </c>
      <c r="B532" s="60"/>
      <c r="C532" s="60"/>
      <c r="D532" s="62" t="s">
        <v>17</v>
      </c>
      <c r="E532" s="62">
        <v>3</v>
      </c>
      <c r="F532" s="89" t="s">
        <v>203</v>
      </c>
      <c r="G532" s="89">
        <v>1</v>
      </c>
      <c r="H532" s="62">
        <v>300</v>
      </c>
      <c r="I532" s="62">
        <v>1</v>
      </c>
      <c r="J532" s="62">
        <v>2</v>
      </c>
      <c r="K532" s="62">
        <v>1</v>
      </c>
      <c r="L532" s="62">
        <v>5</v>
      </c>
      <c r="M532" s="62">
        <v>1</v>
      </c>
      <c r="N532" s="62">
        <v>2</v>
      </c>
      <c r="P532" s="120">
        <f t="shared" si="50"/>
        <v>300</v>
      </c>
      <c r="Q532" s="120">
        <f t="shared" si="44"/>
        <v>900</v>
      </c>
      <c r="R532" s="106">
        <f t="shared" si="45"/>
        <v>0.25</v>
      </c>
      <c r="S532" s="182"/>
      <c r="T532" s="65"/>
      <c r="Y532" s="89"/>
      <c r="Z532" s="357"/>
      <c r="AA532" s="120"/>
      <c r="AB532" s="120"/>
    </row>
    <row r="533" spans="1:29" s="62" customFormat="1">
      <c r="A533" s="134">
        <v>42915</v>
      </c>
      <c r="B533" s="60"/>
      <c r="C533" s="60"/>
      <c r="D533" s="61" t="s">
        <v>88</v>
      </c>
      <c r="E533" s="62">
        <v>4</v>
      </c>
      <c r="F533" s="89">
        <v>224</v>
      </c>
      <c r="G533" s="89">
        <v>1</v>
      </c>
      <c r="H533" s="62">
        <v>350</v>
      </c>
      <c r="I533" s="62">
        <v>1</v>
      </c>
      <c r="J533" s="62">
        <v>0</v>
      </c>
      <c r="K533" s="62">
        <v>1</v>
      </c>
      <c r="L533" s="62">
        <v>0</v>
      </c>
      <c r="M533" s="62">
        <v>1</v>
      </c>
      <c r="N533" s="62">
        <v>1</v>
      </c>
      <c r="P533" s="120">
        <f t="shared" si="50"/>
        <v>350</v>
      </c>
      <c r="Q533" s="120">
        <f t="shared" si="44"/>
        <v>116.66666666666666</v>
      </c>
      <c r="R533" s="106">
        <f t="shared" si="45"/>
        <v>0.75000000000000011</v>
      </c>
      <c r="S533" s="180" t="str">
        <f>D533</f>
        <v>HL-10 Ambient</v>
      </c>
      <c r="T533" s="65"/>
      <c r="Y533" s="89" t="str">
        <f>D533</f>
        <v>HL-10 Ambient</v>
      </c>
      <c r="Z533" s="351">
        <f>SUMIFS($P$445:$P$508, $D$445:$D$508, Y533, $F$445:$F$508, "&lt;200") + SUMIFS($Q$445:$Q$508, $D$445:$D$508, Y533, $F$445:$F$508, "&lt;200")</f>
        <v>23720</v>
      </c>
      <c r="AA533" s="120">
        <f>SUM(P533:Q536)</f>
        <v>24333.333333333336</v>
      </c>
      <c r="AB533" s="120">
        <f>SUMIFS(Collection!O:O, Collection!B:B, "*" &amp; 'Bucket Counts'!Y533 &amp; "*", Collection!A:A, "&lt;" &amp; 'Bucket Counts'!A533,Collection!A:A,  "&gt;=" &amp; 'Bucket Counts'!$A$445)</f>
        <v>0</v>
      </c>
      <c r="AC533" s="106">
        <f>AA533/(Z533+AB533)</f>
        <v>1.0258572231590783</v>
      </c>
    </row>
    <row r="534" spans="1:29" s="62" customFormat="1">
      <c r="A534" s="134">
        <v>42915</v>
      </c>
      <c r="B534" s="60"/>
      <c r="C534" s="60"/>
      <c r="D534" s="61" t="s">
        <v>88</v>
      </c>
      <c r="E534" s="62">
        <v>4</v>
      </c>
      <c r="F534" s="89">
        <v>180</v>
      </c>
      <c r="G534" s="89">
        <v>1</v>
      </c>
      <c r="H534" s="62">
        <v>350</v>
      </c>
      <c r="I534" s="62">
        <v>9</v>
      </c>
      <c r="J534" s="62">
        <v>1</v>
      </c>
      <c r="K534" s="62">
        <v>12</v>
      </c>
      <c r="L534" s="62">
        <v>1</v>
      </c>
      <c r="M534" s="62">
        <v>12</v>
      </c>
      <c r="N534" s="62">
        <v>1</v>
      </c>
      <c r="P534" s="120">
        <f t="shared" si="50"/>
        <v>3850</v>
      </c>
      <c r="Q534" s="120">
        <f t="shared" si="44"/>
        <v>350</v>
      </c>
      <c r="R534" s="106">
        <f t="shared" si="45"/>
        <v>0.91666666666666663</v>
      </c>
      <c r="S534" s="181">
        <f>(SUM(P533:P536)/(SUM(P533:Q536)))</f>
        <v>0.5</v>
      </c>
      <c r="T534" s="65"/>
      <c r="Y534" s="89"/>
      <c r="Z534" s="357"/>
      <c r="AA534" s="120"/>
      <c r="AB534" s="120"/>
    </row>
    <row r="535" spans="1:29" s="62" customFormat="1">
      <c r="A535" s="134">
        <v>42915</v>
      </c>
      <c r="B535" s="60"/>
      <c r="C535" s="60"/>
      <c r="D535" s="61" t="s">
        <v>88</v>
      </c>
      <c r="E535" s="62">
        <v>4</v>
      </c>
      <c r="F535" s="89">
        <v>100</v>
      </c>
      <c r="G535" s="89">
        <v>1</v>
      </c>
      <c r="H535" s="150">
        <v>400</v>
      </c>
      <c r="I535" s="62">
        <v>30</v>
      </c>
      <c r="J535" s="62">
        <v>5</v>
      </c>
      <c r="K535" s="62">
        <v>15</v>
      </c>
      <c r="L535" s="62">
        <v>9</v>
      </c>
      <c r="M535" s="62">
        <v>14</v>
      </c>
      <c r="N535" s="62">
        <v>13</v>
      </c>
      <c r="P535" s="120">
        <f t="shared" si="50"/>
        <v>7866.666666666667</v>
      </c>
      <c r="Q535" s="120">
        <f t="shared" si="44"/>
        <v>3600</v>
      </c>
      <c r="R535" s="106">
        <f t="shared" si="45"/>
        <v>0.68604651162790697</v>
      </c>
      <c r="S535" s="179"/>
      <c r="T535" s="65"/>
      <c r="Y535" s="89"/>
      <c r="Z535" s="357"/>
      <c r="AA535" s="120"/>
      <c r="AB535" s="120"/>
    </row>
    <row r="536" spans="1:29" s="62" customFormat="1">
      <c r="A536" s="134">
        <v>42915</v>
      </c>
      <c r="B536" s="60"/>
      <c r="C536" s="60"/>
      <c r="D536" s="61" t="s">
        <v>88</v>
      </c>
      <c r="E536" s="62">
        <v>4</v>
      </c>
      <c r="F536" s="89" t="s">
        <v>203</v>
      </c>
      <c r="G536" s="89">
        <v>1</v>
      </c>
      <c r="H536" s="150">
        <v>300</v>
      </c>
      <c r="I536" s="62">
        <v>1</v>
      </c>
      <c r="J536" s="62">
        <v>24</v>
      </c>
      <c r="K536" s="62">
        <v>0</v>
      </c>
      <c r="L536" s="62">
        <v>31</v>
      </c>
      <c r="M536" s="62">
        <v>0</v>
      </c>
      <c r="N536" s="62">
        <v>26</v>
      </c>
      <c r="P536" s="120">
        <f>(AVERAGE(I536,K536,M536)/G536)*H536</f>
        <v>100</v>
      </c>
      <c r="Q536" s="120">
        <f t="shared" si="44"/>
        <v>8100</v>
      </c>
      <c r="R536" s="106">
        <f t="shared" si="45"/>
        <v>1.2195121951219513E-2</v>
      </c>
      <c r="S536" s="182"/>
      <c r="T536" s="65"/>
      <c r="Y536" s="89"/>
      <c r="Z536" s="357"/>
      <c r="AA536" s="120"/>
      <c r="AB536" s="120"/>
    </row>
    <row r="537" spans="1:29" s="62" customFormat="1">
      <c r="A537" s="134">
        <v>42915</v>
      </c>
      <c r="B537" s="60"/>
      <c r="C537" s="60"/>
      <c r="D537" s="61" t="s">
        <v>46</v>
      </c>
      <c r="E537" s="62">
        <v>4</v>
      </c>
      <c r="F537" s="89">
        <v>224</v>
      </c>
      <c r="G537" s="89">
        <v>1</v>
      </c>
      <c r="H537" s="62">
        <v>300</v>
      </c>
      <c r="I537" s="62">
        <v>8</v>
      </c>
      <c r="J537" s="62">
        <v>0</v>
      </c>
      <c r="K537" s="62">
        <v>7</v>
      </c>
      <c r="L537" s="62">
        <v>0</v>
      </c>
      <c r="M537" s="62">
        <v>5</v>
      </c>
      <c r="N537" s="62">
        <v>0</v>
      </c>
      <c r="P537" s="120">
        <f t="shared" ref="P537:P549" si="51">(AVERAGE(I537,K537,M537)/G537)*H537</f>
        <v>2000</v>
      </c>
      <c r="Q537" s="120">
        <f t="shared" si="44"/>
        <v>0</v>
      </c>
      <c r="R537" s="106">
        <f t="shared" si="45"/>
        <v>1</v>
      </c>
      <c r="S537" s="183" t="str">
        <f>D537</f>
        <v>K-6 Low</v>
      </c>
      <c r="T537" s="65"/>
      <c r="Y537" s="89" t="str">
        <f>D537</f>
        <v>K-6 Low</v>
      </c>
      <c r="Z537" s="351">
        <f>SUMIFS($P$445:$P$508, $D$445:$D$508, Y537, $F$445:$F$508, "&lt;200") + SUMIFS($Q$445:$Q$508, $D$445:$D$508, Y537, $F$445:$F$508, "&lt;200")</f>
        <v>17900</v>
      </c>
      <c r="AA537" s="120">
        <f>SUM(P537:Q540)</f>
        <v>25583.333333333328</v>
      </c>
      <c r="AB537" s="120">
        <f>SUMIFS(Collection!O:O, Collection!B:B, "*" &amp; 'Bucket Counts'!Y537 &amp; "*", Collection!A:A, "&lt;" &amp; 'Bucket Counts'!A537,Collection!A:A,  "&gt;=" &amp; 'Bucket Counts'!$A$445)</f>
        <v>0</v>
      </c>
      <c r="AC537" s="106">
        <f>AA537/(Z537+AB537)</f>
        <v>1.429236499068901</v>
      </c>
    </row>
    <row r="538" spans="1:29" s="62" customFormat="1">
      <c r="A538" s="134">
        <v>42915</v>
      </c>
      <c r="B538" s="60"/>
      <c r="C538" s="60"/>
      <c r="D538" s="61" t="s">
        <v>46</v>
      </c>
      <c r="E538" s="62">
        <v>4</v>
      </c>
      <c r="F538" s="89">
        <v>180</v>
      </c>
      <c r="G538" s="89">
        <v>1</v>
      </c>
      <c r="H538" s="62">
        <v>350</v>
      </c>
      <c r="I538" s="62">
        <v>38</v>
      </c>
      <c r="J538" s="62">
        <v>0</v>
      </c>
      <c r="K538" s="62">
        <v>25</v>
      </c>
      <c r="L538" s="62">
        <v>0</v>
      </c>
      <c r="M538" s="62">
        <v>39</v>
      </c>
      <c r="N538" s="62">
        <v>1</v>
      </c>
      <c r="P538" s="120">
        <f t="shared" si="51"/>
        <v>11900</v>
      </c>
      <c r="Q538" s="120">
        <f t="shared" si="44"/>
        <v>116.66666666666666</v>
      </c>
      <c r="R538" s="106">
        <f t="shared" si="45"/>
        <v>0.99029126213592233</v>
      </c>
      <c r="S538" s="181">
        <f>(SUM(P537:P540)/(SUM(P537:Q540)))</f>
        <v>0.91986970684039104</v>
      </c>
      <c r="T538" s="65"/>
      <c r="Y538" s="89"/>
      <c r="Z538" s="357"/>
      <c r="AA538" s="120"/>
      <c r="AB538" s="120"/>
    </row>
    <row r="539" spans="1:29" s="62" customFormat="1">
      <c r="A539" s="134">
        <v>42915</v>
      </c>
      <c r="B539" s="60"/>
      <c r="C539" s="60"/>
      <c r="D539" s="61" t="s">
        <v>46</v>
      </c>
      <c r="E539" s="62">
        <v>4</v>
      </c>
      <c r="F539" s="89">
        <v>100</v>
      </c>
      <c r="G539" s="89">
        <v>1</v>
      </c>
      <c r="H539" s="150">
        <v>300</v>
      </c>
      <c r="I539" s="62">
        <v>23</v>
      </c>
      <c r="J539" s="62">
        <v>0</v>
      </c>
      <c r="K539" s="62">
        <v>26</v>
      </c>
      <c r="L539" s="62">
        <v>1</v>
      </c>
      <c r="M539" s="62">
        <v>29</v>
      </c>
      <c r="N539" s="62">
        <v>0</v>
      </c>
      <c r="P539" s="120">
        <f t="shared" si="51"/>
        <v>7800</v>
      </c>
      <c r="Q539" s="120">
        <f t="shared" si="44"/>
        <v>100</v>
      </c>
      <c r="R539" s="106">
        <f t="shared" si="45"/>
        <v>0.98734177215189878</v>
      </c>
      <c r="S539" s="182"/>
      <c r="T539" s="65"/>
      <c r="Y539" s="89"/>
      <c r="Z539" s="357"/>
      <c r="AA539" s="120"/>
      <c r="AB539" s="120"/>
    </row>
    <row r="540" spans="1:29" s="62" customFormat="1">
      <c r="A540" s="134">
        <v>42915</v>
      </c>
      <c r="B540" s="60"/>
      <c r="C540" s="60"/>
      <c r="D540" s="61" t="s">
        <v>46</v>
      </c>
      <c r="E540" s="62">
        <v>4</v>
      </c>
      <c r="F540" s="89" t="s">
        <v>203</v>
      </c>
      <c r="G540" s="89">
        <v>1</v>
      </c>
      <c r="H540" s="150">
        <v>250</v>
      </c>
      <c r="I540" s="62">
        <v>5</v>
      </c>
      <c r="J540" s="62">
        <v>4</v>
      </c>
      <c r="K540" s="62">
        <v>11</v>
      </c>
      <c r="L540" s="62">
        <v>3</v>
      </c>
      <c r="M540" s="62">
        <v>6</v>
      </c>
      <c r="N540" s="62">
        <v>15</v>
      </c>
      <c r="P540" s="120">
        <f t="shared" si="51"/>
        <v>1833.3333333333333</v>
      </c>
      <c r="Q540" s="120">
        <f t="shared" si="44"/>
        <v>1833.3333333333333</v>
      </c>
      <c r="R540" s="106">
        <f t="shared" si="45"/>
        <v>0.5</v>
      </c>
      <c r="S540" s="182"/>
      <c r="T540" s="65"/>
      <c r="Y540" s="89"/>
      <c r="Z540" s="357"/>
      <c r="AA540" s="120"/>
      <c r="AB540" s="120"/>
    </row>
    <row r="541" spans="1:29" s="62" customFormat="1">
      <c r="A541" s="134">
        <v>42915</v>
      </c>
      <c r="B541" s="60"/>
      <c r="C541" s="60"/>
      <c r="D541" s="62" t="s">
        <v>86</v>
      </c>
      <c r="E541" s="62">
        <v>5</v>
      </c>
      <c r="F541" s="89">
        <v>224</v>
      </c>
      <c r="G541" s="89">
        <v>2</v>
      </c>
      <c r="H541" s="62">
        <v>250</v>
      </c>
      <c r="I541" s="62">
        <v>0</v>
      </c>
      <c r="J541" s="62">
        <v>0</v>
      </c>
      <c r="K541" s="62">
        <v>0</v>
      </c>
      <c r="L541" s="62">
        <v>0</v>
      </c>
      <c r="M541" s="62">
        <v>0</v>
      </c>
      <c r="N541" s="62">
        <v>0</v>
      </c>
      <c r="P541" s="120">
        <f t="shared" si="51"/>
        <v>0</v>
      </c>
      <c r="Q541" s="120">
        <f t="shared" si="44"/>
        <v>0</v>
      </c>
      <c r="R541" s="106" t="e">
        <f t="shared" si="45"/>
        <v>#DIV/0!</v>
      </c>
      <c r="S541" s="183" t="str">
        <f>D541</f>
        <v>SN-10 Ambient</v>
      </c>
      <c r="Y541" s="89" t="str">
        <f>D541</f>
        <v>SN-10 Ambient</v>
      </c>
      <c r="Z541" s="351">
        <f>SUMIFS($P$445:$P$508, $D$445:$D$508, Y541, $F$445:$F$508, "&lt;200") + SUMIFS($Q$445:$Q$508, $D$445:$D$508, Y541, $F$445:$F$508, "&lt;200")</f>
        <v>1000</v>
      </c>
      <c r="AA541" s="120">
        <f>SUM(P541:Q544)</f>
        <v>2930</v>
      </c>
      <c r="AB541" s="120">
        <f>SUMIFS(Collection!O:O, Collection!B:B, "*" &amp; 'Bucket Counts'!Y541 &amp; "*", Collection!A:A, "&lt;" &amp; 'Bucket Counts'!A541,Collection!A:A,  "&gt;=" &amp; 'Bucket Counts'!$A$445)</f>
        <v>0</v>
      </c>
      <c r="AC541" s="106">
        <f>AA541/(Z541+AB541)</f>
        <v>2.93</v>
      </c>
    </row>
    <row r="542" spans="1:29" s="62" customFormat="1">
      <c r="A542" s="134">
        <v>42915</v>
      </c>
      <c r="B542" s="60"/>
      <c r="C542" s="60"/>
      <c r="D542" s="62" t="s">
        <v>86</v>
      </c>
      <c r="E542" s="62">
        <v>5</v>
      </c>
      <c r="F542" s="89">
        <v>180</v>
      </c>
      <c r="G542" s="89">
        <v>1</v>
      </c>
      <c r="H542" s="62">
        <v>350</v>
      </c>
      <c r="I542" s="62">
        <v>3</v>
      </c>
      <c r="J542" s="62">
        <v>0</v>
      </c>
      <c r="K542" s="62">
        <v>0</v>
      </c>
      <c r="L542" s="62">
        <v>0</v>
      </c>
      <c r="M542" s="62">
        <v>4</v>
      </c>
      <c r="N542" s="62">
        <v>0</v>
      </c>
      <c r="P542" s="120">
        <f t="shared" si="51"/>
        <v>816.66666666666674</v>
      </c>
      <c r="Q542" s="120">
        <f t="shared" si="44"/>
        <v>0</v>
      </c>
      <c r="R542" s="106">
        <f t="shared" si="45"/>
        <v>1</v>
      </c>
      <c r="S542" s="181">
        <f>(SUM(P541:P544)/(SUM(P541:Q544)))</f>
        <v>0.64391353811149032</v>
      </c>
      <c r="Y542" s="89"/>
      <c r="Z542" s="357"/>
      <c r="AA542" s="120"/>
      <c r="AB542" s="120"/>
    </row>
    <row r="543" spans="1:29" s="62" customFormat="1">
      <c r="A543" s="134">
        <v>42915</v>
      </c>
      <c r="B543" s="60"/>
      <c r="C543" s="60"/>
      <c r="D543" s="62" t="s">
        <v>86</v>
      </c>
      <c r="E543" s="62">
        <v>5</v>
      </c>
      <c r="F543" s="89">
        <v>100</v>
      </c>
      <c r="G543" s="89">
        <v>1</v>
      </c>
      <c r="H543" s="62">
        <v>260</v>
      </c>
      <c r="I543" s="62">
        <v>3</v>
      </c>
      <c r="J543" s="62">
        <v>0</v>
      </c>
      <c r="K543" s="62">
        <v>4</v>
      </c>
      <c r="L543" s="62">
        <v>1</v>
      </c>
      <c r="M543" s="62">
        <v>2</v>
      </c>
      <c r="N543" s="62">
        <v>1</v>
      </c>
      <c r="P543" s="120">
        <f t="shared" si="51"/>
        <v>780</v>
      </c>
      <c r="Q543" s="120">
        <f t="shared" si="44"/>
        <v>173.33333333333331</v>
      </c>
      <c r="R543" s="106">
        <f t="shared" si="45"/>
        <v>0.81818181818181823</v>
      </c>
      <c r="S543" s="182"/>
      <c r="Y543" s="89"/>
      <c r="Z543" s="357"/>
      <c r="AA543" s="120"/>
      <c r="AB543" s="120"/>
    </row>
    <row r="544" spans="1:29" s="62" customFormat="1">
      <c r="A544" s="134">
        <v>42915</v>
      </c>
      <c r="B544" s="60"/>
      <c r="C544" s="60"/>
      <c r="D544" s="62" t="s">
        <v>86</v>
      </c>
      <c r="E544" s="62">
        <v>5</v>
      </c>
      <c r="F544" s="89" t="s">
        <v>203</v>
      </c>
      <c r="G544" s="89">
        <v>1</v>
      </c>
      <c r="H544" s="62">
        <v>290</v>
      </c>
      <c r="I544" s="62">
        <v>2</v>
      </c>
      <c r="J544" s="62">
        <v>2</v>
      </c>
      <c r="K544" s="62">
        <v>1</v>
      </c>
      <c r="L544" s="62">
        <v>3</v>
      </c>
      <c r="M544" s="62">
        <v>0</v>
      </c>
      <c r="N544" s="62">
        <v>4</v>
      </c>
      <c r="P544" s="120">
        <f t="shared" si="51"/>
        <v>290</v>
      </c>
      <c r="Q544" s="120">
        <f t="shared" si="44"/>
        <v>870</v>
      </c>
      <c r="R544" s="106">
        <f t="shared" si="45"/>
        <v>0.25</v>
      </c>
      <c r="S544" s="182"/>
      <c r="Y544" s="89"/>
      <c r="Z544" s="357"/>
      <c r="AA544" s="120"/>
      <c r="AB544" s="120"/>
    </row>
    <row r="545" spans="1:29" s="62" customFormat="1">
      <c r="A545" s="134">
        <v>42915</v>
      </c>
      <c r="B545" s="60"/>
      <c r="C545" s="60"/>
      <c r="D545" s="62" t="s">
        <v>77</v>
      </c>
      <c r="E545" s="62">
        <v>5</v>
      </c>
      <c r="F545" s="89">
        <v>224</v>
      </c>
      <c r="G545" s="89">
        <v>2</v>
      </c>
      <c r="H545" s="62">
        <v>250</v>
      </c>
      <c r="I545" s="62">
        <v>0</v>
      </c>
      <c r="J545" s="62">
        <v>0</v>
      </c>
      <c r="K545" s="62">
        <v>0</v>
      </c>
      <c r="L545" s="62">
        <v>0</v>
      </c>
      <c r="M545" s="62">
        <v>1</v>
      </c>
      <c r="N545" s="62">
        <v>0</v>
      </c>
      <c r="P545" s="120">
        <f t="shared" si="51"/>
        <v>41.666666666666664</v>
      </c>
      <c r="Q545" s="120">
        <f t="shared" si="44"/>
        <v>0</v>
      </c>
      <c r="R545" s="106">
        <f t="shared" si="45"/>
        <v>1</v>
      </c>
      <c r="S545" s="183" t="str">
        <f>D545</f>
        <v>SN-6 Low</v>
      </c>
      <c r="T545" s="65"/>
      <c r="U545" s="65"/>
      <c r="V545" s="65"/>
      <c r="Y545" s="89" t="str">
        <f>D545</f>
        <v>SN-6 Low</v>
      </c>
      <c r="Z545" s="351">
        <f>SUMIFS($P$445:$P$508, $D$445:$D$508, Y545, $F$445:$F$508, "&lt;200") + SUMIFS($Q$445:$Q$508, $D$445:$D$508, Y545, $F$445:$F$508, "&lt;200")</f>
        <v>6060</v>
      </c>
      <c r="AA545" s="120">
        <f>SUM(P545:Q548)</f>
        <v>3938.3333333333335</v>
      </c>
      <c r="AB545" s="120">
        <f>SUMIFS(Collection!O:O, Collection!B:B, "*" &amp; 'Bucket Counts'!Y545 &amp; "*", Collection!A:A, "&lt;" &amp; 'Bucket Counts'!A545,Collection!A:A,  "&gt;=" &amp; 'Bucket Counts'!$A$445)</f>
        <v>0</v>
      </c>
      <c r="AC545" s="106">
        <f>AA545/(Z545+AB545)</f>
        <v>0.64988998899889994</v>
      </c>
    </row>
    <row r="546" spans="1:29" s="62" customFormat="1">
      <c r="A546" s="134">
        <v>42915</v>
      </c>
      <c r="B546" s="60"/>
      <c r="C546" s="60"/>
      <c r="D546" s="62" t="s">
        <v>77</v>
      </c>
      <c r="E546" s="62">
        <v>5</v>
      </c>
      <c r="F546" s="89">
        <v>180</v>
      </c>
      <c r="G546" s="89">
        <v>1</v>
      </c>
      <c r="H546" s="62">
        <v>290</v>
      </c>
      <c r="I546" s="62">
        <v>4</v>
      </c>
      <c r="J546" s="62">
        <v>0</v>
      </c>
      <c r="K546" s="62">
        <v>8</v>
      </c>
      <c r="L546" s="62">
        <v>0</v>
      </c>
      <c r="M546" s="62">
        <v>6</v>
      </c>
      <c r="N546" s="62">
        <v>0</v>
      </c>
      <c r="P546" s="120">
        <f t="shared" si="51"/>
        <v>1740</v>
      </c>
      <c r="Q546" s="120">
        <f t="shared" si="44"/>
        <v>0</v>
      </c>
      <c r="R546" s="106">
        <f t="shared" si="45"/>
        <v>1</v>
      </c>
      <c r="S546" s="181">
        <f>(SUM(P545:P548)/(SUM(P545:Q548)))</f>
        <v>0.67752856538298778</v>
      </c>
      <c r="T546" s="65"/>
      <c r="U546" s="65"/>
      <c r="V546" s="65"/>
      <c r="Y546" s="89"/>
      <c r="Z546" s="357"/>
      <c r="AA546" s="120"/>
      <c r="AB546" s="120"/>
    </row>
    <row r="547" spans="1:29" s="62" customFormat="1">
      <c r="A547" s="134">
        <v>42915</v>
      </c>
      <c r="B547" s="60"/>
      <c r="C547" s="60"/>
      <c r="D547" s="62" t="s">
        <v>77</v>
      </c>
      <c r="E547" s="62">
        <v>5</v>
      </c>
      <c r="F547" s="89">
        <v>100</v>
      </c>
      <c r="G547" s="89">
        <v>1</v>
      </c>
      <c r="H547" s="62">
        <v>300</v>
      </c>
      <c r="I547" s="62">
        <v>2</v>
      </c>
      <c r="J547" s="62">
        <v>2</v>
      </c>
      <c r="K547" s="62">
        <v>1</v>
      </c>
      <c r="L547" s="62">
        <v>0</v>
      </c>
      <c r="M547" s="62">
        <v>2</v>
      </c>
      <c r="N547" s="62">
        <v>2</v>
      </c>
      <c r="P547" s="120">
        <f t="shared" si="51"/>
        <v>500</v>
      </c>
      <c r="Q547" s="120">
        <f t="shared" si="44"/>
        <v>400</v>
      </c>
      <c r="R547" s="106">
        <f t="shared" si="45"/>
        <v>0.55555555555555558</v>
      </c>
      <c r="S547" s="182"/>
      <c r="T547" s="65"/>
      <c r="U547" s="65"/>
      <c r="V547" s="65"/>
      <c r="Y547" s="89"/>
      <c r="Z547" s="357"/>
      <c r="AA547" s="120"/>
      <c r="AB547" s="120"/>
    </row>
    <row r="548" spans="1:29" s="62" customFormat="1">
      <c r="A548" s="134">
        <v>42915</v>
      </c>
      <c r="B548" s="60"/>
      <c r="C548" s="60"/>
      <c r="D548" s="62" t="s">
        <v>77</v>
      </c>
      <c r="E548" s="62">
        <v>5</v>
      </c>
      <c r="F548" s="89" t="s">
        <v>203</v>
      </c>
      <c r="G548" s="89">
        <v>1</v>
      </c>
      <c r="H548" s="62">
        <v>290</v>
      </c>
      <c r="I548" s="62">
        <v>4</v>
      </c>
      <c r="J548" s="62">
        <v>3</v>
      </c>
      <c r="K548" s="62">
        <v>0</v>
      </c>
      <c r="L548" s="62">
        <v>3</v>
      </c>
      <c r="M548" s="62">
        <v>0</v>
      </c>
      <c r="N548" s="62">
        <v>3</v>
      </c>
      <c r="P548" s="120">
        <f t="shared" si="51"/>
        <v>386.66666666666663</v>
      </c>
      <c r="Q548" s="120">
        <f t="shared" ref="Q548:Q596" si="52">(AVERAGE(J548,L548,N548)/G548)*H548</f>
        <v>870</v>
      </c>
      <c r="R548" s="106">
        <f t="shared" ref="R548:R611" si="53">P548/(P548+Q548)</f>
        <v>0.30769230769230771</v>
      </c>
      <c r="S548" s="182"/>
      <c r="T548" s="65"/>
      <c r="U548" s="65"/>
      <c r="V548" s="65"/>
      <c r="Y548" s="89"/>
      <c r="Z548" s="357"/>
      <c r="AA548" s="120"/>
      <c r="AB548" s="120"/>
    </row>
    <row r="549" spans="1:29" s="62" customFormat="1">
      <c r="A549" s="134">
        <v>42915</v>
      </c>
      <c r="B549" s="60"/>
      <c r="C549" s="60"/>
      <c r="D549" s="62" t="s">
        <v>85</v>
      </c>
      <c r="E549" s="62">
        <v>6</v>
      </c>
      <c r="F549" s="89">
        <v>224</v>
      </c>
      <c r="G549" s="89">
        <v>2</v>
      </c>
      <c r="H549" s="62">
        <v>300</v>
      </c>
      <c r="I549" s="62">
        <v>3</v>
      </c>
      <c r="J549" s="62">
        <v>1</v>
      </c>
      <c r="K549" s="62">
        <v>3</v>
      </c>
      <c r="L549" s="62">
        <v>0</v>
      </c>
      <c r="M549" s="62">
        <v>1</v>
      </c>
      <c r="N549" s="62">
        <v>0</v>
      </c>
      <c r="P549" s="120">
        <f t="shared" si="51"/>
        <v>350</v>
      </c>
      <c r="Q549" s="120">
        <f t="shared" si="52"/>
        <v>50</v>
      </c>
      <c r="R549" s="106">
        <f t="shared" si="53"/>
        <v>0.875</v>
      </c>
      <c r="S549" s="183" t="str">
        <f>D549</f>
        <v>NF-6 Ambient</v>
      </c>
      <c r="T549" s="65"/>
      <c r="U549" s="65"/>
      <c r="V549" s="65"/>
      <c r="Y549" s="89" t="str">
        <f>D549</f>
        <v>NF-6 Ambient</v>
      </c>
      <c r="Z549" s="351">
        <f>SUMIFS($P$445:$P$508, $D$445:$D$508, Y549, $F$445:$F$508, "&lt;200") + SUMIFS($Q$445:$Q$508, $D$445:$D$508, Y549, $F$445:$F$508, "&lt;200")</f>
        <v>4620</v>
      </c>
      <c r="AA549" s="120">
        <f>SUM(P549:Q552)</f>
        <v>3180</v>
      </c>
      <c r="AB549" s="120">
        <f>SUMIFS(Collection!O:O, Collection!B:B, "*" &amp; 'Bucket Counts'!Y549 &amp; "*", Collection!A:A, "&lt;" &amp; 'Bucket Counts'!A549,Collection!A:A,  "&gt;=" &amp; 'Bucket Counts'!$A$445)</f>
        <v>0</v>
      </c>
      <c r="AC549" s="106">
        <f>AA549/(Z549+AB549)</f>
        <v>0.68831168831168832</v>
      </c>
    </row>
    <row r="550" spans="1:29" s="62" customFormat="1">
      <c r="A550" s="134">
        <v>42915</v>
      </c>
      <c r="B550" s="60"/>
      <c r="C550" s="60"/>
      <c r="D550" s="62" t="s">
        <v>85</v>
      </c>
      <c r="E550" s="62">
        <v>6</v>
      </c>
      <c r="F550" s="89">
        <v>180</v>
      </c>
      <c r="G550" s="89">
        <v>1</v>
      </c>
      <c r="H550" s="62">
        <v>275</v>
      </c>
      <c r="I550" s="62">
        <v>6</v>
      </c>
      <c r="J550" s="62">
        <v>0</v>
      </c>
      <c r="K550" s="62">
        <v>6</v>
      </c>
      <c r="L550" s="62">
        <v>0</v>
      </c>
      <c r="M550" s="62">
        <v>7</v>
      </c>
      <c r="N550" s="62">
        <v>0</v>
      </c>
      <c r="P550" s="120">
        <f>(AVERAGE(I550,K550,M550)/G550)*H550</f>
        <v>1741.6666666666665</v>
      </c>
      <c r="Q550" s="120">
        <f t="shared" si="52"/>
        <v>0</v>
      </c>
      <c r="R550" s="106">
        <f t="shared" si="53"/>
        <v>1</v>
      </c>
      <c r="S550" s="181">
        <f>(SUM(P549:P552)/(SUM(P549:Q552)))</f>
        <v>0.70754716981132071</v>
      </c>
      <c r="T550" s="65"/>
      <c r="U550" s="65"/>
      <c r="V550" s="65"/>
      <c r="Y550" s="89"/>
      <c r="Z550" s="357"/>
      <c r="AA550" s="120"/>
      <c r="AB550" s="120"/>
    </row>
    <row r="551" spans="1:29" s="62" customFormat="1">
      <c r="A551" s="134">
        <v>42915</v>
      </c>
      <c r="B551" s="60"/>
      <c r="C551" s="60"/>
      <c r="D551" s="62" t="s">
        <v>85</v>
      </c>
      <c r="E551" s="62">
        <v>6</v>
      </c>
      <c r="F551" s="89">
        <v>100</v>
      </c>
      <c r="G551" s="89">
        <v>2</v>
      </c>
      <c r="H551" s="62">
        <v>290</v>
      </c>
      <c r="I551" s="62">
        <v>0</v>
      </c>
      <c r="J551" s="62">
        <v>0</v>
      </c>
      <c r="K551" s="62">
        <v>1</v>
      </c>
      <c r="L551" s="62">
        <v>0</v>
      </c>
      <c r="M551" s="62">
        <v>0</v>
      </c>
      <c r="N551" s="62">
        <v>0</v>
      </c>
      <c r="P551" s="120">
        <f t="shared" ref="P551:P572" si="54">(AVERAGE(I551,K551,M551)/G551)*H551</f>
        <v>48.333333333333329</v>
      </c>
      <c r="Q551" s="120">
        <f t="shared" si="52"/>
        <v>0</v>
      </c>
      <c r="R551" s="106">
        <f t="shared" si="53"/>
        <v>1</v>
      </c>
      <c r="S551" s="182"/>
      <c r="T551" s="65"/>
      <c r="U551" s="65"/>
      <c r="V551" s="65"/>
      <c r="Y551" s="89"/>
      <c r="Z551" s="357"/>
      <c r="AA551" s="120"/>
      <c r="AB551" s="120"/>
    </row>
    <row r="552" spans="1:29" s="62" customFormat="1">
      <c r="A552" s="134">
        <v>42915</v>
      </c>
      <c r="B552" s="60"/>
      <c r="C552" s="60"/>
      <c r="D552" s="62" t="s">
        <v>85</v>
      </c>
      <c r="E552" s="62">
        <v>6</v>
      </c>
      <c r="F552" s="89" t="s">
        <v>203</v>
      </c>
      <c r="G552" s="89">
        <v>1</v>
      </c>
      <c r="H552" s="62">
        <v>330</v>
      </c>
      <c r="I552" s="62">
        <v>0</v>
      </c>
      <c r="J552" s="62">
        <v>3</v>
      </c>
      <c r="K552" s="62">
        <v>1</v>
      </c>
      <c r="L552" s="62">
        <v>3</v>
      </c>
      <c r="M552" s="62">
        <v>0</v>
      </c>
      <c r="N552" s="62">
        <v>2</v>
      </c>
      <c r="P552" s="120">
        <f t="shared" si="54"/>
        <v>110</v>
      </c>
      <c r="Q552" s="120">
        <f t="shared" si="52"/>
        <v>880</v>
      </c>
      <c r="R552" s="106">
        <f t="shared" si="53"/>
        <v>0.1111111111111111</v>
      </c>
      <c r="S552" s="182"/>
      <c r="T552" s="65"/>
      <c r="U552" s="65"/>
      <c r="V552" s="65"/>
      <c r="Y552" s="89"/>
      <c r="Z552" s="357"/>
      <c r="AA552" s="120"/>
      <c r="AB552" s="120"/>
    </row>
    <row r="553" spans="1:29" s="62" customFormat="1">
      <c r="A553" s="134">
        <v>42915</v>
      </c>
      <c r="B553" s="60"/>
      <c r="C553" s="60"/>
      <c r="D553" s="62" t="s">
        <v>105</v>
      </c>
      <c r="E553" s="62">
        <v>6</v>
      </c>
      <c r="F553" s="89">
        <v>224</v>
      </c>
      <c r="G553" s="89">
        <v>1</v>
      </c>
      <c r="H553" s="62">
        <v>300</v>
      </c>
      <c r="I553" s="62">
        <v>6</v>
      </c>
      <c r="J553" s="62">
        <v>0</v>
      </c>
      <c r="K553" s="62">
        <v>1</v>
      </c>
      <c r="L553" s="62">
        <v>0</v>
      </c>
      <c r="M553" s="62">
        <v>4</v>
      </c>
      <c r="N553" s="62">
        <v>0</v>
      </c>
      <c r="P553" s="120">
        <f t="shared" si="54"/>
        <v>1100</v>
      </c>
      <c r="Q553" s="120">
        <f t="shared" si="52"/>
        <v>0</v>
      </c>
      <c r="R553" s="106">
        <f t="shared" si="53"/>
        <v>1</v>
      </c>
      <c r="S553" s="183" t="str">
        <f>D553</f>
        <v>NF-6 Low</v>
      </c>
      <c r="T553" s="65"/>
      <c r="U553" s="65"/>
      <c r="V553" s="65"/>
      <c r="Y553" s="89" t="str">
        <f>D553</f>
        <v>NF-6 Low</v>
      </c>
      <c r="Z553" s="351">
        <f>SUMIFS($P$445:$P$508, $D$445:$D$508, Y553, $F$445:$F$508, "&lt;200") + SUMIFS($Q$445:$Q$508, $D$445:$D$508, Y553, $F$445:$F$508, "&lt;200")</f>
        <v>47150.000000000007</v>
      </c>
      <c r="AA553" s="120">
        <f>SUM(P553:Q556)</f>
        <v>37953.333333333328</v>
      </c>
      <c r="AB553" s="120">
        <f>SUMIFS(Collection!O:O, Collection!B:B, "*" &amp; 'Bucket Counts'!Y553 &amp; "*", Collection!A:A, "&lt;" &amp; 'Bucket Counts'!A553,Collection!A:A,  "&gt;=" &amp; 'Bucket Counts'!$A$445)</f>
        <v>0</v>
      </c>
      <c r="AC553" s="106">
        <f>AA553/(Z553+AB553)</f>
        <v>0.80494874513962511</v>
      </c>
    </row>
    <row r="554" spans="1:29" s="62" customFormat="1">
      <c r="A554" s="134">
        <v>42915</v>
      </c>
      <c r="B554" s="60"/>
      <c r="C554" s="60"/>
      <c r="D554" s="62" t="s">
        <v>105</v>
      </c>
      <c r="E554" s="62">
        <v>6</v>
      </c>
      <c r="F554" s="89">
        <v>180</v>
      </c>
      <c r="G554" s="89">
        <v>1</v>
      </c>
      <c r="H554" s="62">
        <v>500</v>
      </c>
      <c r="I554" s="62">
        <v>30</v>
      </c>
      <c r="J554" s="62">
        <v>1</v>
      </c>
      <c r="K554" s="62">
        <v>30</v>
      </c>
      <c r="L554" s="62">
        <v>0</v>
      </c>
      <c r="M554" s="62">
        <v>31</v>
      </c>
      <c r="N554" s="62">
        <v>0</v>
      </c>
      <c r="P554" s="120">
        <f t="shared" si="54"/>
        <v>15166.666666666666</v>
      </c>
      <c r="Q554" s="120">
        <f t="shared" si="52"/>
        <v>166.66666666666666</v>
      </c>
      <c r="R554" s="106">
        <f t="shared" si="53"/>
        <v>0.98913043478260876</v>
      </c>
      <c r="S554" s="181">
        <f>(SUM(P553:P556)/(SUM(P553:Q556)))</f>
        <v>0.84577551378886362</v>
      </c>
      <c r="T554" s="65"/>
      <c r="U554" s="65"/>
      <c r="V554" s="65"/>
      <c r="Y554" s="89"/>
      <c r="Z554" s="357"/>
      <c r="AA554" s="120"/>
      <c r="AB554" s="120"/>
    </row>
    <row r="555" spans="1:29" s="62" customFormat="1">
      <c r="A555" s="134">
        <v>42915</v>
      </c>
      <c r="B555" s="60"/>
      <c r="C555" s="60"/>
      <c r="D555" s="62" t="s">
        <v>105</v>
      </c>
      <c r="E555" s="62">
        <v>6</v>
      </c>
      <c r="F555" s="89">
        <v>100</v>
      </c>
      <c r="G555" s="89">
        <v>1</v>
      </c>
      <c r="H555" s="62">
        <v>500</v>
      </c>
      <c r="I555" s="62">
        <v>35</v>
      </c>
      <c r="J555" s="62">
        <v>4</v>
      </c>
      <c r="K555" s="62">
        <v>31</v>
      </c>
      <c r="L555" s="62">
        <v>5</v>
      </c>
      <c r="M555" s="62">
        <v>29</v>
      </c>
      <c r="N555" s="62">
        <v>4</v>
      </c>
      <c r="P555" s="120">
        <f t="shared" si="54"/>
        <v>15833.333333333334</v>
      </c>
      <c r="Q555" s="120">
        <f t="shared" si="52"/>
        <v>2166.6666666666665</v>
      </c>
      <c r="R555" s="106">
        <f t="shared" si="53"/>
        <v>0.87962962962962965</v>
      </c>
      <c r="S555" s="182"/>
      <c r="T555" s="65"/>
      <c r="U555" s="65"/>
      <c r="V555" s="65"/>
      <c r="Y555" s="89"/>
      <c r="Z555" s="357"/>
      <c r="AA555" s="120"/>
      <c r="AB555" s="120"/>
    </row>
    <row r="556" spans="1:29" s="62" customFormat="1">
      <c r="A556" s="134">
        <v>42915</v>
      </c>
      <c r="B556" s="60"/>
      <c r="C556" s="60"/>
      <c r="D556" s="62" t="s">
        <v>105</v>
      </c>
      <c r="E556" s="62">
        <v>6</v>
      </c>
      <c r="F556" s="89" t="s">
        <v>203</v>
      </c>
      <c r="G556" s="89">
        <v>1</v>
      </c>
      <c r="H556" s="62">
        <v>330</v>
      </c>
      <c r="I556" s="62">
        <v>0</v>
      </c>
      <c r="J556" s="62">
        <v>12</v>
      </c>
      <c r="K556" s="62">
        <v>0</v>
      </c>
      <c r="L556" s="62">
        <v>12</v>
      </c>
      <c r="M556" s="62">
        <v>0</v>
      </c>
      <c r="N556" s="62">
        <v>8</v>
      </c>
      <c r="P556" s="120">
        <f t="shared" si="54"/>
        <v>0</v>
      </c>
      <c r="Q556" s="120">
        <f t="shared" si="52"/>
        <v>3520</v>
      </c>
      <c r="R556" s="106">
        <f t="shared" si="53"/>
        <v>0</v>
      </c>
      <c r="S556" s="182"/>
      <c r="T556" s="65"/>
      <c r="U556" s="65"/>
      <c r="V556" s="65"/>
      <c r="Y556" s="89"/>
      <c r="Z556" s="357"/>
      <c r="AA556" s="120"/>
      <c r="AB556" s="120"/>
    </row>
    <row r="557" spans="1:29" s="62" customFormat="1">
      <c r="A557" s="134">
        <v>42915</v>
      </c>
      <c r="B557" s="60"/>
      <c r="C557" s="60"/>
      <c r="D557" s="62" t="s">
        <v>119</v>
      </c>
      <c r="E557" s="62">
        <v>7</v>
      </c>
      <c r="F557" s="89">
        <v>224</v>
      </c>
      <c r="G557" s="89">
        <v>2</v>
      </c>
      <c r="H557" s="62">
        <v>220</v>
      </c>
      <c r="I557" s="62">
        <v>0</v>
      </c>
      <c r="J557" s="62">
        <v>0</v>
      </c>
      <c r="K557" s="62">
        <v>0</v>
      </c>
      <c r="L557" s="62">
        <v>0</v>
      </c>
      <c r="M557" s="62">
        <v>0</v>
      </c>
      <c r="N557" s="62">
        <v>0</v>
      </c>
      <c r="P557" s="120">
        <f t="shared" si="54"/>
        <v>0</v>
      </c>
      <c r="Q557" s="120">
        <f t="shared" si="52"/>
        <v>0</v>
      </c>
      <c r="R557" s="106" t="e">
        <f t="shared" si="53"/>
        <v>#DIV/0!</v>
      </c>
      <c r="S557" s="183" t="str">
        <f>D557</f>
        <v>HL-6 Ambient</v>
      </c>
      <c r="T557" s="65"/>
      <c r="U557" s="65"/>
      <c r="V557" s="65"/>
      <c r="Y557" s="89" t="str">
        <f>D557</f>
        <v>HL-6 Ambient</v>
      </c>
      <c r="Z557" s="351">
        <f>SUMIFS($P$445:$P$508, $D$445:$D$508, Y557, $F$445:$F$508, "&lt;200") + SUMIFS($Q$445:$Q$508, $D$445:$D$508, Y557, $F$445:$F$508, "&lt;200")</f>
        <v>28066.666666666668</v>
      </c>
      <c r="AA557" s="120">
        <f>SUM(P557:Q560)</f>
        <v>23896.666666666668</v>
      </c>
      <c r="AB557" s="120">
        <f>SUMIFS(Collection!O:O, Collection!B:B, "*" &amp; 'Bucket Counts'!Y557 &amp; "*", Collection!A:A, "&lt;" &amp; 'Bucket Counts'!A557,Collection!A:A,  "&gt;=" &amp; 'Bucket Counts'!$A$445)</f>
        <v>0</v>
      </c>
      <c r="AC557" s="106">
        <f>AA557/(Z557+AB557)</f>
        <v>0.85142517814726837</v>
      </c>
    </row>
    <row r="558" spans="1:29" s="62" customFormat="1">
      <c r="A558" s="134">
        <v>42915</v>
      </c>
      <c r="B558" s="60"/>
      <c r="C558" s="60"/>
      <c r="D558" s="62" t="s">
        <v>119</v>
      </c>
      <c r="E558" s="62">
        <v>7</v>
      </c>
      <c r="F558" s="89">
        <v>180</v>
      </c>
      <c r="G558" s="89">
        <v>1</v>
      </c>
      <c r="H558" s="62">
        <v>500</v>
      </c>
      <c r="I558" s="62">
        <v>21</v>
      </c>
      <c r="J558" s="62">
        <v>0</v>
      </c>
      <c r="K558" s="62">
        <v>15</v>
      </c>
      <c r="L558" s="62">
        <v>0</v>
      </c>
      <c r="M558" s="62">
        <v>15</v>
      </c>
      <c r="N558" s="62">
        <v>0</v>
      </c>
      <c r="P558" s="120">
        <f t="shared" si="54"/>
        <v>8500</v>
      </c>
      <c r="Q558" s="120">
        <f t="shared" si="52"/>
        <v>0</v>
      </c>
      <c r="R558" s="106">
        <f t="shared" si="53"/>
        <v>1</v>
      </c>
      <c r="S558" s="181">
        <f>(SUM(P557:P560)/(SUM(P557:Q560)))</f>
        <v>0.79997210210629099</v>
      </c>
      <c r="T558" s="65"/>
      <c r="U558" s="65"/>
      <c r="V558" s="65"/>
      <c r="Y558" s="89"/>
      <c r="Z558" s="357"/>
      <c r="AA558" s="120"/>
      <c r="AB558" s="120"/>
    </row>
    <row r="559" spans="1:29" s="62" customFormat="1">
      <c r="A559" s="134">
        <v>42915</v>
      </c>
      <c r="B559" s="60"/>
      <c r="C559" s="60"/>
      <c r="D559" s="62" t="s">
        <v>119</v>
      </c>
      <c r="E559" s="62">
        <v>7</v>
      </c>
      <c r="F559" s="89">
        <v>100</v>
      </c>
      <c r="G559" s="89">
        <v>1</v>
      </c>
      <c r="H559" s="62">
        <v>490</v>
      </c>
      <c r="I559" s="62">
        <v>20</v>
      </c>
      <c r="J559" s="62">
        <v>1</v>
      </c>
      <c r="K559" s="62">
        <v>16</v>
      </c>
      <c r="L559" s="62">
        <v>3</v>
      </c>
      <c r="M559" s="62">
        <v>29</v>
      </c>
      <c r="N559" s="62">
        <v>2</v>
      </c>
      <c r="P559" s="120">
        <f t="shared" si="54"/>
        <v>10616.666666666668</v>
      </c>
      <c r="Q559" s="120">
        <f t="shared" si="52"/>
        <v>980</v>
      </c>
      <c r="R559" s="106">
        <f t="shared" si="53"/>
        <v>0.91549295774647887</v>
      </c>
      <c r="S559" s="182"/>
      <c r="T559" s="65"/>
      <c r="U559" s="65"/>
      <c r="V559" s="65"/>
      <c r="Y559" s="89"/>
      <c r="Z559" s="357"/>
      <c r="AA559" s="120"/>
      <c r="AB559" s="120"/>
    </row>
    <row r="560" spans="1:29" s="62" customFormat="1">
      <c r="A560" s="134">
        <v>42915</v>
      </c>
      <c r="B560" s="60"/>
      <c r="C560" s="60"/>
      <c r="D560" s="62" t="s">
        <v>119</v>
      </c>
      <c r="E560" s="62">
        <v>7</v>
      </c>
      <c r="F560" s="89" t="s">
        <v>203</v>
      </c>
      <c r="G560" s="89">
        <v>1</v>
      </c>
      <c r="H560" s="62">
        <v>300</v>
      </c>
      <c r="I560" s="62">
        <v>0</v>
      </c>
      <c r="J560" s="62">
        <v>17</v>
      </c>
      <c r="K560" s="62">
        <v>0</v>
      </c>
      <c r="L560" s="62">
        <v>9</v>
      </c>
      <c r="M560" s="62">
        <v>0</v>
      </c>
      <c r="N560" s="62">
        <v>12</v>
      </c>
      <c r="P560" s="120">
        <f t="shared" si="54"/>
        <v>0</v>
      </c>
      <c r="Q560" s="120">
        <f t="shared" si="52"/>
        <v>3800</v>
      </c>
      <c r="R560" s="106">
        <f t="shared" si="53"/>
        <v>0</v>
      </c>
      <c r="S560" s="182"/>
      <c r="T560" s="65"/>
      <c r="U560" s="65"/>
      <c r="V560" s="65"/>
      <c r="Y560" s="89"/>
      <c r="Z560" s="357"/>
      <c r="AA560" s="120"/>
      <c r="AB560" s="120"/>
    </row>
    <row r="561" spans="1:30" s="62" customFormat="1">
      <c r="A561" s="134">
        <v>42915</v>
      </c>
      <c r="B561" s="60"/>
      <c r="C561" s="60"/>
      <c r="D561" s="62" t="s">
        <v>83</v>
      </c>
      <c r="E561" s="62">
        <v>7</v>
      </c>
      <c r="F561" s="89">
        <v>224</v>
      </c>
      <c r="G561" s="89">
        <v>2</v>
      </c>
      <c r="H561" s="62">
        <v>230</v>
      </c>
      <c r="I561" s="62">
        <v>0</v>
      </c>
      <c r="J561" s="62">
        <v>0</v>
      </c>
      <c r="K561" s="62">
        <v>0</v>
      </c>
      <c r="L561" s="62">
        <v>0</v>
      </c>
      <c r="M561" s="62">
        <v>0</v>
      </c>
      <c r="N561" s="62">
        <v>0</v>
      </c>
      <c r="P561" s="120">
        <f t="shared" si="54"/>
        <v>0</v>
      </c>
      <c r="Q561" s="120">
        <f t="shared" si="52"/>
        <v>0</v>
      </c>
      <c r="R561" s="106" t="e">
        <f t="shared" si="53"/>
        <v>#DIV/0!</v>
      </c>
      <c r="S561" s="183" t="str">
        <f>D561</f>
        <v>NF-10 Low</v>
      </c>
      <c r="T561" s="65"/>
      <c r="U561" s="65"/>
      <c r="V561" s="65"/>
      <c r="Y561" s="89" t="str">
        <f>D561</f>
        <v>NF-10 Low</v>
      </c>
      <c r="Z561" s="351">
        <f>SUMIFS($P$445:$P$508, $D$445:$D$508, Y561, $F$445:$F$508, "&lt;200") + SUMIFS($Q$445:$Q$508, $D$445:$D$508, Y561, $F$445:$F$508, "&lt;200")</f>
        <v>246.66666666666666</v>
      </c>
      <c r="AA561" s="120">
        <f>SUM(P561:Q564)</f>
        <v>321.66666666666663</v>
      </c>
      <c r="AB561" s="120">
        <f>SUMIFS(Collection!O:O, Collection!B:B, "*" &amp; 'Bucket Counts'!Y561 &amp; "*", Collection!A:A, "&lt;" &amp; 'Bucket Counts'!A561,Collection!A:A,  "&gt;=" &amp; 'Bucket Counts'!$A$445)</f>
        <v>0</v>
      </c>
      <c r="AC561" s="106">
        <f>AA561/(Z561+AB561)</f>
        <v>1.3040540540540539</v>
      </c>
    </row>
    <row r="562" spans="1:30" s="62" customFormat="1">
      <c r="A562" s="134">
        <v>42915</v>
      </c>
      <c r="B562" s="60"/>
      <c r="C562" s="60"/>
      <c r="D562" s="62" t="s">
        <v>83</v>
      </c>
      <c r="E562" s="62">
        <v>7</v>
      </c>
      <c r="F562" s="89">
        <v>180</v>
      </c>
      <c r="G562" s="89">
        <v>2</v>
      </c>
      <c r="H562" s="62">
        <v>250</v>
      </c>
      <c r="I562" s="62">
        <v>0</v>
      </c>
      <c r="J562" s="62">
        <v>0</v>
      </c>
      <c r="K562" s="62">
        <v>1</v>
      </c>
      <c r="L562" s="62">
        <v>0</v>
      </c>
      <c r="M562" s="62">
        <v>0</v>
      </c>
      <c r="N562" s="62">
        <v>0</v>
      </c>
      <c r="P562" s="120">
        <f t="shared" si="54"/>
        <v>41.666666666666664</v>
      </c>
      <c r="Q562" s="120">
        <f t="shared" si="52"/>
        <v>0</v>
      </c>
      <c r="R562" s="106">
        <f t="shared" si="53"/>
        <v>1</v>
      </c>
      <c r="S562" s="181">
        <f>(SUM(P561:P564)/(SUM(P561:Q564)))</f>
        <v>0.50259067357512954</v>
      </c>
      <c r="T562" s="65"/>
      <c r="U562" s="65"/>
      <c r="V562" s="65"/>
      <c r="Y562" s="89"/>
      <c r="Z562" s="357"/>
      <c r="AA562" s="120"/>
      <c r="AB562" s="120"/>
    </row>
    <row r="563" spans="1:30" s="62" customFormat="1">
      <c r="A563" s="134">
        <v>42915</v>
      </c>
      <c r="B563" s="60"/>
      <c r="C563" s="60"/>
      <c r="D563" s="62" t="s">
        <v>83</v>
      </c>
      <c r="E563" s="62">
        <v>7</v>
      </c>
      <c r="F563" s="89">
        <v>100</v>
      </c>
      <c r="G563" s="89">
        <v>2</v>
      </c>
      <c r="H563" s="62">
        <v>240</v>
      </c>
      <c r="I563" s="62">
        <v>0</v>
      </c>
      <c r="J563" s="62">
        <v>0</v>
      </c>
      <c r="K563" s="62">
        <v>0</v>
      </c>
      <c r="L563" s="62">
        <v>0</v>
      </c>
      <c r="M563" s="62">
        <v>1</v>
      </c>
      <c r="N563" s="62">
        <v>0</v>
      </c>
      <c r="P563" s="120">
        <f t="shared" si="54"/>
        <v>40</v>
      </c>
      <c r="Q563" s="120">
        <f t="shared" si="52"/>
        <v>0</v>
      </c>
      <c r="R563" s="106">
        <f t="shared" si="53"/>
        <v>1</v>
      </c>
      <c r="S563" s="182"/>
      <c r="T563" s="65"/>
      <c r="U563" s="65"/>
      <c r="V563" s="65"/>
      <c r="Y563" s="89"/>
      <c r="Z563" s="357"/>
      <c r="AA563" s="120"/>
      <c r="AB563" s="120"/>
    </row>
    <row r="564" spans="1:30" s="62" customFormat="1">
      <c r="A564" s="134">
        <v>42915</v>
      </c>
      <c r="B564" s="60"/>
      <c r="C564" s="60"/>
      <c r="D564" s="62" t="s">
        <v>83</v>
      </c>
      <c r="E564" s="62">
        <v>7</v>
      </c>
      <c r="F564" s="89" t="s">
        <v>203</v>
      </c>
      <c r="G564" s="89">
        <v>2</v>
      </c>
      <c r="H564" s="62">
        <v>240</v>
      </c>
      <c r="I564" s="62">
        <v>1</v>
      </c>
      <c r="J564" s="62">
        <v>1</v>
      </c>
      <c r="K564" s="62">
        <v>0</v>
      </c>
      <c r="L564" s="62">
        <v>0</v>
      </c>
      <c r="M564" s="62">
        <v>1</v>
      </c>
      <c r="N564" s="62">
        <v>3</v>
      </c>
      <c r="P564" s="120">
        <f t="shared" si="54"/>
        <v>80</v>
      </c>
      <c r="Q564" s="120">
        <f t="shared" si="52"/>
        <v>160</v>
      </c>
      <c r="R564" s="106">
        <f t="shared" si="53"/>
        <v>0.33333333333333331</v>
      </c>
      <c r="S564" s="182"/>
      <c r="T564" s="65"/>
      <c r="U564" s="65"/>
      <c r="V564" s="65"/>
      <c r="Y564" s="89"/>
      <c r="Z564" s="357"/>
      <c r="AA564" s="120"/>
      <c r="AB564" s="120"/>
    </row>
    <row r="565" spans="1:30" s="62" customFormat="1">
      <c r="A565" s="134">
        <v>42915</v>
      </c>
      <c r="B565" s="60"/>
      <c r="C565" s="60"/>
      <c r="D565" s="62" t="s">
        <v>21</v>
      </c>
      <c r="E565" s="62">
        <v>8</v>
      </c>
      <c r="F565" s="89">
        <v>224</v>
      </c>
      <c r="G565" s="89">
        <v>2</v>
      </c>
      <c r="H565" s="62">
        <v>250</v>
      </c>
      <c r="I565" s="62">
        <v>2</v>
      </c>
      <c r="J565" s="62">
        <v>0</v>
      </c>
      <c r="K565" s="62">
        <v>3</v>
      </c>
      <c r="L565" s="62">
        <v>0</v>
      </c>
      <c r="M565" s="62">
        <v>1</v>
      </c>
      <c r="N565" s="62">
        <v>0</v>
      </c>
      <c r="P565" s="120">
        <f t="shared" si="54"/>
        <v>250</v>
      </c>
      <c r="Q565" s="120">
        <f t="shared" si="52"/>
        <v>0</v>
      </c>
      <c r="R565" s="106">
        <f t="shared" si="53"/>
        <v>1</v>
      </c>
      <c r="S565" s="183" t="str">
        <f>D565</f>
        <v>HL-6 Low</v>
      </c>
      <c r="T565" s="65"/>
      <c r="U565" s="65"/>
      <c r="V565" s="65"/>
      <c r="Y565" s="89" t="str">
        <f>D565</f>
        <v>HL-6 Low</v>
      </c>
      <c r="Z565" s="351">
        <f>SUMIFS($P$445:$P$508, $D$445:$D$508, Y565, $F$445:$F$508, "&lt;200") + SUMIFS($Q$445:$Q$508, $D$445:$D$508, Y565, $F$445:$F$508, "&lt;200")</f>
        <v>45920</v>
      </c>
      <c r="AA565" s="120">
        <f>SUM(P565:Q568)</f>
        <v>52716.666666666672</v>
      </c>
      <c r="AB565" s="120">
        <f>SUMIFS(Collection!O:O, Collection!B:B, "*" &amp; 'Bucket Counts'!Y565 &amp; "*", Collection!A:A, "&lt;" &amp; 'Bucket Counts'!A565,Collection!A:A,  "&gt;=" &amp; 'Bucket Counts'!$A$445)</f>
        <v>0</v>
      </c>
      <c r="AC565" s="106">
        <f>AA565/(Z565+AB565)</f>
        <v>1.1480110336817655</v>
      </c>
    </row>
    <row r="566" spans="1:30" s="62" customFormat="1">
      <c r="A566" s="134">
        <v>42915</v>
      </c>
      <c r="B566" s="60"/>
      <c r="C566" s="60"/>
      <c r="D566" s="62" t="s">
        <v>21</v>
      </c>
      <c r="E566" s="62">
        <v>8</v>
      </c>
      <c r="F566" s="89">
        <v>180</v>
      </c>
      <c r="G566" s="89">
        <v>1</v>
      </c>
      <c r="H566" s="62">
        <v>400</v>
      </c>
      <c r="I566" s="62">
        <v>15</v>
      </c>
      <c r="J566" s="62">
        <v>0</v>
      </c>
      <c r="K566" s="62">
        <v>14</v>
      </c>
      <c r="L566" s="62">
        <v>0</v>
      </c>
      <c r="M566" s="62">
        <v>11</v>
      </c>
      <c r="N566" s="62">
        <v>0</v>
      </c>
      <c r="P566" s="120">
        <f t="shared" si="54"/>
        <v>5333.3333333333339</v>
      </c>
      <c r="Q566" s="120">
        <f t="shared" si="52"/>
        <v>0</v>
      </c>
      <c r="R566" s="106">
        <f t="shared" si="53"/>
        <v>1</v>
      </c>
      <c r="S566" s="181">
        <f>(SUM(P565:P568)/(SUM(P565:Q568)))</f>
        <v>0.84824533670565916</v>
      </c>
      <c r="T566" s="65"/>
      <c r="Y566" s="89"/>
      <c r="Z566" s="357"/>
      <c r="AA566" s="120"/>
      <c r="AB566" s="120"/>
    </row>
    <row r="567" spans="1:30" s="62" customFormat="1">
      <c r="A567" s="134">
        <v>42915</v>
      </c>
      <c r="B567" s="60"/>
      <c r="C567" s="60"/>
      <c r="D567" s="62" t="s">
        <v>21</v>
      </c>
      <c r="E567" s="62">
        <v>8</v>
      </c>
      <c r="F567" s="89">
        <v>100</v>
      </c>
      <c r="G567" s="89">
        <v>1</v>
      </c>
      <c r="H567" s="62">
        <v>500</v>
      </c>
      <c r="I567" s="62">
        <v>68</v>
      </c>
      <c r="J567" s="62">
        <v>5</v>
      </c>
      <c r="K567" s="62">
        <v>81</v>
      </c>
      <c r="L567" s="62">
        <v>6</v>
      </c>
      <c r="M567" s="62">
        <v>84</v>
      </c>
      <c r="N567" s="62">
        <v>7</v>
      </c>
      <c r="P567" s="120">
        <f t="shared" si="54"/>
        <v>38833.333333333336</v>
      </c>
      <c r="Q567" s="120">
        <f t="shared" si="52"/>
        <v>3000</v>
      </c>
      <c r="R567" s="106">
        <f t="shared" si="53"/>
        <v>0.92828685258964139</v>
      </c>
      <c r="S567" s="182"/>
      <c r="T567" s="65"/>
      <c r="Y567" s="89"/>
      <c r="Z567" s="357"/>
      <c r="AA567" s="120"/>
      <c r="AB567" s="120"/>
    </row>
    <row r="568" spans="1:30" s="62" customFormat="1">
      <c r="A568" s="134">
        <v>42915</v>
      </c>
      <c r="B568" s="60"/>
      <c r="C568" s="60"/>
      <c r="D568" s="62" t="s">
        <v>21</v>
      </c>
      <c r="E568" s="62">
        <v>8</v>
      </c>
      <c r="F568" s="89" t="s">
        <v>203</v>
      </c>
      <c r="G568" s="89">
        <v>1</v>
      </c>
      <c r="H568" s="62">
        <v>300</v>
      </c>
      <c r="I568" s="62">
        <v>2</v>
      </c>
      <c r="J568" s="62">
        <v>21</v>
      </c>
      <c r="K568" s="62">
        <v>0</v>
      </c>
      <c r="L568" s="62">
        <v>14</v>
      </c>
      <c r="M568" s="62">
        <v>1</v>
      </c>
      <c r="N568" s="62">
        <v>15</v>
      </c>
      <c r="P568" s="120">
        <f t="shared" si="54"/>
        <v>300</v>
      </c>
      <c r="Q568" s="120">
        <f t="shared" si="52"/>
        <v>5000</v>
      </c>
      <c r="R568" s="106">
        <f t="shared" si="53"/>
        <v>5.6603773584905662E-2</v>
      </c>
      <c r="S568" s="182"/>
      <c r="T568" s="65"/>
      <c r="Y568" s="89"/>
      <c r="Z568" s="357"/>
      <c r="AA568" s="120"/>
      <c r="AB568" s="120"/>
    </row>
    <row r="569" spans="1:30" s="62" customFormat="1">
      <c r="A569" s="134">
        <v>42915</v>
      </c>
      <c r="B569" s="60"/>
      <c r="C569" s="60"/>
      <c r="D569" s="61" t="s">
        <v>74</v>
      </c>
      <c r="E569" s="62">
        <v>8</v>
      </c>
      <c r="F569" s="89">
        <v>224</v>
      </c>
      <c r="G569" s="89">
        <v>2</v>
      </c>
      <c r="H569" s="62">
        <v>225</v>
      </c>
      <c r="I569" s="62">
        <v>1</v>
      </c>
      <c r="J569" s="62">
        <v>0</v>
      </c>
      <c r="K569" s="62">
        <v>0</v>
      </c>
      <c r="L569" s="62">
        <v>0</v>
      </c>
      <c r="M569" s="62">
        <v>2</v>
      </c>
      <c r="N569" s="62">
        <v>1</v>
      </c>
      <c r="P569" s="120">
        <f t="shared" si="54"/>
        <v>112.5</v>
      </c>
      <c r="Q569" s="120">
        <f t="shared" si="52"/>
        <v>37.5</v>
      </c>
      <c r="R569" s="106">
        <f t="shared" si="53"/>
        <v>0.75</v>
      </c>
      <c r="S569" s="183" t="str">
        <f>D569</f>
        <v>SN-10 Low</v>
      </c>
      <c r="T569" s="65"/>
      <c r="Y569" s="89" t="str">
        <f>D569</f>
        <v>SN-10 Low</v>
      </c>
      <c r="Z569" s="351">
        <f>SUMIFS($P$445:$P$508, $D$445:$D$508, Y569, $F$445:$F$508, "&lt;200") + SUMIFS($Q$445:$Q$508, $D$445:$D$508, Y569, $F$445:$F$508, "&lt;200")</f>
        <v>128173.33333333331</v>
      </c>
      <c r="AA569" s="120">
        <f>SUM(P569:Q572)</f>
        <v>43470</v>
      </c>
      <c r="AB569" s="120">
        <f>SUMIFS(Collection!O:O, Collection!B:B, "*" &amp; 'Bucket Counts'!Y569 &amp; "*", Collection!A:A, "&lt;" &amp; 'Bucket Counts'!A569,Collection!A:A,  "&gt;=" &amp; 'Bucket Counts'!$A$445)</f>
        <v>0</v>
      </c>
      <c r="AC569" s="106">
        <f>AA569/(Z569+AB569)</f>
        <v>0.33915010922708838</v>
      </c>
    </row>
    <row r="570" spans="1:30" s="62" customFormat="1">
      <c r="A570" s="134">
        <v>42915</v>
      </c>
      <c r="B570" s="60"/>
      <c r="C570" s="60"/>
      <c r="D570" s="61" t="s">
        <v>74</v>
      </c>
      <c r="E570" s="62">
        <v>8</v>
      </c>
      <c r="F570" s="89">
        <v>180</v>
      </c>
      <c r="G570" s="89">
        <v>1</v>
      </c>
      <c r="H570" s="62">
        <v>480</v>
      </c>
      <c r="I570" s="62">
        <v>14</v>
      </c>
      <c r="J570" s="62">
        <v>2</v>
      </c>
      <c r="K570" s="62">
        <v>19</v>
      </c>
      <c r="L570" s="62">
        <v>4</v>
      </c>
      <c r="M570" s="62">
        <v>17</v>
      </c>
      <c r="N570" s="62">
        <v>6</v>
      </c>
      <c r="P570" s="120">
        <f t="shared" si="54"/>
        <v>8000.0000000000009</v>
      </c>
      <c r="Q570" s="120">
        <f t="shared" si="52"/>
        <v>1920</v>
      </c>
      <c r="R570" s="106">
        <f t="shared" si="53"/>
        <v>0.80645161290322587</v>
      </c>
      <c r="S570" s="181">
        <f>(SUM(P569:P572)/(SUM(P569:Q572)))</f>
        <v>0.59149988497814587</v>
      </c>
      <c r="T570" s="65"/>
      <c r="Y570" s="89"/>
      <c r="Z570" s="357"/>
      <c r="AA570" s="120"/>
      <c r="AB570" s="120"/>
    </row>
    <row r="571" spans="1:30" s="62" customFormat="1">
      <c r="A571" s="134">
        <v>42915</v>
      </c>
      <c r="B571" s="60"/>
      <c r="C571" s="60"/>
      <c r="D571" s="61" t="s">
        <v>74</v>
      </c>
      <c r="E571" s="62">
        <v>8</v>
      </c>
      <c r="F571" s="89">
        <v>100</v>
      </c>
      <c r="G571" s="89">
        <v>1</v>
      </c>
      <c r="H571" s="62">
        <v>300</v>
      </c>
      <c r="I571" s="62">
        <v>45</v>
      </c>
      <c r="J571" s="62">
        <v>11</v>
      </c>
      <c r="K571" s="62">
        <v>46</v>
      </c>
      <c r="L571" s="62">
        <v>19</v>
      </c>
      <c r="M571" s="62">
        <v>82</v>
      </c>
      <c r="N571" s="62">
        <v>24</v>
      </c>
      <c r="P571" s="120">
        <f t="shared" si="54"/>
        <v>17300</v>
      </c>
      <c r="Q571" s="120">
        <f t="shared" si="52"/>
        <v>5400</v>
      </c>
      <c r="R571" s="106">
        <f t="shared" si="53"/>
        <v>0.76211453744493396</v>
      </c>
      <c r="S571" s="182"/>
      <c r="T571" s="65"/>
      <c r="Y571" s="89"/>
      <c r="Z571" s="357"/>
      <c r="AA571" s="120"/>
      <c r="AB571" s="120"/>
    </row>
    <row r="572" spans="1:30" s="69" customFormat="1" ht="16" thickBot="1">
      <c r="A572" s="66">
        <v>42915</v>
      </c>
      <c r="B572" s="67"/>
      <c r="C572" s="67"/>
      <c r="D572" s="61" t="s">
        <v>74</v>
      </c>
      <c r="E572" s="69">
        <v>8</v>
      </c>
      <c r="F572" s="148" t="s">
        <v>203</v>
      </c>
      <c r="G572" s="148">
        <v>1</v>
      </c>
      <c r="H572" s="69">
        <v>300</v>
      </c>
      <c r="I572" s="69">
        <v>0</v>
      </c>
      <c r="J572" s="69">
        <v>30</v>
      </c>
      <c r="K572" s="69">
        <v>2</v>
      </c>
      <c r="L572" s="69">
        <v>39</v>
      </c>
      <c r="M572" s="69">
        <v>1</v>
      </c>
      <c r="N572" s="69">
        <v>35</v>
      </c>
      <c r="P572" s="149">
        <f t="shared" si="54"/>
        <v>300</v>
      </c>
      <c r="Q572" s="149">
        <f t="shared" si="52"/>
        <v>10400</v>
      </c>
      <c r="R572" s="165">
        <f t="shared" si="53"/>
        <v>2.8037383177570093E-2</v>
      </c>
      <c r="S572" s="196"/>
      <c r="Y572" s="148"/>
      <c r="Z572" s="365"/>
      <c r="AA572" s="149"/>
      <c r="AB572" s="149"/>
    </row>
    <row r="573" spans="1:30" s="263" customFormat="1">
      <c r="A573" s="261">
        <v>42919</v>
      </c>
      <c r="B573" s="262"/>
      <c r="C573" s="262"/>
      <c r="D573" s="147" t="s">
        <v>74</v>
      </c>
      <c r="E573" s="146">
        <v>1</v>
      </c>
      <c r="F573" s="264">
        <v>224</v>
      </c>
      <c r="G573" s="264">
        <v>3</v>
      </c>
      <c r="H573" s="263">
        <v>230</v>
      </c>
      <c r="I573" s="263">
        <v>1</v>
      </c>
      <c r="J573" s="263">
        <v>0</v>
      </c>
      <c r="K573" s="263">
        <v>0</v>
      </c>
      <c r="L573" s="263">
        <v>0</v>
      </c>
      <c r="M573" s="263">
        <v>1</v>
      </c>
      <c r="N573" s="263">
        <v>0</v>
      </c>
      <c r="P573" s="265">
        <f>(AVERAGE(I573,K573,M573)/G573)*H573</f>
        <v>51.111111111111107</v>
      </c>
      <c r="Q573" s="265">
        <f t="shared" si="52"/>
        <v>0</v>
      </c>
      <c r="R573" s="266">
        <f t="shared" si="53"/>
        <v>1</v>
      </c>
      <c r="S573" s="267" t="str">
        <f>D573</f>
        <v>SN-10 Low</v>
      </c>
      <c r="T573" s="268"/>
      <c r="U573" s="268"/>
      <c r="V573" s="268"/>
      <c r="Y573" s="87" t="str">
        <f>D573</f>
        <v>SN-10 Low</v>
      </c>
      <c r="Z573" s="361">
        <f>SUMIFS($P$509:$P$572, $D$509:$D$572, Y573, $F$509:$F$572, "&lt;200") + SUMIFS($Q$509:$Q$572, $D$509:$D$572, Y573, $F$509:$F$572, "&lt;200")</f>
        <v>32620</v>
      </c>
      <c r="AA573" s="124">
        <f>SUM(P573:Q576)</f>
        <v>27097.777777777777</v>
      </c>
      <c r="AB573" s="124">
        <f>SUMIFS(Collection!O:O, Collection!B:B, "*" &amp; 'Bucket Counts'!Y573 &amp; "*", Collection!A:A, "&lt;" &amp; 'Bucket Counts'!A573,Collection!A:A,  "&gt;=" &amp; 'Bucket Counts'!$A$509)</f>
        <v>0</v>
      </c>
      <c r="AC573" s="161">
        <f>AA573/(Z573+AB573)</f>
        <v>0.83071053886504531</v>
      </c>
      <c r="AD573" s="374">
        <f>AVERAGE(AC573:AC579, AC583:AC624, AC627:AC635)</f>
        <v>0.98392931257357663</v>
      </c>
    </row>
    <row r="574" spans="1:30" s="80" customFormat="1">
      <c r="A574" s="77">
        <v>42919</v>
      </c>
      <c r="B574" s="78"/>
      <c r="C574" s="78"/>
      <c r="D574" s="147" t="s">
        <v>74</v>
      </c>
      <c r="E574" s="146">
        <v>1</v>
      </c>
      <c r="F574" s="87">
        <v>180</v>
      </c>
      <c r="G574" s="87">
        <v>3</v>
      </c>
      <c r="H574" s="80">
        <v>300</v>
      </c>
      <c r="I574" s="80">
        <v>31</v>
      </c>
      <c r="J574" s="80">
        <v>15</v>
      </c>
      <c r="K574" s="80">
        <v>31</v>
      </c>
      <c r="L574" s="80">
        <v>13</v>
      </c>
      <c r="M574" s="87">
        <v>29</v>
      </c>
      <c r="N574" s="80">
        <v>12</v>
      </c>
      <c r="P574" s="124">
        <f t="shared" ref="P574:P583" si="55">(AVERAGE(I574,K574,M574)/G574)*H574</f>
        <v>3033.333333333333</v>
      </c>
      <c r="Q574" s="124">
        <f t="shared" si="52"/>
        <v>1333.3333333333335</v>
      </c>
      <c r="R574" s="161">
        <f t="shared" si="53"/>
        <v>0.69465648854961837</v>
      </c>
      <c r="S574" s="185">
        <f>(SUM(P573:P576)/(SUM(P573:Q576)))</f>
        <v>0.14384123339347218</v>
      </c>
      <c r="T574" s="81"/>
      <c r="U574" s="81"/>
      <c r="V574" s="81"/>
      <c r="Y574" s="87"/>
      <c r="Z574" s="361"/>
      <c r="AA574" s="124"/>
      <c r="AB574" s="124"/>
    </row>
    <row r="575" spans="1:30" s="157" customFormat="1">
      <c r="A575" s="155">
        <v>42919</v>
      </c>
      <c r="B575" s="156"/>
      <c r="C575" s="156"/>
      <c r="D575" s="147" t="s">
        <v>74</v>
      </c>
      <c r="E575" s="146">
        <v>1</v>
      </c>
      <c r="F575" s="158">
        <v>100</v>
      </c>
      <c r="G575" s="158">
        <v>3</v>
      </c>
      <c r="H575" s="157">
        <v>300</v>
      </c>
      <c r="I575" s="157">
        <v>13</v>
      </c>
      <c r="J575" s="157">
        <v>19</v>
      </c>
      <c r="K575" s="157">
        <v>14</v>
      </c>
      <c r="L575" s="157">
        <v>24</v>
      </c>
      <c r="M575" s="157">
        <v>10</v>
      </c>
      <c r="N575" s="157">
        <v>19</v>
      </c>
      <c r="P575" s="159">
        <f t="shared" ref="P575:P580" si="56">(AVERAGE(I576,K576,M576)/G575)*H575</f>
        <v>66.666666666666657</v>
      </c>
      <c r="Q575" s="159">
        <f t="shared" ref="Q575:Q580" si="57">(AVERAGE(J576,L576,N576)/G575)*H575</f>
        <v>21866.666666666664</v>
      </c>
      <c r="R575" s="162">
        <f t="shared" si="53"/>
        <v>3.0395136778115497E-3</v>
      </c>
      <c r="S575" s="187"/>
      <c r="T575" s="269"/>
      <c r="U575" s="269"/>
      <c r="V575" s="269"/>
      <c r="Y575" s="158"/>
      <c r="Z575" s="362"/>
      <c r="AA575" s="159"/>
      <c r="AB575" s="159"/>
    </row>
    <row r="576" spans="1:30" s="80" customFormat="1">
      <c r="A576" s="77">
        <v>42919</v>
      </c>
      <c r="B576" s="78"/>
      <c r="C576" s="78"/>
      <c r="D576" s="147" t="s">
        <v>74</v>
      </c>
      <c r="E576" s="146">
        <v>1</v>
      </c>
      <c r="F576" s="87" t="s">
        <v>203</v>
      </c>
      <c r="G576" s="87">
        <v>2</v>
      </c>
      <c r="H576" s="80">
        <v>280</v>
      </c>
      <c r="I576" s="157">
        <v>2</v>
      </c>
      <c r="J576" s="157">
        <v>215</v>
      </c>
      <c r="K576" s="157">
        <v>0</v>
      </c>
      <c r="L576" s="157">
        <v>212</v>
      </c>
      <c r="M576" s="157">
        <v>0</v>
      </c>
      <c r="N576" s="157">
        <v>229</v>
      </c>
      <c r="P576" s="124">
        <f t="shared" si="56"/>
        <v>746.66666666666663</v>
      </c>
      <c r="Q576" s="124">
        <f t="shared" si="57"/>
        <v>0</v>
      </c>
      <c r="R576" s="161">
        <f t="shared" si="53"/>
        <v>1</v>
      </c>
      <c r="S576" s="188"/>
      <c r="T576" s="81"/>
      <c r="U576" s="81"/>
      <c r="V576" s="81"/>
      <c r="Y576" s="87"/>
      <c r="Z576" s="361"/>
      <c r="AA576" s="124"/>
      <c r="AB576" s="124"/>
    </row>
    <row r="577" spans="1:30" s="80" customFormat="1">
      <c r="A577" s="190">
        <v>42919</v>
      </c>
      <c r="B577" s="78"/>
      <c r="C577" s="78"/>
      <c r="D577" s="80" t="s">
        <v>21</v>
      </c>
      <c r="E577" s="146">
        <v>1</v>
      </c>
      <c r="F577" s="87">
        <v>224</v>
      </c>
      <c r="G577" s="87">
        <v>2</v>
      </c>
      <c r="H577" s="80">
        <v>340</v>
      </c>
      <c r="I577" s="80">
        <v>6</v>
      </c>
      <c r="J577" s="80">
        <v>0</v>
      </c>
      <c r="K577" s="80">
        <v>4</v>
      </c>
      <c r="L577" s="80">
        <v>0</v>
      </c>
      <c r="M577" s="80">
        <v>6</v>
      </c>
      <c r="N577" s="80">
        <v>0</v>
      </c>
      <c r="P577" s="124">
        <f t="shared" si="56"/>
        <v>6290</v>
      </c>
      <c r="Q577" s="124">
        <f t="shared" si="57"/>
        <v>226.66666666666666</v>
      </c>
      <c r="R577" s="161">
        <f t="shared" si="53"/>
        <v>0.9652173913043478</v>
      </c>
      <c r="S577" s="189" t="str">
        <f>D577</f>
        <v>HL-6 Low</v>
      </c>
      <c r="T577" s="81"/>
      <c r="U577" s="81"/>
      <c r="V577" s="81"/>
      <c r="Y577" s="87" t="str">
        <f>D577</f>
        <v>HL-6 Low</v>
      </c>
      <c r="Z577" s="361">
        <f>SUMIFS($P$509:$P$572, $D$509:$D$572, Y577, $F$509:$F$572, "&lt;200") + SUMIFS($Q$509:$Q$572, $D$509:$D$572, Y577, $F$509:$F$572, "&lt;200")</f>
        <v>47166.666666666672</v>
      </c>
      <c r="AA577" s="124">
        <f>SUM(P577:Q580)</f>
        <v>42563.333333333336</v>
      </c>
      <c r="AB577" s="124">
        <f>SUMIFS(Collection!O:O, Collection!B:B, "*" &amp; 'Bucket Counts'!Y577 &amp; "*", Collection!A:A, "&lt;" &amp; 'Bucket Counts'!A577,Collection!A:A,  "&gt;=" &amp; 'Bucket Counts'!$A$509)</f>
        <v>0</v>
      </c>
      <c r="AC577" s="161">
        <f>AA577/(Z577+AB577)</f>
        <v>0.90240282685512363</v>
      </c>
    </row>
    <row r="578" spans="1:30" s="80" customFormat="1">
      <c r="A578" s="190">
        <v>42919</v>
      </c>
      <c r="B578" s="78"/>
      <c r="C578" s="78"/>
      <c r="D578" s="80" t="s">
        <v>21</v>
      </c>
      <c r="E578" s="146">
        <v>1</v>
      </c>
      <c r="F578" s="87">
        <v>180</v>
      </c>
      <c r="G578" s="87">
        <v>1</v>
      </c>
      <c r="H578" s="80">
        <v>340</v>
      </c>
      <c r="I578" s="80">
        <v>27</v>
      </c>
      <c r="J578" s="80">
        <v>0</v>
      </c>
      <c r="K578" s="80">
        <v>47</v>
      </c>
      <c r="L578" s="80">
        <v>1</v>
      </c>
      <c r="M578" s="80">
        <v>37</v>
      </c>
      <c r="N578" s="80">
        <v>3</v>
      </c>
      <c r="P578" s="124">
        <f t="shared" si="56"/>
        <v>14506.666666666666</v>
      </c>
      <c r="Q578" s="124">
        <f t="shared" si="57"/>
        <v>3173.3333333333335</v>
      </c>
      <c r="R578" s="161">
        <f t="shared" si="53"/>
        <v>0.82051282051282048</v>
      </c>
      <c r="S578" s="187">
        <f>(SUM(P577:P580)/(SUM(P577:Q580)))</f>
        <v>0.50943691753465414</v>
      </c>
      <c r="T578" s="81"/>
      <c r="U578" s="81"/>
      <c r="V578" s="81"/>
      <c r="Y578" s="87"/>
      <c r="Z578" s="361"/>
      <c r="AA578" s="124"/>
      <c r="AB578" s="124"/>
    </row>
    <row r="579" spans="1:30" s="80" customFormat="1">
      <c r="A579" s="190">
        <v>42919</v>
      </c>
      <c r="B579" s="78"/>
      <c r="C579" s="78"/>
      <c r="D579" s="80" t="s">
        <v>21</v>
      </c>
      <c r="E579" s="146">
        <v>1</v>
      </c>
      <c r="F579" s="87">
        <v>100</v>
      </c>
      <c r="G579" s="87">
        <v>1</v>
      </c>
      <c r="H579" s="80">
        <v>460</v>
      </c>
      <c r="I579" s="80">
        <v>43</v>
      </c>
      <c r="J579" s="80">
        <v>10</v>
      </c>
      <c r="K579" s="80">
        <v>47</v>
      </c>
      <c r="L579" s="80">
        <v>7</v>
      </c>
      <c r="M579" s="80">
        <v>38</v>
      </c>
      <c r="N579" s="80">
        <v>11</v>
      </c>
      <c r="P579" s="124">
        <f t="shared" si="56"/>
        <v>153.33333333333331</v>
      </c>
      <c r="Q579" s="124">
        <f t="shared" si="57"/>
        <v>17480</v>
      </c>
      <c r="R579" s="161">
        <f t="shared" si="53"/>
        <v>8.6956521739130436E-3</v>
      </c>
      <c r="S579" s="188"/>
      <c r="T579" s="81"/>
      <c r="U579" s="81"/>
      <c r="V579" s="81"/>
      <c r="Y579" s="87"/>
      <c r="Z579" s="361"/>
      <c r="AA579" s="124"/>
      <c r="AB579" s="124"/>
    </row>
    <row r="580" spans="1:30" s="80" customFormat="1">
      <c r="A580" s="190">
        <v>42919</v>
      </c>
      <c r="B580" s="78"/>
      <c r="C580" s="78"/>
      <c r="D580" s="80" t="s">
        <v>21</v>
      </c>
      <c r="E580" s="146">
        <v>1</v>
      </c>
      <c r="F580" s="87" t="s">
        <v>203</v>
      </c>
      <c r="G580" s="87">
        <v>1</v>
      </c>
      <c r="H580" s="80">
        <v>275</v>
      </c>
      <c r="I580" s="80">
        <v>1</v>
      </c>
      <c r="J580" s="80">
        <v>34</v>
      </c>
      <c r="K580" s="80">
        <v>0</v>
      </c>
      <c r="L580" s="80">
        <v>41</v>
      </c>
      <c r="M580" s="80">
        <v>0</v>
      </c>
      <c r="N580" s="80">
        <v>39</v>
      </c>
      <c r="P580" s="124">
        <f t="shared" si="56"/>
        <v>733.33333333333326</v>
      </c>
      <c r="Q580" s="124">
        <f t="shared" si="57"/>
        <v>0</v>
      </c>
      <c r="R580" s="161">
        <f t="shared" si="53"/>
        <v>1</v>
      </c>
      <c r="S580" s="188"/>
      <c r="T580" s="81"/>
      <c r="U580" s="81"/>
      <c r="V580" s="81"/>
      <c r="Y580" s="87"/>
      <c r="Z580" s="361"/>
      <c r="AA580" s="124"/>
      <c r="AB580" s="124"/>
    </row>
    <row r="581" spans="1:30" s="80" customFormat="1">
      <c r="A581" s="190">
        <v>42919</v>
      </c>
      <c r="B581" s="78"/>
      <c r="C581" s="78"/>
      <c r="D581" s="80" t="s">
        <v>119</v>
      </c>
      <c r="E581" s="80">
        <v>2</v>
      </c>
      <c r="F581" s="87">
        <v>224</v>
      </c>
      <c r="G581" s="87">
        <v>2</v>
      </c>
      <c r="H581" s="80">
        <v>250</v>
      </c>
      <c r="I581" s="80">
        <v>0</v>
      </c>
      <c r="J581" s="80">
        <v>0</v>
      </c>
      <c r="K581" s="80">
        <v>2</v>
      </c>
      <c r="L581" s="80">
        <v>0</v>
      </c>
      <c r="M581" s="80">
        <v>6</v>
      </c>
      <c r="N581" s="80">
        <v>0</v>
      </c>
      <c r="P581" s="124">
        <f t="shared" si="55"/>
        <v>333.33333333333331</v>
      </c>
      <c r="Q581" s="124">
        <f t="shared" si="52"/>
        <v>0</v>
      </c>
      <c r="R581" s="161">
        <f t="shared" si="53"/>
        <v>1</v>
      </c>
      <c r="S581" s="189" t="str">
        <f>D581</f>
        <v>HL-6 Ambient</v>
      </c>
      <c r="T581" s="81"/>
      <c r="U581" s="81"/>
      <c r="V581" s="81"/>
      <c r="Y581" s="87" t="str">
        <f>D581</f>
        <v>HL-6 Ambient</v>
      </c>
      <c r="Z581" s="361">
        <f>SUMIFS($P$509:$P$572, $D$509:$D$572, Y581, $F$509:$F$572, "&lt;200") + SUMIFS($Q$509:$Q$572, $D$509:$D$572, Y581, $F$509:$F$572, "&lt;200")</f>
        <v>20096.666666666668</v>
      </c>
      <c r="AA581" s="124">
        <f>SUM(P581:Q584)</f>
        <v>12033.333333333334</v>
      </c>
      <c r="AB581" s="124">
        <f>SUMIFS(Collection!O:O, Collection!B:B, "*" &amp; 'Bucket Counts'!Y581 &amp; "*", Collection!A:A, "&lt;" &amp; 'Bucket Counts'!A581,Collection!A:A,  "&gt;=" &amp; 'Bucket Counts'!$A$509)</f>
        <v>0</v>
      </c>
      <c r="AC581" s="161">
        <f>AA581/(Z581+AB581)</f>
        <v>0.59877259910432912</v>
      </c>
      <c r="AD581" s="346">
        <f>0.94*Z581-AA581</f>
        <v>6857.533333333331</v>
      </c>
    </row>
    <row r="582" spans="1:30" s="80" customFormat="1">
      <c r="A582" s="190">
        <v>42919</v>
      </c>
      <c r="B582" s="78"/>
      <c r="C582" s="78"/>
      <c r="D582" s="80" t="s">
        <v>119</v>
      </c>
      <c r="E582" s="80">
        <v>2</v>
      </c>
      <c r="F582" s="87">
        <v>180</v>
      </c>
      <c r="G582" s="87">
        <v>1</v>
      </c>
      <c r="H582" s="229">
        <v>400</v>
      </c>
      <c r="I582" s="80">
        <v>4</v>
      </c>
      <c r="J582" s="80">
        <v>1</v>
      </c>
      <c r="K582" s="80">
        <v>10</v>
      </c>
      <c r="L582" s="80">
        <v>1</v>
      </c>
      <c r="M582" s="80">
        <v>11</v>
      </c>
      <c r="N582" s="80">
        <v>1</v>
      </c>
      <c r="P582" s="124">
        <f t="shared" si="55"/>
        <v>3333.3333333333335</v>
      </c>
      <c r="Q582" s="124">
        <f t="shared" si="52"/>
        <v>400</v>
      </c>
      <c r="R582" s="161">
        <f t="shared" si="53"/>
        <v>0.8928571428571429</v>
      </c>
      <c r="S582" s="187">
        <f>(SUM(P581:P584)/(SUM(P581:Q584)))</f>
        <v>0.47091412742382271</v>
      </c>
      <c r="T582" s="81"/>
      <c r="U582" s="81"/>
      <c r="V582" s="81"/>
      <c r="Y582" s="87"/>
      <c r="Z582" s="361"/>
      <c r="AA582" s="124"/>
      <c r="AB582" s="124"/>
    </row>
    <row r="583" spans="1:30" s="80" customFormat="1">
      <c r="A583" s="190">
        <v>42919</v>
      </c>
      <c r="B583" s="78"/>
      <c r="C583" s="78"/>
      <c r="D583" s="80" t="s">
        <v>119</v>
      </c>
      <c r="E583" s="80">
        <v>2</v>
      </c>
      <c r="F583" s="87">
        <v>100</v>
      </c>
      <c r="G583" s="87">
        <v>1</v>
      </c>
      <c r="H583" s="229">
        <v>300</v>
      </c>
      <c r="I583" s="80">
        <v>6</v>
      </c>
      <c r="J583" s="80">
        <v>6</v>
      </c>
      <c r="K583" s="80">
        <v>7</v>
      </c>
      <c r="L583" s="80">
        <v>3</v>
      </c>
      <c r="M583" s="80">
        <v>7</v>
      </c>
      <c r="N583" s="80">
        <v>4</v>
      </c>
      <c r="P583" s="124">
        <f t="shared" si="55"/>
        <v>2000</v>
      </c>
      <c r="Q583" s="124">
        <f t="shared" si="52"/>
        <v>1300</v>
      </c>
      <c r="R583" s="161">
        <f t="shared" si="53"/>
        <v>0.60606060606060608</v>
      </c>
      <c r="S583" s="188"/>
      <c r="T583" s="81"/>
      <c r="U583" s="81"/>
      <c r="V583" s="81"/>
      <c r="Y583" s="87"/>
      <c r="Z583" s="361"/>
      <c r="AA583" s="124"/>
      <c r="AB583" s="124"/>
    </row>
    <row r="584" spans="1:30" s="80" customFormat="1">
      <c r="A584" s="190">
        <v>42919</v>
      </c>
      <c r="B584" s="78"/>
      <c r="C584" s="78"/>
      <c r="D584" s="80" t="s">
        <v>119</v>
      </c>
      <c r="E584" s="80">
        <v>2</v>
      </c>
      <c r="F584" s="87" t="s">
        <v>203</v>
      </c>
      <c r="G584" s="87">
        <v>1</v>
      </c>
      <c r="H584" s="229">
        <v>250</v>
      </c>
      <c r="I584" s="80">
        <v>0</v>
      </c>
      <c r="J584" s="80">
        <v>20</v>
      </c>
      <c r="K584" s="80">
        <v>0</v>
      </c>
      <c r="L584" s="80">
        <v>19</v>
      </c>
      <c r="M584" s="80">
        <v>0</v>
      </c>
      <c r="N584" s="80">
        <v>17</v>
      </c>
      <c r="P584" s="124">
        <f>(AVERAGE(I584,K584,M584)/G584)*H584</f>
        <v>0</v>
      </c>
      <c r="Q584" s="124">
        <f t="shared" si="52"/>
        <v>4666.666666666667</v>
      </c>
      <c r="R584" s="161">
        <f t="shared" si="53"/>
        <v>0</v>
      </c>
      <c r="S584" s="188"/>
      <c r="T584" s="81"/>
      <c r="U584" s="81"/>
      <c r="V584" s="81"/>
      <c r="Y584" s="87"/>
      <c r="Z584" s="361"/>
      <c r="AA584" s="124"/>
      <c r="AB584" s="124"/>
    </row>
    <row r="585" spans="1:30" s="80" customFormat="1">
      <c r="A585" s="190">
        <v>42919</v>
      </c>
      <c r="B585" s="78"/>
      <c r="C585" s="78"/>
      <c r="D585" s="79" t="s">
        <v>83</v>
      </c>
      <c r="E585" s="80">
        <v>2</v>
      </c>
      <c r="F585" s="87">
        <v>224</v>
      </c>
      <c r="G585" s="87">
        <v>3</v>
      </c>
      <c r="H585" s="229">
        <v>280</v>
      </c>
      <c r="I585" s="80">
        <v>0</v>
      </c>
      <c r="J585" s="80">
        <v>0</v>
      </c>
      <c r="K585" s="80">
        <v>0</v>
      </c>
      <c r="L585" s="80">
        <v>0</v>
      </c>
      <c r="M585" s="80">
        <v>0</v>
      </c>
      <c r="N585" s="80">
        <v>0</v>
      </c>
      <c r="P585" s="124">
        <v>2</v>
      </c>
      <c r="Q585" s="124">
        <f t="shared" si="52"/>
        <v>0</v>
      </c>
      <c r="R585" s="161">
        <f t="shared" si="53"/>
        <v>1</v>
      </c>
      <c r="S585" s="189" t="str">
        <f>D585</f>
        <v>NF-10 Low</v>
      </c>
      <c r="T585" s="81"/>
      <c r="U585" s="81"/>
      <c r="V585" s="81"/>
      <c r="W585" s="80" t="s">
        <v>308</v>
      </c>
      <c r="Y585" s="87" t="str">
        <f>D585</f>
        <v>NF-10 Low</v>
      </c>
      <c r="Z585" s="361">
        <f>SUMIFS($P$509:$P$572, $D$509:$D$572, Y585, $F$509:$F$572, "&lt;200") + SUMIFS($Q$509:$Q$572, $D$509:$D$572, Y585, $F$509:$F$572, "&lt;200")</f>
        <v>81.666666666666657</v>
      </c>
      <c r="AA585" s="124">
        <f>SUM(P585:Q588)</f>
        <v>124.22222222222223</v>
      </c>
      <c r="AB585" s="124">
        <f>SUMIFS(Collection!O:O, Collection!B:B, "*" &amp; 'Bucket Counts'!Y585 &amp; "*", Collection!A:A, "&lt;" &amp; 'Bucket Counts'!A585,Collection!A:A,  "&gt;=" &amp; 'Bucket Counts'!$A$509)</f>
        <v>0</v>
      </c>
      <c r="AC585" s="161">
        <f>AA585/(Z585+AB585)</f>
        <v>1.5210884353741498</v>
      </c>
    </row>
    <row r="586" spans="1:30" s="80" customFormat="1">
      <c r="A586" s="190">
        <v>42919</v>
      </c>
      <c r="B586" s="78"/>
      <c r="C586" s="78"/>
      <c r="D586" s="79" t="s">
        <v>83</v>
      </c>
      <c r="E586" s="80">
        <v>2</v>
      </c>
      <c r="F586" s="87">
        <v>180</v>
      </c>
      <c r="G586" s="87">
        <v>3</v>
      </c>
      <c r="H586" s="229">
        <v>280</v>
      </c>
      <c r="I586" s="80">
        <v>0</v>
      </c>
      <c r="J586" s="80">
        <v>0</v>
      </c>
      <c r="K586" s="80">
        <v>2</v>
      </c>
      <c r="L586" s="80">
        <v>0</v>
      </c>
      <c r="M586" s="80">
        <v>0</v>
      </c>
      <c r="N586" s="80">
        <v>0</v>
      </c>
      <c r="P586" s="124">
        <f t="shared" ref="P586:P596" si="58">(AVERAGE(I586,K586,M586)/G586)*H586</f>
        <v>62.222222222222221</v>
      </c>
      <c r="Q586" s="124">
        <f t="shared" si="52"/>
        <v>0</v>
      </c>
      <c r="R586" s="161">
        <f t="shared" si="53"/>
        <v>1</v>
      </c>
      <c r="S586" s="187">
        <f>(SUM(P585:P588)/(SUM(P585:Q588)))</f>
        <v>0.78533094812164572</v>
      </c>
      <c r="T586" s="81"/>
      <c r="U586" s="81"/>
      <c r="V586" s="81"/>
      <c r="Y586" s="87"/>
      <c r="Z586" s="361"/>
      <c r="AA586" s="124"/>
      <c r="AB586" s="124"/>
    </row>
    <row r="587" spans="1:30" s="80" customFormat="1">
      <c r="A587" s="190">
        <v>42919</v>
      </c>
      <c r="B587" s="78"/>
      <c r="C587" s="78"/>
      <c r="D587" s="79" t="s">
        <v>83</v>
      </c>
      <c r="E587" s="80">
        <v>2</v>
      </c>
      <c r="F587" s="87">
        <v>100</v>
      </c>
      <c r="G587" s="87">
        <v>3</v>
      </c>
      <c r="H587" s="229">
        <v>300</v>
      </c>
      <c r="I587" s="80">
        <v>1</v>
      </c>
      <c r="J587" s="80">
        <v>0</v>
      </c>
      <c r="K587" s="80">
        <v>0</v>
      </c>
      <c r="L587" s="80">
        <v>0</v>
      </c>
      <c r="M587" s="80">
        <v>0</v>
      </c>
      <c r="N587" s="80">
        <v>0</v>
      </c>
      <c r="P587" s="124">
        <f t="shared" si="58"/>
        <v>33.333333333333329</v>
      </c>
      <c r="Q587" s="124">
        <f t="shared" si="52"/>
        <v>0</v>
      </c>
      <c r="R587" s="161">
        <f t="shared" si="53"/>
        <v>1</v>
      </c>
      <c r="S587" s="188"/>
      <c r="T587" s="81"/>
      <c r="U587" s="81"/>
      <c r="V587" s="81"/>
      <c r="Y587" s="87"/>
      <c r="Z587" s="361"/>
      <c r="AA587" s="124"/>
      <c r="AB587" s="124"/>
    </row>
    <row r="588" spans="1:30" s="80" customFormat="1">
      <c r="A588" s="190">
        <v>42919</v>
      </c>
      <c r="B588" s="78"/>
      <c r="C588" s="78"/>
      <c r="D588" s="79" t="s">
        <v>83</v>
      </c>
      <c r="E588" s="80">
        <v>2</v>
      </c>
      <c r="F588" s="87" t="s">
        <v>203</v>
      </c>
      <c r="G588" s="87">
        <v>3</v>
      </c>
      <c r="H588" s="229">
        <v>240</v>
      </c>
      <c r="I588" s="80">
        <v>0</v>
      </c>
      <c r="J588" s="80">
        <v>1</v>
      </c>
      <c r="K588" s="80">
        <v>0</v>
      </c>
      <c r="L588" s="80">
        <v>0</v>
      </c>
      <c r="M588" s="80">
        <v>0</v>
      </c>
      <c r="N588" s="80">
        <v>0</v>
      </c>
      <c r="P588" s="124">
        <f t="shared" si="58"/>
        <v>0</v>
      </c>
      <c r="Q588" s="124">
        <f t="shared" si="52"/>
        <v>26.666666666666664</v>
      </c>
      <c r="R588" s="161">
        <f t="shared" si="53"/>
        <v>0</v>
      </c>
      <c r="S588" s="188"/>
      <c r="T588" s="81"/>
      <c r="U588" s="81"/>
      <c r="V588" s="81"/>
      <c r="Y588" s="87"/>
      <c r="Z588" s="361"/>
      <c r="AA588" s="124"/>
      <c r="AB588" s="124"/>
    </row>
    <row r="589" spans="1:30" s="80" customFormat="1">
      <c r="A589" s="190">
        <v>42919</v>
      </c>
      <c r="B589" s="78"/>
      <c r="C589" s="78"/>
      <c r="D589" s="80" t="s">
        <v>85</v>
      </c>
      <c r="E589" s="80">
        <v>3</v>
      </c>
      <c r="F589" s="87">
        <v>224</v>
      </c>
      <c r="G589" s="87">
        <v>3</v>
      </c>
      <c r="H589" s="229">
        <v>260</v>
      </c>
      <c r="I589" s="80">
        <v>1</v>
      </c>
      <c r="J589" s="80">
        <v>0</v>
      </c>
      <c r="K589" s="80">
        <v>1</v>
      </c>
      <c r="L589" s="80">
        <v>0</v>
      </c>
      <c r="M589" s="80">
        <v>0</v>
      </c>
      <c r="N589" s="80">
        <v>0</v>
      </c>
      <c r="P589" s="124">
        <f t="shared" si="58"/>
        <v>57.777777777777771</v>
      </c>
      <c r="Q589" s="124">
        <f t="shared" si="52"/>
        <v>0</v>
      </c>
      <c r="R589" s="161">
        <f t="shared" si="53"/>
        <v>1</v>
      </c>
      <c r="S589" s="189" t="str">
        <f>D589</f>
        <v>NF-6 Ambient</v>
      </c>
      <c r="T589" s="81"/>
      <c r="U589" s="81"/>
      <c r="V589" s="81"/>
      <c r="Y589" s="87" t="str">
        <f>D589</f>
        <v>NF-6 Ambient</v>
      </c>
      <c r="Z589" s="361">
        <f>SUMIFS($P$509:$P$572, $D$509:$D$572, Y589, $F$509:$F$572, "&lt;200") + SUMIFS($Q$509:$Q$572, $D$509:$D$572, Y589, $F$509:$F$572, "&lt;200")</f>
        <v>1789.9999999999998</v>
      </c>
      <c r="AA589" s="124">
        <f>SUM(P589:Q592)</f>
        <v>1660</v>
      </c>
      <c r="AB589" s="124">
        <f>SUMIFS(Collection!O:O, Collection!B:B, "*" &amp; 'Bucket Counts'!Y589 &amp; "*", Collection!A:A, "&lt;" &amp; 'Bucket Counts'!A589,Collection!A:A,  "&gt;=" &amp; 'Bucket Counts'!$A$509)</f>
        <v>0</v>
      </c>
      <c r="AC589" s="161">
        <f>AA589/(Z589+AB589)</f>
        <v>0.92737430167597779</v>
      </c>
    </row>
    <row r="590" spans="1:30" s="80" customFormat="1">
      <c r="A590" s="190">
        <v>42919</v>
      </c>
      <c r="B590" s="78"/>
      <c r="C590" s="78"/>
      <c r="D590" s="80" t="s">
        <v>85</v>
      </c>
      <c r="E590" s="80">
        <v>3</v>
      </c>
      <c r="F590" s="87">
        <v>180</v>
      </c>
      <c r="G590" s="87">
        <v>3</v>
      </c>
      <c r="H590" s="229">
        <v>300</v>
      </c>
      <c r="I590" s="80">
        <v>7</v>
      </c>
      <c r="J590" s="80">
        <v>0</v>
      </c>
      <c r="K590" s="80">
        <v>7</v>
      </c>
      <c r="L590" s="80">
        <v>1</v>
      </c>
      <c r="M590" s="80">
        <v>9</v>
      </c>
      <c r="N590" s="80">
        <v>0</v>
      </c>
      <c r="P590" s="124">
        <f t="shared" si="58"/>
        <v>766.66666666666674</v>
      </c>
      <c r="Q590" s="124">
        <f t="shared" si="52"/>
        <v>33.333333333333329</v>
      </c>
      <c r="R590" s="161">
        <f t="shared" si="53"/>
        <v>0.95833333333333326</v>
      </c>
      <c r="S590" s="187">
        <f>(SUM(P589:P592)/(SUM(P589:Q592)))</f>
        <v>0.55287817938420358</v>
      </c>
      <c r="T590" s="81"/>
      <c r="U590" s="81"/>
      <c r="V590" s="81"/>
      <c r="Y590" s="87"/>
      <c r="Z590" s="361"/>
      <c r="AA590" s="124"/>
      <c r="AB590" s="124"/>
    </row>
    <row r="591" spans="1:30" s="80" customFormat="1">
      <c r="A591" s="190">
        <v>42919</v>
      </c>
      <c r="B591" s="78"/>
      <c r="C591" s="78"/>
      <c r="D591" s="80" t="s">
        <v>85</v>
      </c>
      <c r="E591" s="80">
        <v>3</v>
      </c>
      <c r="F591" s="87">
        <v>100</v>
      </c>
      <c r="G591" s="87">
        <v>3</v>
      </c>
      <c r="H591" s="229">
        <v>280</v>
      </c>
      <c r="I591" s="80">
        <v>2</v>
      </c>
      <c r="J591" s="80">
        <v>0</v>
      </c>
      <c r="K591" s="80">
        <v>1</v>
      </c>
      <c r="L591" s="80">
        <v>0</v>
      </c>
      <c r="M591" s="80">
        <v>0</v>
      </c>
      <c r="N591" s="80">
        <v>0</v>
      </c>
      <c r="P591" s="124">
        <f t="shared" si="58"/>
        <v>93.333333333333329</v>
      </c>
      <c r="Q591" s="124">
        <f t="shared" si="52"/>
        <v>0</v>
      </c>
      <c r="R591" s="161">
        <f t="shared" si="53"/>
        <v>1</v>
      </c>
      <c r="S591" s="188"/>
      <c r="T591" s="81"/>
      <c r="U591" s="81"/>
      <c r="V591" s="81"/>
      <c r="Y591" s="87"/>
      <c r="Z591" s="361"/>
      <c r="AA591" s="124"/>
      <c r="AB591" s="124"/>
    </row>
    <row r="592" spans="1:30" s="80" customFormat="1">
      <c r="A592" s="190">
        <v>42919</v>
      </c>
      <c r="B592" s="78"/>
      <c r="C592" s="78"/>
      <c r="D592" s="80" t="s">
        <v>85</v>
      </c>
      <c r="E592" s="80">
        <v>3</v>
      </c>
      <c r="F592" s="87" t="s">
        <v>203</v>
      </c>
      <c r="G592" s="87">
        <v>3</v>
      </c>
      <c r="H592" s="229">
        <v>290</v>
      </c>
      <c r="I592" s="80">
        <v>0</v>
      </c>
      <c r="J592" s="80">
        <v>14</v>
      </c>
      <c r="K592" s="80">
        <v>0</v>
      </c>
      <c r="L592" s="80">
        <v>5</v>
      </c>
      <c r="M592" s="80">
        <v>0</v>
      </c>
      <c r="N592" s="80">
        <v>3</v>
      </c>
      <c r="P592" s="124">
        <f t="shared" si="58"/>
        <v>0</v>
      </c>
      <c r="Q592" s="124">
        <f t="shared" si="52"/>
        <v>708.8888888888888</v>
      </c>
      <c r="R592" s="161">
        <f t="shared" si="53"/>
        <v>0</v>
      </c>
      <c r="S592" s="188"/>
      <c r="T592" s="81"/>
      <c r="U592" s="81"/>
      <c r="V592" s="81"/>
      <c r="Y592" s="87"/>
      <c r="Z592" s="361"/>
      <c r="AA592" s="124"/>
      <c r="AB592" s="124"/>
    </row>
    <row r="593" spans="1:29" s="80" customFormat="1">
      <c r="A593" s="190">
        <v>42919</v>
      </c>
      <c r="B593" s="78"/>
      <c r="C593" s="78"/>
      <c r="D593" s="80" t="s">
        <v>105</v>
      </c>
      <c r="E593" s="80">
        <v>3</v>
      </c>
      <c r="F593" s="87">
        <v>224</v>
      </c>
      <c r="G593" s="87">
        <v>2</v>
      </c>
      <c r="H593" s="229">
        <v>325</v>
      </c>
      <c r="I593" s="80">
        <v>10</v>
      </c>
      <c r="J593" s="80">
        <v>0</v>
      </c>
      <c r="K593" s="80">
        <v>9</v>
      </c>
      <c r="L593" s="80">
        <v>0</v>
      </c>
      <c r="M593" s="80">
        <v>9</v>
      </c>
      <c r="N593" s="80">
        <v>0</v>
      </c>
      <c r="P593" s="124">
        <f t="shared" si="58"/>
        <v>1516.6666666666667</v>
      </c>
      <c r="Q593" s="124">
        <f t="shared" si="52"/>
        <v>0</v>
      </c>
      <c r="R593" s="161">
        <f t="shared" si="53"/>
        <v>1</v>
      </c>
      <c r="S593" s="189" t="str">
        <f>D593</f>
        <v>NF-6 Low</v>
      </c>
      <c r="T593" s="81"/>
      <c r="U593" s="81"/>
      <c r="V593" s="81"/>
      <c r="Y593" s="87" t="str">
        <f>D593</f>
        <v>NF-6 Low</v>
      </c>
      <c r="Z593" s="361">
        <f>SUMIFS($P$509:$P$572, $D$509:$D$572, Y593, $F$509:$F$572, "&lt;200") + SUMIFS($Q$509:$Q$572, $D$509:$D$572, Y593, $F$509:$F$572, "&lt;200")</f>
        <v>33333.333333333336</v>
      </c>
      <c r="AA593" s="124">
        <f>SUM(P593:Q596)</f>
        <v>33648.333333333336</v>
      </c>
      <c r="AB593" s="124">
        <f>SUMIFS(Collection!O:O, Collection!B:B, "*" &amp; 'Bucket Counts'!Y593 &amp; "*", Collection!A:A, "&lt;" &amp; 'Bucket Counts'!A593,Collection!A:A,  "&gt;=" &amp; 'Bucket Counts'!$A$509)</f>
        <v>0</v>
      </c>
      <c r="AC593" s="161">
        <f>AA593/(Z593+AB593)</f>
        <v>1.00945</v>
      </c>
    </row>
    <row r="594" spans="1:29" s="80" customFormat="1">
      <c r="A594" s="190">
        <v>42919</v>
      </c>
      <c r="B594" s="78"/>
      <c r="C594" s="78"/>
      <c r="D594" s="80" t="s">
        <v>105</v>
      </c>
      <c r="E594" s="80">
        <v>3</v>
      </c>
      <c r="F594" s="87">
        <v>180</v>
      </c>
      <c r="G594" s="87">
        <v>1</v>
      </c>
      <c r="H594" s="229">
        <v>480</v>
      </c>
      <c r="I594" s="80">
        <v>48</v>
      </c>
      <c r="J594" s="80">
        <v>1</v>
      </c>
      <c r="K594" s="80">
        <v>46</v>
      </c>
      <c r="L594" s="80">
        <v>0</v>
      </c>
      <c r="M594" s="80">
        <v>29</v>
      </c>
      <c r="N594" s="80">
        <v>0</v>
      </c>
      <c r="P594" s="124">
        <f t="shared" si="58"/>
        <v>19680</v>
      </c>
      <c r="Q594" s="124">
        <f t="shared" si="52"/>
        <v>160</v>
      </c>
      <c r="R594" s="161">
        <f t="shared" si="53"/>
        <v>0.99193548387096775</v>
      </c>
      <c r="S594" s="187">
        <f>(SUM(P593:P596)/(SUM(P593:Q596)))</f>
        <v>0.8290653326068651</v>
      </c>
      <c r="T594" s="81"/>
      <c r="Y594" s="87"/>
      <c r="Z594" s="361"/>
      <c r="AA594" s="124"/>
      <c r="AB594" s="124"/>
    </row>
    <row r="595" spans="1:29" s="80" customFormat="1">
      <c r="A595" s="190">
        <v>42919</v>
      </c>
      <c r="B595" s="78"/>
      <c r="C595" s="78"/>
      <c r="D595" s="80" t="s">
        <v>105</v>
      </c>
      <c r="E595" s="80">
        <v>3</v>
      </c>
      <c r="F595" s="87">
        <v>100</v>
      </c>
      <c r="G595" s="87">
        <v>1</v>
      </c>
      <c r="H595" s="80">
        <v>275</v>
      </c>
      <c r="I595" s="80">
        <v>27</v>
      </c>
      <c r="J595" s="80">
        <v>0</v>
      </c>
      <c r="K595" s="80">
        <v>24</v>
      </c>
      <c r="L595" s="80">
        <v>1</v>
      </c>
      <c r="M595" s="80">
        <v>21</v>
      </c>
      <c r="N595" s="80">
        <v>0</v>
      </c>
      <c r="P595" s="124">
        <f t="shared" si="58"/>
        <v>6600</v>
      </c>
      <c r="Q595" s="124">
        <f t="shared" si="52"/>
        <v>91.666666666666657</v>
      </c>
      <c r="R595" s="161">
        <f t="shared" si="53"/>
        <v>0.98630136986301364</v>
      </c>
      <c r="S595" s="188"/>
      <c r="T595" s="81"/>
      <c r="Y595" s="87"/>
      <c r="Z595" s="361"/>
      <c r="AA595" s="124"/>
      <c r="AB595" s="124"/>
    </row>
    <row r="596" spans="1:29" s="80" customFormat="1">
      <c r="A596" s="190">
        <v>42919</v>
      </c>
      <c r="B596" s="78"/>
      <c r="C596" s="78"/>
      <c r="D596" s="80" t="s">
        <v>105</v>
      </c>
      <c r="E596" s="80">
        <v>3</v>
      </c>
      <c r="F596" s="87" t="s">
        <v>203</v>
      </c>
      <c r="G596" s="87">
        <v>1</v>
      </c>
      <c r="H596" s="80">
        <v>300</v>
      </c>
      <c r="I596" s="80">
        <v>0</v>
      </c>
      <c r="J596" s="80">
        <v>17</v>
      </c>
      <c r="K596" s="80">
        <v>0</v>
      </c>
      <c r="L596" s="80">
        <v>19</v>
      </c>
      <c r="M596" s="80">
        <v>1</v>
      </c>
      <c r="N596" s="80">
        <v>19</v>
      </c>
      <c r="P596" s="124">
        <f t="shared" si="58"/>
        <v>100</v>
      </c>
      <c r="Q596" s="124">
        <f t="shared" si="52"/>
        <v>5500</v>
      </c>
      <c r="R596" s="161">
        <f t="shared" si="53"/>
        <v>1.7857142857142856E-2</v>
      </c>
      <c r="S596" s="188"/>
      <c r="T596" s="81"/>
      <c r="Y596" s="87"/>
      <c r="Z596" s="361"/>
      <c r="AA596" s="124"/>
      <c r="AB596" s="124"/>
    </row>
    <row r="597" spans="1:29" s="80" customFormat="1">
      <c r="A597" s="190">
        <v>42919</v>
      </c>
      <c r="B597" s="78"/>
      <c r="C597" s="78"/>
      <c r="D597" s="79" t="s">
        <v>86</v>
      </c>
      <c r="E597" s="80">
        <v>4</v>
      </c>
      <c r="F597" s="87">
        <v>224</v>
      </c>
      <c r="G597" s="87">
        <v>3</v>
      </c>
      <c r="H597" s="80">
        <v>260</v>
      </c>
      <c r="I597" s="80">
        <v>0</v>
      </c>
      <c r="J597" s="80">
        <v>0</v>
      </c>
      <c r="K597" s="80">
        <v>0</v>
      </c>
      <c r="L597" s="80">
        <v>0</v>
      </c>
      <c r="M597" s="80">
        <v>0</v>
      </c>
      <c r="N597" s="80">
        <v>0</v>
      </c>
      <c r="P597" s="124">
        <v>3</v>
      </c>
      <c r="Q597" s="124">
        <f t="shared" ref="Q597:Q608" si="59">(AVERAGE(J598,L598,N598)/G597)*H597</f>
        <v>57.777777777777771</v>
      </c>
      <c r="R597" s="161">
        <f t="shared" si="53"/>
        <v>4.93601462522852E-2</v>
      </c>
      <c r="S597" s="186" t="str">
        <f>D597</f>
        <v>SN-10 Ambient</v>
      </c>
      <c r="T597" s="81"/>
      <c r="W597" s="80" t="s">
        <v>310</v>
      </c>
      <c r="Y597" s="87" t="str">
        <f>D597</f>
        <v>SN-10 Ambient</v>
      </c>
      <c r="Z597" s="361">
        <f>SUMIFS($P$509:$P$572, $D$509:$D$572, Y597, $F$509:$F$572, "&lt;200") + SUMIFS($Q$509:$Q$572, $D$509:$D$572, Y597, $F$509:$F$572, "&lt;200")</f>
        <v>1770</v>
      </c>
      <c r="AA597" s="124">
        <f>SUM(P597:Q600)</f>
        <v>852.99999999999989</v>
      </c>
      <c r="AB597" s="124">
        <f>SUMIFS(Collection!O:O, Collection!B:B, "*" &amp; 'Bucket Counts'!Y597 &amp; "*", Collection!A:A, "&lt;" &amp; 'Bucket Counts'!A597,Collection!A:A,  "&gt;=" &amp; 'Bucket Counts'!$A$509)</f>
        <v>0</v>
      </c>
      <c r="AC597" s="161">
        <f>AA597/(Z597+AB597)</f>
        <v>0.48192090395480219</v>
      </c>
    </row>
    <row r="598" spans="1:29" s="80" customFormat="1">
      <c r="A598" s="190">
        <v>42919</v>
      </c>
      <c r="B598" s="78"/>
      <c r="C598" s="78"/>
      <c r="D598" s="79" t="s">
        <v>86</v>
      </c>
      <c r="E598" s="80">
        <v>4</v>
      </c>
      <c r="F598" s="87">
        <v>180</v>
      </c>
      <c r="G598" s="87">
        <v>3</v>
      </c>
      <c r="H598" s="80">
        <v>220</v>
      </c>
      <c r="I598" s="80">
        <v>1</v>
      </c>
      <c r="J598" s="80">
        <v>2</v>
      </c>
      <c r="K598" s="80">
        <v>0</v>
      </c>
      <c r="L598" s="80">
        <v>0</v>
      </c>
      <c r="M598" s="80">
        <v>4</v>
      </c>
      <c r="N598" s="80">
        <v>0</v>
      </c>
      <c r="P598" s="124">
        <f t="shared" ref="P598:P608" si="60">(AVERAGE(I599,K599,M599)/G598)*H598</f>
        <v>268.88888888888886</v>
      </c>
      <c r="Q598" s="124">
        <f t="shared" si="59"/>
        <v>73.333333333333329</v>
      </c>
      <c r="R598" s="161">
        <f t="shared" si="53"/>
        <v>0.7857142857142857</v>
      </c>
      <c r="S598" s="187">
        <f>(SUM(P597:P600)/(SUM(P597:Q600)))</f>
        <v>0.3786635404454865</v>
      </c>
      <c r="T598" s="81"/>
      <c r="Y598" s="87"/>
      <c r="Z598" s="361"/>
      <c r="AA598" s="124"/>
      <c r="AB598" s="124"/>
    </row>
    <row r="599" spans="1:29" s="80" customFormat="1">
      <c r="A599" s="190">
        <v>42919</v>
      </c>
      <c r="B599" s="78"/>
      <c r="C599" s="78"/>
      <c r="D599" s="79" t="s">
        <v>86</v>
      </c>
      <c r="E599" s="80">
        <v>4</v>
      </c>
      <c r="F599" s="87">
        <v>100</v>
      </c>
      <c r="G599" s="87">
        <v>3</v>
      </c>
      <c r="H599" s="228">
        <v>240</v>
      </c>
      <c r="I599" s="80">
        <v>0</v>
      </c>
      <c r="J599" s="80">
        <v>1</v>
      </c>
      <c r="K599" s="80">
        <v>7</v>
      </c>
      <c r="L599" s="80">
        <v>1</v>
      </c>
      <c r="M599" s="80">
        <v>4</v>
      </c>
      <c r="N599" s="80">
        <v>1</v>
      </c>
      <c r="P599" s="124">
        <f t="shared" si="60"/>
        <v>0</v>
      </c>
      <c r="Q599" s="124">
        <f t="shared" si="59"/>
        <v>373.33333333333331</v>
      </c>
      <c r="R599" s="161">
        <f t="shared" si="53"/>
        <v>0</v>
      </c>
      <c r="S599" s="185"/>
      <c r="T599" s="81"/>
      <c r="Y599" s="87"/>
      <c r="Z599" s="361"/>
      <c r="AA599" s="124"/>
      <c r="AB599" s="124"/>
    </row>
    <row r="600" spans="1:29" s="80" customFormat="1">
      <c r="A600" s="190">
        <v>42919</v>
      </c>
      <c r="B600" s="78"/>
      <c r="C600" s="78"/>
      <c r="D600" s="79" t="s">
        <v>86</v>
      </c>
      <c r="E600" s="80">
        <v>4</v>
      </c>
      <c r="F600" s="87" t="s">
        <v>203</v>
      </c>
      <c r="G600" s="87">
        <v>3</v>
      </c>
      <c r="H600" s="228">
        <v>230</v>
      </c>
      <c r="I600" s="80">
        <v>0</v>
      </c>
      <c r="J600" s="80">
        <v>2</v>
      </c>
      <c r="K600" s="80">
        <v>0</v>
      </c>
      <c r="L600" s="80">
        <v>5</v>
      </c>
      <c r="M600" s="80">
        <v>0</v>
      </c>
      <c r="N600" s="80">
        <v>7</v>
      </c>
      <c r="P600" s="124">
        <f t="shared" si="60"/>
        <v>51.111111111111107</v>
      </c>
      <c r="Q600" s="124">
        <f t="shared" si="59"/>
        <v>25.555555555555554</v>
      </c>
      <c r="R600" s="161">
        <f t="shared" si="53"/>
        <v>0.66666666666666674</v>
      </c>
      <c r="S600" s="188"/>
      <c r="T600" s="81"/>
      <c r="Y600" s="87"/>
      <c r="Z600" s="361"/>
      <c r="AA600" s="124"/>
      <c r="AB600" s="124"/>
    </row>
    <row r="601" spans="1:29" s="80" customFormat="1">
      <c r="A601" s="190">
        <v>42919</v>
      </c>
      <c r="B601" s="78"/>
      <c r="C601" s="78"/>
      <c r="D601" s="79" t="s">
        <v>77</v>
      </c>
      <c r="E601" s="80">
        <v>4</v>
      </c>
      <c r="F601" s="87">
        <v>224</v>
      </c>
      <c r="G601" s="87">
        <v>3</v>
      </c>
      <c r="H601" s="80">
        <v>290</v>
      </c>
      <c r="I601" s="80">
        <v>1</v>
      </c>
      <c r="J601" s="80">
        <v>0</v>
      </c>
      <c r="K601" s="80">
        <v>1</v>
      </c>
      <c r="L601" s="80">
        <v>0</v>
      </c>
      <c r="M601" s="80">
        <v>0</v>
      </c>
      <c r="N601" s="80">
        <v>1</v>
      </c>
      <c r="P601" s="124">
        <f t="shared" si="60"/>
        <v>322.22222222222223</v>
      </c>
      <c r="Q601" s="124">
        <f t="shared" si="59"/>
        <v>64.444444444444443</v>
      </c>
      <c r="R601" s="161">
        <f t="shared" si="53"/>
        <v>0.83333333333333326</v>
      </c>
      <c r="S601" s="189" t="str">
        <f>D601</f>
        <v>SN-6 Low</v>
      </c>
      <c r="T601" s="81"/>
      <c r="Y601" s="87" t="str">
        <f>D601</f>
        <v>SN-6 Low</v>
      </c>
      <c r="Z601" s="361">
        <f>SUMIFS($P$509:$P$572, $D$509:$D$572, Y601, $F$509:$F$572, "&lt;200") + SUMIFS($Q$509:$Q$572, $D$509:$D$572, Y601, $F$509:$F$572, "&lt;200")</f>
        <v>2640</v>
      </c>
      <c r="AA601" s="124">
        <f>SUM(P601:Q604)</f>
        <v>1844.9999999999998</v>
      </c>
      <c r="AB601" s="124">
        <f>SUMIFS(Collection!O:O, Collection!B:B, "*" &amp; 'Bucket Counts'!Y601 &amp; "*", Collection!A:A, "&lt;" &amp; 'Bucket Counts'!A601,Collection!A:A,  "&gt;=" &amp; 'Bucket Counts'!$A$509)</f>
        <v>0</v>
      </c>
      <c r="AC601" s="161">
        <f>AA601/(Z601+AB601)</f>
        <v>0.69886363636363624</v>
      </c>
    </row>
    <row r="602" spans="1:29" s="80" customFormat="1">
      <c r="A602" s="190">
        <v>42919</v>
      </c>
      <c r="B602" s="78"/>
      <c r="C602" s="78"/>
      <c r="D602" s="79" t="s">
        <v>77</v>
      </c>
      <c r="E602" s="80">
        <v>4</v>
      </c>
      <c r="F602" s="87">
        <v>180</v>
      </c>
      <c r="G602" s="87">
        <v>2</v>
      </c>
      <c r="H602" s="80">
        <v>320</v>
      </c>
      <c r="I602" s="80">
        <v>2</v>
      </c>
      <c r="J602" s="80">
        <v>2</v>
      </c>
      <c r="K602" s="80">
        <v>3</v>
      </c>
      <c r="L602" s="80">
        <v>0</v>
      </c>
      <c r="M602" s="80">
        <v>5</v>
      </c>
      <c r="N602" s="80">
        <v>0</v>
      </c>
      <c r="P602" s="124">
        <f t="shared" si="60"/>
        <v>373.33333333333337</v>
      </c>
      <c r="Q602" s="124">
        <f t="shared" si="59"/>
        <v>106.66666666666666</v>
      </c>
      <c r="R602" s="161">
        <f t="shared" si="53"/>
        <v>0.7777777777777779</v>
      </c>
      <c r="S602" s="187">
        <f>(SUM(P601:P604)/(SUM(P601:Q604)))</f>
        <v>0.64709424872026511</v>
      </c>
      <c r="T602" s="81"/>
      <c r="Y602" s="87"/>
      <c r="Z602" s="361"/>
      <c r="AA602" s="124"/>
      <c r="AB602" s="124"/>
    </row>
    <row r="603" spans="1:29" s="80" customFormat="1">
      <c r="A603" s="190">
        <v>42919</v>
      </c>
      <c r="B603" s="78"/>
      <c r="C603" s="78"/>
      <c r="D603" s="79" t="s">
        <v>77</v>
      </c>
      <c r="E603" s="80">
        <v>4</v>
      </c>
      <c r="F603" s="87">
        <v>100</v>
      </c>
      <c r="G603" s="87">
        <v>3</v>
      </c>
      <c r="H603" s="228">
        <v>240</v>
      </c>
      <c r="I603" s="80">
        <v>1</v>
      </c>
      <c r="J603" s="80">
        <v>0</v>
      </c>
      <c r="K603" s="80">
        <v>1</v>
      </c>
      <c r="L603" s="80">
        <v>1</v>
      </c>
      <c r="M603" s="80">
        <v>5</v>
      </c>
      <c r="N603" s="80">
        <v>1</v>
      </c>
      <c r="P603" s="124">
        <f t="shared" si="60"/>
        <v>0</v>
      </c>
      <c r="Q603" s="124">
        <f t="shared" si="59"/>
        <v>480</v>
      </c>
      <c r="R603" s="161">
        <f t="shared" si="53"/>
        <v>0</v>
      </c>
      <c r="S603" s="188"/>
      <c r="T603" s="81"/>
      <c r="Y603" s="87"/>
      <c r="Z603" s="361"/>
      <c r="AA603" s="124"/>
      <c r="AB603" s="124"/>
    </row>
    <row r="604" spans="1:29" s="80" customFormat="1">
      <c r="A604" s="190">
        <v>42919</v>
      </c>
      <c r="B604" s="78"/>
      <c r="C604" s="78"/>
      <c r="D604" s="79" t="s">
        <v>77</v>
      </c>
      <c r="E604" s="80">
        <v>4</v>
      </c>
      <c r="F604" s="87" t="s">
        <v>203</v>
      </c>
      <c r="G604" s="87">
        <v>2</v>
      </c>
      <c r="H604" s="228">
        <v>230</v>
      </c>
      <c r="I604" s="80">
        <v>0</v>
      </c>
      <c r="J604" s="80">
        <v>12</v>
      </c>
      <c r="K604" s="80">
        <v>0</v>
      </c>
      <c r="L604" s="80">
        <v>3</v>
      </c>
      <c r="M604" s="80">
        <v>0</v>
      </c>
      <c r="N604" s="80">
        <v>3</v>
      </c>
      <c r="P604" s="124">
        <f t="shared" si="60"/>
        <v>498.33333333333331</v>
      </c>
      <c r="Q604" s="124">
        <f t="shared" si="59"/>
        <v>0</v>
      </c>
      <c r="R604" s="161">
        <f t="shared" si="53"/>
        <v>1</v>
      </c>
      <c r="S604" s="188"/>
      <c r="T604" s="81"/>
      <c r="Y604" s="87"/>
      <c r="Z604" s="361"/>
      <c r="AA604" s="124"/>
      <c r="AB604" s="124"/>
    </row>
    <row r="605" spans="1:29" s="80" customFormat="1">
      <c r="A605" s="190">
        <v>42919</v>
      </c>
      <c r="B605" s="78"/>
      <c r="C605" s="78"/>
      <c r="D605" s="80" t="s">
        <v>38</v>
      </c>
      <c r="E605" s="80">
        <v>5</v>
      </c>
      <c r="F605" s="87">
        <v>224</v>
      </c>
      <c r="G605" s="87">
        <v>2</v>
      </c>
      <c r="H605" s="80">
        <v>240</v>
      </c>
      <c r="I605" s="80">
        <v>4</v>
      </c>
      <c r="J605" s="80">
        <v>0</v>
      </c>
      <c r="K605" s="80">
        <v>2</v>
      </c>
      <c r="L605" s="80">
        <v>0</v>
      </c>
      <c r="M605" s="80">
        <v>7</v>
      </c>
      <c r="N605" s="80">
        <v>0</v>
      </c>
      <c r="P605" s="124">
        <f t="shared" si="60"/>
        <v>3160</v>
      </c>
      <c r="Q605" s="124">
        <f t="shared" si="59"/>
        <v>240</v>
      </c>
      <c r="R605" s="161">
        <f t="shared" si="53"/>
        <v>0.92941176470588238</v>
      </c>
      <c r="S605" s="189" t="str">
        <f>D605</f>
        <v>K-6 Ambient</v>
      </c>
      <c r="Y605" s="87" t="str">
        <f>D605</f>
        <v>K-6 Ambient</v>
      </c>
      <c r="Z605" s="361">
        <f>SUMIFS($P$509:$P$572, $D$509:$D$572, Y605, $F$509:$F$572, "&lt;200") + SUMIFS($Q$509:$Q$572, $D$509:$D$572, Y605, $F$509:$F$572, "&lt;200")</f>
        <v>46166.666666666664</v>
      </c>
      <c r="AA605" s="124">
        <f>SUM(P605:Q608)</f>
        <v>38866.666666666672</v>
      </c>
      <c r="AB605" s="124">
        <f>SUMIFS(Collection!O:O, Collection!B:B, "*" &amp; 'Bucket Counts'!Y605 &amp; "*", Collection!A:A, "&lt;" &amp; 'Bucket Counts'!A605,Collection!A:A,  "&gt;=" &amp; 'Bucket Counts'!$A$509)</f>
        <v>0</v>
      </c>
      <c r="AC605" s="161">
        <f>AA605/(Z605+AB605)</f>
        <v>0.84187725631768973</v>
      </c>
    </row>
    <row r="606" spans="1:29" s="80" customFormat="1">
      <c r="A606" s="190">
        <v>42919</v>
      </c>
      <c r="B606" s="78"/>
      <c r="C606" s="78"/>
      <c r="D606" s="80" t="s">
        <v>38</v>
      </c>
      <c r="E606" s="80">
        <v>5</v>
      </c>
      <c r="F606" s="87">
        <v>180</v>
      </c>
      <c r="G606" s="87">
        <v>1</v>
      </c>
      <c r="H606" s="80">
        <v>460</v>
      </c>
      <c r="I606" s="80">
        <v>27</v>
      </c>
      <c r="J606" s="80">
        <v>3</v>
      </c>
      <c r="K606" s="80">
        <v>31</v>
      </c>
      <c r="L606" s="80">
        <v>1</v>
      </c>
      <c r="M606" s="80">
        <v>21</v>
      </c>
      <c r="N606" s="80">
        <v>2</v>
      </c>
      <c r="P606" s="124">
        <f t="shared" si="60"/>
        <v>24993.333333333336</v>
      </c>
      <c r="Q606" s="124">
        <f t="shared" si="59"/>
        <v>3220</v>
      </c>
      <c r="R606" s="161">
        <f t="shared" si="53"/>
        <v>0.88586956521739135</v>
      </c>
      <c r="S606" s="187">
        <f>(SUM(P605:P608)/(SUM(P605:Q608)))</f>
        <v>0.72435677530017151</v>
      </c>
      <c r="Y606" s="87"/>
      <c r="Z606" s="361"/>
      <c r="AA606" s="124"/>
      <c r="AB606" s="124"/>
    </row>
    <row r="607" spans="1:29" s="80" customFormat="1">
      <c r="A607" s="190">
        <v>42919</v>
      </c>
      <c r="B607" s="78"/>
      <c r="C607" s="78"/>
      <c r="D607" s="80" t="s">
        <v>38</v>
      </c>
      <c r="E607" s="80">
        <v>5</v>
      </c>
      <c r="F607" s="87">
        <v>100</v>
      </c>
      <c r="G607" s="87">
        <v>1</v>
      </c>
      <c r="H607" s="80">
        <v>290</v>
      </c>
      <c r="I607" s="80">
        <v>55</v>
      </c>
      <c r="J607" s="80">
        <v>6</v>
      </c>
      <c r="K607" s="80">
        <v>56</v>
      </c>
      <c r="L607" s="80">
        <v>8</v>
      </c>
      <c r="M607" s="80">
        <v>52</v>
      </c>
      <c r="N607" s="80">
        <v>7</v>
      </c>
      <c r="P607" s="124">
        <f t="shared" si="60"/>
        <v>0</v>
      </c>
      <c r="Q607" s="124">
        <f t="shared" si="59"/>
        <v>7153.3333333333339</v>
      </c>
      <c r="R607" s="161">
        <f t="shared" si="53"/>
        <v>0</v>
      </c>
      <c r="S607" s="188"/>
      <c r="Y607" s="87"/>
      <c r="Z607" s="361"/>
      <c r="AA607" s="124"/>
      <c r="AB607" s="124"/>
    </row>
    <row r="608" spans="1:29" s="80" customFormat="1">
      <c r="A608" s="190">
        <v>42919</v>
      </c>
      <c r="B608" s="78"/>
      <c r="C608" s="78"/>
      <c r="D608" s="80" t="s">
        <v>38</v>
      </c>
      <c r="E608" s="80">
        <v>5</v>
      </c>
      <c r="F608" s="87" t="s">
        <v>203</v>
      </c>
      <c r="G608" s="87">
        <v>1</v>
      </c>
      <c r="H608" s="80">
        <v>300</v>
      </c>
      <c r="I608" s="80">
        <v>0</v>
      </c>
      <c r="J608" s="80">
        <v>18</v>
      </c>
      <c r="K608" s="80">
        <v>0</v>
      </c>
      <c r="L608" s="80">
        <v>33</v>
      </c>
      <c r="M608" s="80">
        <v>0</v>
      </c>
      <c r="N608" s="80">
        <v>23</v>
      </c>
      <c r="P608" s="124">
        <f t="shared" si="60"/>
        <v>0</v>
      </c>
      <c r="Q608" s="124">
        <f t="shared" si="59"/>
        <v>100</v>
      </c>
      <c r="R608" s="161">
        <f t="shared" si="53"/>
        <v>0</v>
      </c>
      <c r="S608" s="188"/>
      <c r="Y608" s="87"/>
      <c r="Z608" s="361"/>
      <c r="AA608" s="124"/>
      <c r="AB608" s="124"/>
    </row>
    <row r="609" spans="1:29" s="80" customFormat="1">
      <c r="A609" s="190">
        <v>42919</v>
      </c>
      <c r="B609" s="78"/>
      <c r="C609" s="78"/>
      <c r="D609" s="80" t="s">
        <v>84</v>
      </c>
      <c r="E609" s="80">
        <v>5</v>
      </c>
      <c r="F609" s="87">
        <v>224</v>
      </c>
      <c r="G609" s="87">
        <v>3</v>
      </c>
      <c r="H609" s="80">
        <v>260</v>
      </c>
      <c r="I609" s="80">
        <v>0</v>
      </c>
      <c r="J609" s="80">
        <v>1</v>
      </c>
      <c r="K609" s="80">
        <v>0</v>
      </c>
      <c r="L609" s="80">
        <v>0</v>
      </c>
      <c r="M609" s="80">
        <v>0</v>
      </c>
      <c r="N609" s="80">
        <v>0</v>
      </c>
      <c r="P609" s="124">
        <f t="shared" ref="P609:P613" si="61">(AVERAGE(I609,K609,M609)/G609)*H609</f>
        <v>0</v>
      </c>
      <c r="Q609" s="124">
        <f t="shared" ref="Q609:Q640" si="62">(AVERAGE(J609,L609,N609)/G609)*H609</f>
        <v>28.888888888888886</v>
      </c>
      <c r="R609" s="161">
        <f t="shared" si="53"/>
        <v>0</v>
      </c>
      <c r="S609" s="189" t="str">
        <f>D609</f>
        <v>NF-10 Ambient</v>
      </c>
      <c r="T609" s="81"/>
      <c r="U609" s="81"/>
      <c r="V609" s="81"/>
      <c r="Y609" s="87" t="str">
        <f>D609</f>
        <v>NF-10 Ambient</v>
      </c>
      <c r="Z609" s="361">
        <f>SUMIFS($P$509:$P$572, $D$509:$D$572, Y609, $F$509:$F$572, "&lt;200") + SUMIFS($Q$509:$Q$572, $D$509:$D$572, Y609, $F$509:$F$572, "&lt;200")</f>
        <v>21460</v>
      </c>
      <c r="AA609" s="124">
        <f>SUM(P609:Q612)</f>
        <v>3286.666666666667</v>
      </c>
      <c r="AB609" s="124">
        <f>SUMIFS(Collection!O:O, Collection!B:B, "*" &amp; 'Bucket Counts'!Y609 &amp; "*", Collection!A:A, "&lt;" &amp; 'Bucket Counts'!A609,Collection!A:A,  "&gt;=" &amp; 'Bucket Counts'!$A$509)</f>
        <v>0</v>
      </c>
      <c r="AC609" s="161">
        <f>AA609/(Z609+AB609)</f>
        <v>0.15315315315315317</v>
      </c>
    </row>
    <row r="610" spans="1:29" s="80" customFormat="1">
      <c r="A610" s="190">
        <v>42919</v>
      </c>
      <c r="B610" s="78"/>
      <c r="C610" s="78"/>
      <c r="D610" s="80" t="s">
        <v>84</v>
      </c>
      <c r="E610" s="80">
        <v>5</v>
      </c>
      <c r="F610" s="87">
        <v>180</v>
      </c>
      <c r="G610" s="87">
        <v>3</v>
      </c>
      <c r="H610" s="80">
        <v>250</v>
      </c>
      <c r="I610" s="80">
        <v>4</v>
      </c>
      <c r="J610" s="80">
        <v>1</v>
      </c>
      <c r="K610" s="80">
        <v>6</v>
      </c>
      <c r="L610" s="80">
        <v>2</v>
      </c>
      <c r="M610" s="80">
        <v>5</v>
      </c>
      <c r="N610" s="80">
        <v>1</v>
      </c>
      <c r="P610" s="124">
        <f t="shared" si="61"/>
        <v>416.66666666666669</v>
      </c>
      <c r="Q610" s="124">
        <f t="shared" si="62"/>
        <v>111.1111111111111</v>
      </c>
      <c r="R610" s="161">
        <f t="shared" si="53"/>
        <v>0.78947368421052633</v>
      </c>
      <c r="S610" s="187">
        <f>(SUM(P609:P612)/(SUM(P609:Q612)))</f>
        <v>0.36815415821501013</v>
      </c>
      <c r="T610" s="81"/>
      <c r="U610" s="81"/>
      <c r="V610" s="81"/>
      <c r="Y610" s="87"/>
      <c r="Z610" s="361"/>
      <c r="AA610" s="124"/>
      <c r="AB610" s="124"/>
    </row>
    <row r="611" spans="1:29" s="80" customFormat="1">
      <c r="A611" s="190">
        <v>42919</v>
      </c>
      <c r="B611" s="78"/>
      <c r="C611" s="78"/>
      <c r="D611" s="80" t="s">
        <v>84</v>
      </c>
      <c r="E611" s="80">
        <v>5</v>
      </c>
      <c r="F611" s="87">
        <v>100</v>
      </c>
      <c r="G611" s="87">
        <v>2</v>
      </c>
      <c r="H611" s="80">
        <v>340</v>
      </c>
      <c r="I611" s="80">
        <v>4</v>
      </c>
      <c r="J611" s="80">
        <v>2</v>
      </c>
      <c r="K611" s="80">
        <v>4</v>
      </c>
      <c r="L611" s="80">
        <v>1</v>
      </c>
      <c r="M611" s="80">
        <v>6</v>
      </c>
      <c r="N611" s="80">
        <v>4</v>
      </c>
      <c r="P611" s="124">
        <f t="shared" si="61"/>
        <v>793.33333333333337</v>
      </c>
      <c r="Q611" s="124">
        <f t="shared" si="62"/>
        <v>396.66666666666669</v>
      </c>
      <c r="R611" s="161">
        <f t="shared" si="53"/>
        <v>0.66666666666666674</v>
      </c>
      <c r="S611" s="188"/>
      <c r="T611" s="81"/>
      <c r="U611" s="81"/>
      <c r="V611" s="81"/>
      <c r="Y611" s="87"/>
      <c r="Z611" s="361"/>
      <c r="AA611" s="124"/>
      <c r="AB611" s="124"/>
    </row>
    <row r="612" spans="1:29" s="80" customFormat="1">
      <c r="A612" s="190">
        <v>42919</v>
      </c>
      <c r="B612" s="78"/>
      <c r="C612" s="78"/>
      <c r="D612" s="80" t="s">
        <v>84</v>
      </c>
      <c r="E612" s="80">
        <v>5</v>
      </c>
      <c r="F612" s="87" t="s">
        <v>203</v>
      </c>
      <c r="G612" s="87">
        <v>2</v>
      </c>
      <c r="H612" s="80">
        <v>330</v>
      </c>
      <c r="I612" s="80">
        <v>0</v>
      </c>
      <c r="J612" s="80">
        <v>12</v>
      </c>
      <c r="K612" s="80">
        <v>0</v>
      </c>
      <c r="L612" s="80">
        <v>5</v>
      </c>
      <c r="M612" s="80">
        <v>0</v>
      </c>
      <c r="N612" s="80">
        <v>11</v>
      </c>
      <c r="P612" s="124">
        <f t="shared" si="61"/>
        <v>0</v>
      </c>
      <c r="Q612" s="124">
        <f t="shared" si="62"/>
        <v>1540</v>
      </c>
      <c r="R612" s="161">
        <f t="shared" ref="R612:R675" si="63">P612/(P612+Q612)</f>
        <v>0</v>
      </c>
      <c r="S612" s="188"/>
      <c r="T612" s="81"/>
      <c r="U612" s="81"/>
      <c r="V612" s="81"/>
      <c r="Y612" s="87"/>
      <c r="Z612" s="361"/>
      <c r="AA612" s="124"/>
      <c r="AB612" s="124"/>
    </row>
    <row r="613" spans="1:29" s="80" customFormat="1">
      <c r="A613" s="190">
        <v>42919</v>
      </c>
      <c r="B613" s="78"/>
      <c r="C613" s="78"/>
      <c r="D613" s="80" t="s">
        <v>87</v>
      </c>
      <c r="E613" s="80">
        <v>6</v>
      </c>
      <c r="F613" s="87">
        <v>224</v>
      </c>
      <c r="G613" s="87">
        <v>3</v>
      </c>
      <c r="H613" s="80">
        <v>270</v>
      </c>
      <c r="I613" s="80">
        <v>0</v>
      </c>
      <c r="J613" s="80">
        <v>0</v>
      </c>
      <c r="K613" s="80">
        <v>0</v>
      </c>
      <c r="L613" s="80">
        <v>1</v>
      </c>
      <c r="M613" s="80">
        <v>0</v>
      </c>
      <c r="N613" s="80">
        <v>0</v>
      </c>
      <c r="P613" s="124">
        <f t="shared" si="61"/>
        <v>0</v>
      </c>
      <c r="Q613" s="124">
        <f t="shared" si="62"/>
        <v>30</v>
      </c>
      <c r="R613" s="161">
        <f t="shared" si="63"/>
        <v>0</v>
      </c>
      <c r="S613" s="189" t="str">
        <f>D613</f>
        <v>SN-6 Ambient</v>
      </c>
      <c r="T613" s="81"/>
      <c r="U613" s="81"/>
      <c r="V613" s="81"/>
      <c r="Y613" s="87" t="str">
        <f>D613</f>
        <v>SN-6 Ambient</v>
      </c>
      <c r="Z613" s="361">
        <f>SUMIFS($P$509:$P$572, $D$509:$D$572, Y613, $F$509:$F$572, "&lt;200") + SUMIFS($Q$509:$Q$572, $D$509:$D$572, Y613, $F$509:$F$572, "&lt;200")</f>
        <v>7513.333333333333</v>
      </c>
      <c r="AA613" s="124">
        <f>SUM(P613:Q616)</f>
        <v>17488.888888888891</v>
      </c>
      <c r="AB613" s="124">
        <f>SUMIFS(Collection!O:O, Collection!B:B, "*" &amp; 'Bucket Counts'!Y613 &amp; "*", Collection!A:A, "&lt;" &amp; 'Bucket Counts'!A613,Collection!A:A,  "&gt;=" &amp; 'Bucket Counts'!$A$509)</f>
        <v>0</v>
      </c>
      <c r="AC613" s="161">
        <f>AA613/(Z613+AB613)</f>
        <v>2.3277136941733216</v>
      </c>
    </row>
    <row r="614" spans="1:29" s="80" customFormat="1">
      <c r="A614" s="190">
        <v>42919</v>
      </c>
      <c r="B614" s="78"/>
      <c r="C614" s="78"/>
      <c r="D614" s="80" t="s">
        <v>87</v>
      </c>
      <c r="E614" s="80">
        <v>6</v>
      </c>
      <c r="F614" s="87">
        <v>180</v>
      </c>
      <c r="G614" s="87">
        <v>3</v>
      </c>
      <c r="H614" s="80">
        <v>250</v>
      </c>
      <c r="I614" s="80">
        <v>11</v>
      </c>
      <c r="J614" s="80">
        <v>26</v>
      </c>
      <c r="K614" s="80">
        <v>15</v>
      </c>
      <c r="L614" s="80">
        <v>25</v>
      </c>
      <c r="M614" s="80">
        <v>23</v>
      </c>
      <c r="N614" s="80">
        <v>13</v>
      </c>
      <c r="P614" s="124">
        <f>(AVERAGE(I614,K614,M614)/G614)*H614</f>
        <v>1361.1111111111109</v>
      </c>
      <c r="Q614" s="124">
        <f t="shared" si="62"/>
        <v>1777.7777777777776</v>
      </c>
      <c r="R614" s="161">
        <f t="shared" si="63"/>
        <v>0.43362831858407075</v>
      </c>
      <c r="S614" s="187">
        <f>(SUM(P613:P616)/(SUM(P613:Q616)))</f>
        <v>0.15520965692503175</v>
      </c>
      <c r="T614" s="81"/>
      <c r="U614" s="81"/>
      <c r="V614" s="81"/>
      <c r="Y614" s="87"/>
      <c r="Z614" s="361"/>
      <c r="AA614" s="124"/>
      <c r="AB614" s="124"/>
    </row>
    <row r="615" spans="1:29" s="80" customFormat="1">
      <c r="A615" s="190">
        <v>42919</v>
      </c>
      <c r="B615" s="78"/>
      <c r="C615" s="78"/>
      <c r="D615" s="80" t="s">
        <v>87</v>
      </c>
      <c r="E615" s="80">
        <v>6</v>
      </c>
      <c r="F615" s="87">
        <v>100</v>
      </c>
      <c r="G615" s="87">
        <v>2</v>
      </c>
      <c r="H615" s="80">
        <v>280</v>
      </c>
      <c r="I615" s="80">
        <v>13</v>
      </c>
      <c r="J615" s="80">
        <v>17</v>
      </c>
      <c r="K615" s="80">
        <v>3</v>
      </c>
      <c r="L615" s="80">
        <v>14</v>
      </c>
      <c r="M615" s="80">
        <v>13</v>
      </c>
      <c r="N615" s="80">
        <v>9</v>
      </c>
      <c r="P615" s="124">
        <f t="shared" ref="P615:P636" si="64">(AVERAGE(I615,K615,M615)/G615)*H615</f>
        <v>1353.3333333333333</v>
      </c>
      <c r="Q615" s="124">
        <f t="shared" si="62"/>
        <v>1866.6666666666667</v>
      </c>
      <c r="R615" s="161">
        <f t="shared" si="63"/>
        <v>0.42028985507246375</v>
      </c>
      <c r="S615" s="188"/>
      <c r="T615" s="81"/>
      <c r="U615" s="81"/>
      <c r="V615" s="81"/>
      <c r="Y615" s="87"/>
      <c r="Z615" s="361"/>
      <c r="AA615" s="124"/>
      <c r="AB615" s="124"/>
    </row>
    <row r="616" spans="1:29" s="80" customFormat="1">
      <c r="A616" s="190">
        <v>42919</v>
      </c>
      <c r="B616" s="78"/>
      <c r="C616" s="78"/>
      <c r="D616" s="80" t="s">
        <v>87</v>
      </c>
      <c r="E616" s="80">
        <v>6</v>
      </c>
      <c r="F616" s="87" t="s">
        <v>203</v>
      </c>
      <c r="G616" s="87">
        <v>2</v>
      </c>
      <c r="H616" s="80">
        <v>300</v>
      </c>
      <c r="I616" s="80">
        <v>0</v>
      </c>
      <c r="J616" s="80">
        <v>66</v>
      </c>
      <c r="K616" s="80">
        <v>0</v>
      </c>
      <c r="L616" s="80">
        <v>68</v>
      </c>
      <c r="M616" s="80">
        <v>0</v>
      </c>
      <c r="N616" s="80">
        <v>88</v>
      </c>
      <c r="P616" s="124">
        <f t="shared" si="64"/>
        <v>0</v>
      </c>
      <c r="Q616" s="124">
        <f t="shared" si="62"/>
        <v>11100</v>
      </c>
      <c r="R616" s="161">
        <f t="shared" si="63"/>
        <v>0</v>
      </c>
      <c r="S616" s="188"/>
      <c r="T616" s="81"/>
      <c r="U616" s="81"/>
      <c r="V616" s="81"/>
      <c r="Y616" s="87"/>
      <c r="Z616" s="361"/>
      <c r="AA616" s="124"/>
      <c r="AB616" s="124"/>
    </row>
    <row r="617" spans="1:29" s="80" customFormat="1">
      <c r="A617" s="190">
        <v>42919</v>
      </c>
      <c r="B617" s="78"/>
      <c r="C617" s="78"/>
      <c r="D617" s="80" t="s">
        <v>20</v>
      </c>
      <c r="E617" s="80">
        <v>6</v>
      </c>
      <c r="F617" s="87">
        <v>224</v>
      </c>
      <c r="G617" s="87">
        <v>3</v>
      </c>
      <c r="H617" s="80">
        <v>275</v>
      </c>
      <c r="I617" s="80">
        <v>0</v>
      </c>
      <c r="J617" s="80">
        <v>0</v>
      </c>
      <c r="K617" s="80">
        <v>2</v>
      </c>
      <c r="L617" s="80">
        <v>0</v>
      </c>
      <c r="M617" s="80">
        <v>0</v>
      </c>
      <c r="N617" s="80">
        <v>0</v>
      </c>
      <c r="P617" s="124">
        <f t="shared" si="64"/>
        <v>61.111111111111107</v>
      </c>
      <c r="Q617" s="124">
        <f t="shared" si="62"/>
        <v>0</v>
      </c>
      <c r="R617" s="161">
        <f t="shared" si="63"/>
        <v>1</v>
      </c>
      <c r="S617" s="189" t="str">
        <f>D617</f>
        <v>K-10 Low</v>
      </c>
      <c r="T617" s="81"/>
      <c r="U617" s="81"/>
      <c r="V617" s="81"/>
      <c r="Y617" s="87" t="str">
        <f>D617</f>
        <v>K-10 Low</v>
      </c>
      <c r="Z617" s="361">
        <f>SUMIFS($P$509:$P$572, $D$509:$D$572, Y617, $F$509:$F$572, "&lt;200") + SUMIFS($Q$509:$Q$572, $D$509:$D$572, Y617, $F$509:$F$572, "&lt;200")</f>
        <v>3000</v>
      </c>
      <c r="AA617" s="124">
        <f>SUM(P617:Q620)</f>
        <v>3476.1111111111109</v>
      </c>
      <c r="AB617" s="124">
        <f>SUMIFS(Collection!O:O, Collection!B:B, "*" &amp; 'Bucket Counts'!Y617 &amp; "*", Collection!A:A, "&lt;" &amp; 'Bucket Counts'!A617,Collection!A:A,  "&gt;=" &amp; 'Bucket Counts'!$A$509)</f>
        <v>0</v>
      </c>
      <c r="AC617" s="161">
        <f>AA617/(Z617+AB617)</f>
        <v>1.1587037037037036</v>
      </c>
    </row>
    <row r="618" spans="1:29" s="80" customFormat="1">
      <c r="A618" s="190">
        <v>42919</v>
      </c>
      <c r="B618" s="78"/>
      <c r="C618" s="78"/>
      <c r="D618" s="80" t="s">
        <v>20</v>
      </c>
      <c r="E618" s="80">
        <v>6</v>
      </c>
      <c r="F618" s="87">
        <v>180</v>
      </c>
      <c r="G618" s="87">
        <v>2</v>
      </c>
      <c r="H618" s="80">
        <v>280</v>
      </c>
      <c r="I618" s="80">
        <v>7</v>
      </c>
      <c r="J618" s="80">
        <v>0</v>
      </c>
      <c r="K618" s="80">
        <v>4</v>
      </c>
      <c r="L618" s="80">
        <v>0</v>
      </c>
      <c r="M618" s="80">
        <v>10</v>
      </c>
      <c r="N618" s="80">
        <v>0</v>
      </c>
      <c r="P618" s="124">
        <f t="shared" si="64"/>
        <v>980</v>
      </c>
      <c r="Q618" s="124">
        <f t="shared" si="62"/>
        <v>0</v>
      </c>
      <c r="R618" s="161">
        <f t="shared" si="63"/>
        <v>1</v>
      </c>
      <c r="S618" s="187">
        <f>(SUM(P617:P620)/(SUM(P617:Q620)))</f>
        <v>0.89739491769218482</v>
      </c>
      <c r="T618" s="81"/>
      <c r="U618" s="81"/>
      <c r="V618" s="81"/>
      <c r="Y618" s="87"/>
      <c r="Z618" s="361"/>
      <c r="AA618" s="124"/>
      <c r="AB618" s="124"/>
    </row>
    <row r="619" spans="1:29" s="80" customFormat="1">
      <c r="A619" s="190">
        <v>42919</v>
      </c>
      <c r="B619" s="78"/>
      <c r="C619" s="78"/>
      <c r="D619" s="80" t="s">
        <v>20</v>
      </c>
      <c r="E619" s="80">
        <v>6</v>
      </c>
      <c r="F619" s="87">
        <v>100</v>
      </c>
      <c r="G619" s="87">
        <v>2</v>
      </c>
      <c r="H619" s="80">
        <v>290</v>
      </c>
      <c r="I619" s="80">
        <v>12</v>
      </c>
      <c r="J619" s="80">
        <v>0</v>
      </c>
      <c r="K619" s="80">
        <v>18</v>
      </c>
      <c r="L619" s="80">
        <v>2</v>
      </c>
      <c r="M619" s="80">
        <v>13</v>
      </c>
      <c r="N619" s="80">
        <v>0</v>
      </c>
      <c r="P619" s="124">
        <f t="shared" si="64"/>
        <v>2078.3333333333335</v>
      </c>
      <c r="Q619" s="124">
        <f t="shared" si="62"/>
        <v>96.666666666666657</v>
      </c>
      <c r="R619" s="161">
        <f t="shared" si="63"/>
        <v>0.9555555555555556</v>
      </c>
      <c r="S619" s="188"/>
      <c r="T619" s="81"/>
      <c r="U619" s="81"/>
      <c r="V619" s="81"/>
      <c r="Y619" s="87"/>
      <c r="Z619" s="361"/>
      <c r="AA619" s="124"/>
      <c r="AB619" s="124"/>
    </row>
    <row r="620" spans="1:29" s="80" customFormat="1">
      <c r="A620" s="190">
        <v>42919</v>
      </c>
      <c r="B620" s="78"/>
      <c r="C620" s="78"/>
      <c r="D620" s="80" t="s">
        <v>20</v>
      </c>
      <c r="E620" s="80">
        <v>6</v>
      </c>
      <c r="F620" s="87" t="s">
        <v>203</v>
      </c>
      <c r="G620" s="87">
        <v>1</v>
      </c>
      <c r="H620" s="80">
        <v>260</v>
      </c>
      <c r="I620" s="80">
        <v>0</v>
      </c>
      <c r="J620" s="80">
        <v>1</v>
      </c>
      <c r="K620" s="80">
        <v>0</v>
      </c>
      <c r="L620" s="80">
        <v>1</v>
      </c>
      <c r="M620" s="80">
        <v>0</v>
      </c>
      <c r="N620" s="80">
        <v>1</v>
      </c>
      <c r="P620" s="124">
        <f t="shared" si="64"/>
        <v>0</v>
      </c>
      <c r="Q620" s="124">
        <f t="shared" si="62"/>
        <v>260</v>
      </c>
      <c r="R620" s="161">
        <f t="shared" si="63"/>
        <v>0</v>
      </c>
      <c r="S620" s="188"/>
      <c r="T620" s="81"/>
      <c r="U620" s="81"/>
      <c r="V620" s="81"/>
      <c r="Y620" s="87"/>
      <c r="Z620" s="361"/>
      <c r="AA620" s="124"/>
      <c r="AB620" s="124"/>
    </row>
    <row r="621" spans="1:29" s="80" customFormat="1">
      <c r="A621" s="190">
        <v>42919</v>
      </c>
      <c r="B621" s="78"/>
      <c r="C621" s="78"/>
      <c r="D621" s="80" t="s">
        <v>17</v>
      </c>
      <c r="E621" s="80">
        <v>7</v>
      </c>
      <c r="F621" s="87">
        <v>224</v>
      </c>
      <c r="G621" s="87">
        <v>2</v>
      </c>
      <c r="H621" s="80">
        <v>275</v>
      </c>
      <c r="I621" s="80">
        <v>4</v>
      </c>
      <c r="J621" s="80">
        <v>0</v>
      </c>
      <c r="K621" s="80">
        <v>5</v>
      </c>
      <c r="L621" s="80">
        <v>0</v>
      </c>
      <c r="M621" s="80">
        <v>6</v>
      </c>
      <c r="N621" s="80">
        <v>0</v>
      </c>
      <c r="P621" s="124">
        <f t="shared" si="64"/>
        <v>687.5</v>
      </c>
      <c r="Q621" s="124">
        <f t="shared" si="62"/>
        <v>0</v>
      </c>
      <c r="R621" s="161">
        <f t="shared" si="63"/>
        <v>1</v>
      </c>
      <c r="S621" s="189" t="str">
        <f>D621</f>
        <v>K-10 Ambient</v>
      </c>
      <c r="T621" s="81"/>
      <c r="U621" s="81"/>
      <c r="V621" s="81"/>
      <c r="Y621" s="87" t="str">
        <f>D621</f>
        <v>K-10 Ambient</v>
      </c>
      <c r="Z621" s="361">
        <f>SUMIFS($P$509:$P$572, $D$509:$D$572, Y621, $F$509:$F$572, "&lt;200") + SUMIFS($Q$509:$Q$572, $D$509:$D$572, Y621, $F$509:$F$572, "&lt;200")</f>
        <v>7633.333333333333</v>
      </c>
      <c r="AA621" s="124">
        <f>SUM(P621:Q624)</f>
        <v>6727.5</v>
      </c>
      <c r="AB621" s="124">
        <f>SUMIFS(Collection!O:O, Collection!B:B, "*" &amp; 'Bucket Counts'!Y621 &amp; "*", Collection!A:A, "&lt;" &amp; 'Bucket Counts'!A621,Collection!A:A,  "&gt;=" &amp; 'Bucket Counts'!$A$509)</f>
        <v>0</v>
      </c>
      <c r="AC621" s="161">
        <f>AA621/(Z621+AB621)</f>
        <v>0.8813318777292577</v>
      </c>
    </row>
    <row r="622" spans="1:29" s="80" customFormat="1">
      <c r="A622" s="190">
        <v>42919</v>
      </c>
      <c r="B622" s="78"/>
      <c r="C622" s="78"/>
      <c r="D622" s="80" t="s">
        <v>17</v>
      </c>
      <c r="E622" s="80">
        <v>7</v>
      </c>
      <c r="F622" s="87">
        <v>180</v>
      </c>
      <c r="G622" s="87">
        <v>1</v>
      </c>
      <c r="H622" s="80">
        <v>275</v>
      </c>
      <c r="I622" s="80">
        <v>17</v>
      </c>
      <c r="J622" s="80">
        <v>0</v>
      </c>
      <c r="K622" s="80">
        <v>8</v>
      </c>
      <c r="L622" s="80">
        <v>0</v>
      </c>
      <c r="M622" s="80">
        <v>12</v>
      </c>
      <c r="N622" s="80">
        <v>1</v>
      </c>
      <c r="P622" s="124">
        <f t="shared" si="64"/>
        <v>3391.666666666667</v>
      </c>
      <c r="Q622" s="124">
        <f t="shared" si="62"/>
        <v>91.666666666666657</v>
      </c>
      <c r="R622" s="161">
        <f t="shared" si="63"/>
        <v>0.97368421052631582</v>
      </c>
      <c r="S622" s="187">
        <f>(SUM(P621:P624)/(SUM(P621:Q624)))</f>
        <v>0.8377307072959248</v>
      </c>
      <c r="T622" s="81"/>
      <c r="U622" s="81"/>
      <c r="V622" s="81"/>
      <c r="Y622" s="87"/>
      <c r="Z622" s="361"/>
      <c r="AA622" s="124"/>
      <c r="AB622" s="124"/>
    </row>
    <row r="623" spans="1:29" s="80" customFormat="1">
      <c r="A623" s="190">
        <v>42919</v>
      </c>
      <c r="B623" s="78"/>
      <c r="C623" s="78"/>
      <c r="D623" s="80" t="s">
        <v>17</v>
      </c>
      <c r="E623" s="80">
        <v>7</v>
      </c>
      <c r="F623" s="87">
        <v>100</v>
      </c>
      <c r="G623" s="87">
        <v>2</v>
      </c>
      <c r="H623" s="80">
        <v>275</v>
      </c>
      <c r="I623" s="80">
        <v>6</v>
      </c>
      <c r="J623" s="80">
        <v>4</v>
      </c>
      <c r="K623" s="80">
        <v>14</v>
      </c>
      <c r="L623" s="80">
        <v>4</v>
      </c>
      <c r="M623" s="80">
        <v>12</v>
      </c>
      <c r="N623" s="80">
        <v>4</v>
      </c>
      <c r="P623" s="124">
        <f t="shared" si="64"/>
        <v>1466.6666666666665</v>
      </c>
      <c r="Q623" s="124">
        <f t="shared" si="62"/>
        <v>550</v>
      </c>
      <c r="R623" s="161">
        <f t="shared" si="63"/>
        <v>0.72727272727272729</v>
      </c>
      <c r="S623" s="188"/>
      <c r="T623" s="81"/>
      <c r="U623" s="81"/>
      <c r="V623" s="81"/>
      <c r="Y623" s="87"/>
      <c r="Z623" s="361"/>
      <c r="AA623" s="124"/>
      <c r="AB623" s="124"/>
    </row>
    <row r="624" spans="1:29" s="80" customFormat="1">
      <c r="A624" s="190">
        <v>42919</v>
      </c>
      <c r="B624" s="78"/>
      <c r="C624" s="78"/>
      <c r="D624" s="80" t="s">
        <v>17</v>
      </c>
      <c r="E624" s="80">
        <v>7</v>
      </c>
      <c r="F624" s="87" t="s">
        <v>203</v>
      </c>
      <c r="G624" s="87">
        <v>1</v>
      </c>
      <c r="H624" s="80">
        <v>270</v>
      </c>
      <c r="I624" s="80">
        <v>1</v>
      </c>
      <c r="J624" s="80">
        <v>1</v>
      </c>
      <c r="K624" s="80">
        <v>0</v>
      </c>
      <c r="L624" s="80">
        <v>1</v>
      </c>
      <c r="M624" s="80">
        <v>0</v>
      </c>
      <c r="N624" s="80">
        <v>3</v>
      </c>
      <c r="P624" s="124">
        <f t="shared" si="64"/>
        <v>90</v>
      </c>
      <c r="Q624" s="124">
        <f t="shared" si="62"/>
        <v>450</v>
      </c>
      <c r="R624" s="161">
        <f t="shared" si="63"/>
        <v>0.16666666666666666</v>
      </c>
      <c r="S624" s="188"/>
      <c r="T624" s="81"/>
      <c r="U624" s="81"/>
      <c r="V624" s="81"/>
      <c r="Y624" s="87"/>
      <c r="Z624" s="361"/>
      <c r="AA624" s="124"/>
      <c r="AB624" s="124"/>
    </row>
    <row r="625" spans="1:29" s="80" customFormat="1">
      <c r="A625" s="190">
        <v>42919</v>
      </c>
      <c r="B625" s="78"/>
      <c r="C625" s="78"/>
      <c r="D625" s="80" t="s">
        <v>109</v>
      </c>
      <c r="E625" s="80">
        <v>7</v>
      </c>
      <c r="F625" s="87">
        <v>224</v>
      </c>
      <c r="G625" s="87">
        <v>2</v>
      </c>
      <c r="H625" s="80">
        <v>330</v>
      </c>
      <c r="I625" s="80">
        <v>7</v>
      </c>
      <c r="J625" s="80">
        <v>0</v>
      </c>
      <c r="K625" s="80">
        <v>1</v>
      </c>
      <c r="L625" s="80">
        <v>0</v>
      </c>
      <c r="M625" s="80">
        <v>6</v>
      </c>
      <c r="N625" s="80">
        <v>0</v>
      </c>
      <c r="P625" s="124">
        <f t="shared" si="64"/>
        <v>770</v>
      </c>
      <c r="Q625" s="124">
        <f t="shared" si="62"/>
        <v>0</v>
      </c>
      <c r="R625" s="161">
        <f t="shared" si="63"/>
        <v>1</v>
      </c>
      <c r="S625" s="189" t="str">
        <f>D625</f>
        <v>HL-10 Low</v>
      </c>
      <c r="T625" s="81"/>
      <c r="U625" s="81"/>
      <c r="V625" s="81"/>
      <c r="Y625" s="87" t="str">
        <f>D625</f>
        <v>HL-10 Low</v>
      </c>
      <c r="Z625" s="352">
        <f>SUMIFS($P$509:$P$572, $D$509:$D$572, Y625, $F$509:$F$572, "&lt;200") + SUMIFS($Q$509:$Q$572, $D$509:$D$572, Y625, $F$509:$F$572, "&lt;200")</f>
        <v>12946.666666666666</v>
      </c>
      <c r="AA625" s="124">
        <f>SUM(P625:Q628)</f>
        <v>39203.333333333336</v>
      </c>
      <c r="AB625" s="124">
        <f>SUMIFS(Collection!O:O, Collection!B:B, "*" &amp; 'Bucket Counts'!Y625 &amp; "*", Collection!A:A, "&lt;" &amp; 'Bucket Counts'!A625,Collection!A:A,  "&gt;=" &amp; 'Bucket Counts'!$A$509)</f>
        <v>0</v>
      </c>
      <c r="AC625" s="161">
        <f>AA625/(Z625+AB625)</f>
        <v>3.0280638516992795</v>
      </c>
    </row>
    <row r="626" spans="1:29" s="80" customFormat="1">
      <c r="A626" s="190">
        <v>42919</v>
      </c>
      <c r="B626" s="78"/>
      <c r="C626" s="78"/>
      <c r="D626" s="80" t="s">
        <v>109</v>
      </c>
      <c r="E626" s="80">
        <v>7</v>
      </c>
      <c r="F626" s="87">
        <v>180</v>
      </c>
      <c r="G626" s="87">
        <v>1</v>
      </c>
      <c r="H626" s="80">
        <v>340</v>
      </c>
      <c r="I626" s="80">
        <v>47</v>
      </c>
      <c r="J626" s="80">
        <v>0</v>
      </c>
      <c r="K626" s="80">
        <v>50</v>
      </c>
      <c r="L626" s="80">
        <v>0</v>
      </c>
      <c r="M626" s="80">
        <v>45</v>
      </c>
      <c r="N626" s="80">
        <v>0</v>
      </c>
      <c r="P626" s="124">
        <f t="shared" si="64"/>
        <v>16093.333333333334</v>
      </c>
      <c r="Q626" s="124">
        <f t="shared" si="62"/>
        <v>0</v>
      </c>
      <c r="R626" s="161">
        <f t="shared" si="63"/>
        <v>1</v>
      </c>
      <c r="S626" s="187">
        <f>(SUM(P625:P628)/(SUM(P625:Q628)))</f>
        <v>0.91314514071932662</v>
      </c>
      <c r="T626" s="81"/>
      <c r="U626" s="81"/>
      <c r="V626" s="81"/>
      <c r="Y626" s="87"/>
      <c r="Z626" s="361"/>
      <c r="AA626" s="124"/>
      <c r="AB626" s="124"/>
    </row>
    <row r="627" spans="1:29" s="80" customFormat="1">
      <c r="A627" s="190">
        <v>42919</v>
      </c>
      <c r="B627" s="78"/>
      <c r="C627" s="78"/>
      <c r="D627" s="80" t="s">
        <v>109</v>
      </c>
      <c r="E627" s="80">
        <v>7</v>
      </c>
      <c r="F627" s="87">
        <v>100</v>
      </c>
      <c r="G627" s="87">
        <v>1</v>
      </c>
      <c r="H627" s="80">
        <v>475</v>
      </c>
      <c r="I627" s="80">
        <v>33</v>
      </c>
      <c r="J627" s="80">
        <v>0</v>
      </c>
      <c r="K627" s="80">
        <v>47</v>
      </c>
      <c r="L627" s="80">
        <v>4</v>
      </c>
      <c r="M627" s="80">
        <v>39</v>
      </c>
      <c r="N627" s="80">
        <v>1</v>
      </c>
      <c r="P627" s="124">
        <f t="shared" si="64"/>
        <v>18841.666666666664</v>
      </c>
      <c r="Q627" s="124">
        <f t="shared" si="62"/>
        <v>791.66666666666674</v>
      </c>
      <c r="R627" s="161">
        <f t="shared" si="63"/>
        <v>0.95967741935483863</v>
      </c>
      <c r="S627" s="188"/>
      <c r="T627" s="81"/>
      <c r="U627" s="81"/>
      <c r="V627" s="81"/>
      <c r="Y627" s="87"/>
      <c r="Z627" s="361"/>
      <c r="AA627" s="124"/>
      <c r="AB627" s="124"/>
    </row>
    <row r="628" spans="1:29" s="80" customFormat="1">
      <c r="A628" s="190">
        <v>42919</v>
      </c>
      <c r="B628" s="78"/>
      <c r="C628" s="78"/>
      <c r="D628" s="80" t="s">
        <v>109</v>
      </c>
      <c r="E628" s="80">
        <v>7</v>
      </c>
      <c r="F628" s="87" t="s">
        <v>203</v>
      </c>
      <c r="G628" s="87">
        <v>2</v>
      </c>
      <c r="H628" s="80">
        <v>280</v>
      </c>
      <c r="I628" s="80">
        <v>2</v>
      </c>
      <c r="J628" s="80">
        <v>24</v>
      </c>
      <c r="K628" s="80">
        <v>0</v>
      </c>
      <c r="L628" s="80">
        <v>9</v>
      </c>
      <c r="M628" s="80">
        <v>0</v>
      </c>
      <c r="N628" s="80">
        <v>23</v>
      </c>
      <c r="P628" s="124">
        <f t="shared" si="64"/>
        <v>93.333333333333329</v>
      </c>
      <c r="Q628" s="124">
        <f t="shared" si="62"/>
        <v>2613.3333333333335</v>
      </c>
      <c r="R628" s="161">
        <f t="shared" si="63"/>
        <v>3.4482758620689648E-2</v>
      </c>
      <c r="S628" s="188"/>
      <c r="T628" s="81"/>
      <c r="U628" s="81"/>
      <c r="V628" s="81"/>
      <c r="Y628" s="87"/>
      <c r="Z628" s="361"/>
      <c r="AA628" s="124"/>
      <c r="AB628" s="124"/>
    </row>
    <row r="629" spans="1:29" s="80" customFormat="1">
      <c r="A629" s="190">
        <v>42919</v>
      </c>
      <c r="B629" s="78"/>
      <c r="C629" s="78"/>
      <c r="D629" s="80" t="s">
        <v>88</v>
      </c>
      <c r="E629" s="80">
        <v>8</v>
      </c>
      <c r="F629" s="87">
        <v>224</v>
      </c>
      <c r="G629" s="87">
        <v>2</v>
      </c>
      <c r="H629" s="80">
        <v>290</v>
      </c>
      <c r="I629" s="80">
        <v>0</v>
      </c>
      <c r="J629" s="80">
        <v>0</v>
      </c>
      <c r="K629" s="80">
        <v>4</v>
      </c>
      <c r="L629" s="80">
        <v>0</v>
      </c>
      <c r="M629" s="80">
        <v>1</v>
      </c>
      <c r="N629" s="80">
        <v>0</v>
      </c>
      <c r="P629" s="124">
        <f t="shared" si="64"/>
        <v>241.66666666666669</v>
      </c>
      <c r="Q629" s="124">
        <f t="shared" si="62"/>
        <v>0</v>
      </c>
      <c r="R629" s="161">
        <f t="shared" si="63"/>
        <v>1</v>
      </c>
      <c r="S629" s="189" t="str">
        <f>D629</f>
        <v>HL-10 Ambient</v>
      </c>
      <c r="T629" s="81"/>
      <c r="U629" s="81"/>
      <c r="V629" s="81"/>
      <c r="Y629" s="87" t="str">
        <f>D629</f>
        <v>HL-10 Ambient</v>
      </c>
      <c r="Z629" s="361">
        <f>SUMIFS($P$509:$P$572, $D$509:$D$572, Y629, $F$509:$F$572, "&lt;200") + SUMIFS($Q$509:$Q$572, $D$509:$D$572, Y629, $F$509:$F$572, "&lt;200")</f>
        <v>15666.666666666668</v>
      </c>
      <c r="AA629" s="124">
        <f>SUM(P629:Q632)</f>
        <v>101288.33333333334</v>
      </c>
      <c r="AB629" s="124">
        <f>SUMIFS(Collection!O:O, Collection!B:B, "*" &amp; 'Bucket Counts'!Y629 &amp; "*", Collection!A:A, "&lt;" &amp; 'Bucket Counts'!A629,Collection!A:A,  "&gt;=" &amp; 'Bucket Counts'!$A$509)</f>
        <v>75450</v>
      </c>
      <c r="AC629" s="161">
        <f>AA629/(Z629+AB629)</f>
        <v>1.1116334369855496</v>
      </c>
    </row>
    <row r="630" spans="1:29" s="80" customFormat="1">
      <c r="A630" s="190">
        <v>42919</v>
      </c>
      <c r="B630" s="78"/>
      <c r="C630" s="78"/>
      <c r="D630" s="80" t="s">
        <v>88</v>
      </c>
      <c r="E630" s="80">
        <v>8</v>
      </c>
      <c r="F630" s="87">
        <v>180</v>
      </c>
      <c r="G630" s="87">
        <v>1</v>
      </c>
      <c r="H630" s="80">
        <v>350</v>
      </c>
      <c r="I630" s="80">
        <v>12</v>
      </c>
      <c r="J630" s="80">
        <v>0</v>
      </c>
      <c r="K630" s="80">
        <v>11</v>
      </c>
      <c r="L630" s="80">
        <v>0</v>
      </c>
      <c r="M630" s="80">
        <v>7</v>
      </c>
      <c r="N630" s="80">
        <v>0</v>
      </c>
      <c r="P630" s="124">
        <f t="shared" si="64"/>
        <v>3500</v>
      </c>
      <c r="Q630" s="124">
        <f t="shared" si="62"/>
        <v>0</v>
      </c>
      <c r="R630" s="161">
        <f t="shared" si="63"/>
        <v>1</v>
      </c>
      <c r="S630" s="187">
        <f>(SUM(P629:P632)/(SUM(P629:Q632)))</f>
        <v>0.72895858358152466</v>
      </c>
      <c r="T630" s="81"/>
      <c r="Y630" s="87"/>
      <c r="Z630" s="361"/>
      <c r="AA630" s="124"/>
      <c r="AB630" s="124"/>
    </row>
    <row r="631" spans="1:29" s="80" customFormat="1">
      <c r="A631" s="190">
        <v>42919</v>
      </c>
      <c r="B631" s="78"/>
      <c r="C631" s="78"/>
      <c r="D631" s="80" t="s">
        <v>88</v>
      </c>
      <c r="E631" s="80">
        <v>8</v>
      </c>
      <c r="F631" s="87">
        <v>100</v>
      </c>
      <c r="G631" s="87">
        <v>0.5</v>
      </c>
      <c r="H631" s="80">
        <v>500</v>
      </c>
      <c r="I631" s="80">
        <v>67</v>
      </c>
      <c r="J631" s="80">
        <v>1</v>
      </c>
      <c r="K631" s="80">
        <v>71</v>
      </c>
      <c r="L631" s="80">
        <v>1</v>
      </c>
      <c r="M631" s="80">
        <v>72</v>
      </c>
      <c r="N631" s="80">
        <v>0</v>
      </c>
      <c r="P631" s="124">
        <f t="shared" si="64"/>
        <v>70000</v>
      </c>
      <c r="Q631" s="124">
        <f t="shared" si="62"/>
        <v>666.66666666666663</v>
      </c>
      <c r="R631" s="161">
        <f t="shared" si="63"/>
        <v>0.99056603773584895</v>
      </c>
      <c r="S631" s="188"/>
      <c r="T631" s="81"/>
      <c r="Y631" s="87"/>
      <c r="Z631" s="361"/>
      <c r="AA631" s="124"/>
      <c r="AB631" s="124"/>
    </row>
    <row r="632" spans="1:29" s="80" customFormat="1">
      <c r="A632" s="190">
        <v>42919</v>
      </c>
      <c r="B632" s="78"/>
      <c r="C632" s="78"/>
      <c r="D632" s="80" t="s">
        <v>88</v>
      </c>
      <c r="E632" s="80">
        <v>8</v>
      </c>
      <c r="F632" s="87" t="s">
        <v>203</v>
      </c>
      <c r="G632" s="87">
        <v>1</v>
      </c>
      <c r="H632" s="80">
        <v>280</v>
      </c>
      <c r="I632" s="80">
        <v>0</v>
      </c>
      <c r="J632" s="80">
        <v>107</v>
      </c>
      <c r="K632" s="80">
        <v>0</v>
      </c>
      <c r="L632" s="80">
        <v>97</v>
      </c>
      <c r="M632" s="80">
        <v>1</v>
      </c>
      <c r="N632" s="80">
        <v>83</v>
      </c>
      <c r="P632" s="124">
        <f t="shared" si="64"/>
        <v>93.333333333333329</v>
      </c>
      <c r="Q632" s="124">
        <f t="shared" si="62"/>
        <v>26786.666666666668</v>
      </c>
      <c r="R632" s="161">
        <f t="shared" si="63"/>
        <v>3.472222222222222E-3</v>
      </c>
      <c r="S632" s="188"/>
      <c r="T632" s="81"/>
      <c r="Y632" s="87"/>
      <c r="Z632" s="361"/>
      <c r="AA632" s="124"/>
      <c r="AB632" s="124"/>
    </row>
    <row r="633" spans="1:29" s="80" customFormat="1">
      <c r="A633" s="190">
        <v>42919</v>
      </c>
      <c r="B633" s="78"/>
      <c r="C633" s="78"/>
      <c r="D633" s="79" t="s">
        <v>46</v>
      </c>
      <c r="E633" s="80">
        <v>8</v>
      </c>
      <c r="F633" s="87">
        <v>224</v>
      </c>
      <c r="G633" s="87">
        <v>2</v>
      </c>
      <c r="H633" s="80">
        <v>300</v>
      </c>
      <c r="I633" s="80">
        <v>13</v>
      </c>
      <c r="J633" s="80">
        <v>1</v>
      </c>
      <c r="K633" s="80">
        <v>8</v>
      </c>
      <c r="L633" s="80">
        <v>0</v>
      </c>
      <c r="M633" s="80">
        <v>7</v>
      </c>
      <c r="N633" s="80">
        <v>0</v>
      </c>
      <c r="P633" s="124">
        <f t="shared" si="64"/>
        <v>1400</v>
      </c>
      <c r="Q633" s="124">
        <f t="shared" si="62"/>
        <v>50</v>
      </c>
      <c r="R633" s="161">
        <f t="shared" si="63"/>
        <v>0.96551724137931039</v>
      </c>
      <c r="S633" s="189" t="str">
        <f>D633</f>
        <v>K-6 Low</v>
      </c>
      <c r="T633" s="81"/>
      <c r="Y633" s="87" t="str">
        <f>D633</f>
        <v>K-6 Low</v>
      </c>
      <c r="Z633" s="361">
        <f>SUMIFS($P$509:$P$572, $D$509:$D$572, Y633, $F$509:$F$572, "&lt;200") + SUMIFS($Q$509:$Q$572, $D$509:$D$572, Y633, $F$509:$F$572, "&lt;200")</f>
        <v>19916.666666666668</v>
      </c>
      <c r="AA633" s="124">
        <f>SUM(P633:Q636)</f>
        <v>18498.333333333332</v>
      </c>
      <c r="AB633" s="124">
        <f>SUMIFS(Collection!O:O, Collection!B:B, "*" &amp; 'Bucket Counts'!Y633 &amp; "*", Collection!A:A, "&lt;" &amp; 'Bucket Counts'!A633,Collection!A:A,  "&gt;=" &amp; 'Bucket Counts'!$A$509)</f>
        <v>0</v>
      </c>
      <c r="AC633" s="161">
        <f>AA633/(Z633+AB633)</f>
        <v>0.92878661087866099</v>
      </c>
    </row>
    <row r="634" spans="1:29" s="80" customFormat="1">
      <c r="A634" s="190">
        <v>42919</v>
      </c>
      <c r="B634" s="78"/>
      <c r="C634" s="78"/>
      <c r="D634" s="79" t="s">
        <v>46</v>
      </c>
      <c r="E634" s="80">
        <v>8</v>
      </c>
      <c r="F634" s="87">
        <v>180</v>
      </c>
      <c r="G634" s="87">
        <v>1</v>
      </c>
      <c r="H634" s="80">
        <v>400</v>
      </c>
      <c r="I634" s="80">
        <v>26</v>
      </c>
      <c r="J634" s="80">
        <v>3</v>
      </c>
      <c r="K634" s="80">
        <v>20</v>
      </c>
      <c r="L634" s="80">
        <v>0</v>
      </c>
      <c r="M634" s="80">
        <v>22</v>
      </c>
      <c r="N634" s="80">
        <v>0</v>
      </c>
      <c r="P634" s="124">
        <f t="shared" si="64"/>
        <v>9066.6666666666679</v>
      </c>
      <c r="Q634" s="124">
        <f t="shared" si="62"/>
        <v>400</v>
      </c>
      <c r="R634" s="161">
        <f t="shared" si="63"/>
        <v>0.95774647887323949</v>
      </c>
      <c r="S634" s="187">
        <f>(SUM(P633:P636)/(SUM(P633:Q636)))</f>
        <v>0.88791783043517436</v>
      </c>
      <c r="T634" s="81"/>
      <c r="Y634" s="87"/>
      <c r="Z634" s="361"/>
      <c r="AA634" s="124"/>
      <c r="AB634" s="124"/>
    </row>
    <row r="635" spans="1:29" s="80" customFormat="1">
      <c r="A635" s="190">
        <v>42919</v>
      </c>
      <c r="B635" s="78"/>
      <c r="C635" s="78"/>
      <c r="D635" s="79" t="s">
        <v>46</v>
      </c>
      <c r="E635" s="80">
        <v>8</v>
      </c>
      <c r="F635" s="87">
        <v>100</v>
      </c>
      <c r="G635" s="87">
        <v>1</v>
      </c>
      <c r="H635" s="80">
        <v>275</v>
      </c>
      <c r="I635" s="80">
        <v>20</v>
      </c>
      <c r="J635" s="80">
        <v>0</v>
      </c>
      <c r="K635" s="80">
        <v>25</v>
      </c>
      <c r="L635" s="80">
        <v>2</v>
      </c>
      <c r="M635" s="80">
        <v>20</v>
      </c>
      <c r="N635" s="80">
        <v>0</v>
      </c>
      <c r="P635" s="124">
        <f t="shared" si="64"/>
        <v>5958.3333333333339</v>
      </c>
      <c r="Q635" s="124">
        <f t="shared" si="62"/>
        <v>183.33333333333331</v>
      </c>
      <c r="R635" s="161">
        <f t="shared" si="63"/>
        <v>0.97014925373134331</v>
      </c>
      <c r="S635" s="188"/>
      <c r="T635" s="81"/>
      <c r="Y635" s="87"/>
      <c r="Z635" s="361"/>
      <c r="AA635" s="124"/>
      <c r="AB635" s="124"/>
    </row>
    <row r="636" spans="1:29" s="85" customFormat="1" ht="16" thickBot="1">
      <c r="A636" s="82">
        <v>42919</v>
      </c>
      <c r="B636" s="83"/>
      <c r="C636" s="83"/>
      <c r="D636" s="79" t="s">
        <v>46</v>
      </c>
      <c r="E636" s="80">
        <v>8</v>
      </c>
      <c r="F636" s="140" t="s">
        <v>203</v>
      </c>
      <c r="G636" s="140">
        <v>1</v>
      </c>
      <c r="H636" s="85">
        <v>270</v>
      </c>
      <c r="I636" s="85">
        <v>0</v>
      </c>
      <c r="J636" s="85">
        <v>10</v>
      </c>
      <c r="K636" s="85">
        <v>0</v>
      </c>
      <c r="L636" s="85">
        <v>2</v>
      </c>
      <c r="M636" s="85">
        <v>0</v>
      </c>
      <c r="N636" s="85">
        <v>4</v>
      </c>
      <c r="P636" s="141">
        <f t="shared" si="64"/>
        <v>0</v>
      </c>
      <c r="Q636" s="141">
        <f t="shared" si="62"/>
        <v>1440</v>
      </c>
      <c r="R636" s="164">
        <f t="shared" si="63"/>
        <v>0</v>
      </c>
      <c r="S636" s="199"/>
      <c r="Y636" s="140"/>
      <c r="Z636" s="363"/>
      <c r="AA636" s="141"/>
      <c r="AB636" s="141"/>
    </row>
    <row r="637" spans="1:29" s="241" customFormat="1">
      <c r="A637" s="238">
        <v>42922</v>
      </c>
      <c r="B637" s="239"/>
      <c r="C637" s="239"/>
      <c r="D637" s="271" t="s">
        <v>87</v>
      </c>
      <c r="E637" s="241">
        <v>1</v>
      </c>
      <c r="F637" s="242">
        <v>224</v>
      </c>
      <c r="G637" s="242"/>
      <c r="P637" s="243">
        <v>29</v>
      </c>
      <c r="Q637" s="243">
        <v>1</v>
      </c>
      <c r="R637" s="244">
        <f t="shared" si="63"/>
        <v>0.96666666666666667</v>
      </c>
      <c r="S637" s="245" t="str">
        <f>D637</f>
        <v>SN-6 Ambient</v>
      </c>
      <c r="T637" s="246"/>
      <c r="U637" s="246"/>
      <c r="V637" s="246"/>
      <c r="W637" s="241" t="s">
        <v>311</v>
      </c>
      <c r="Y637" s="89" t="str">
        <f>D637</f>
        <v>SN-6 Ambient</v>
      </c>
      <c r="Z637" s="351">
        <f>SUMIFS($P$573:$P$636, $D$573:$D$636, Y637, $F$573:$F$636, "&lt;200") + SUMIFS($Q$573:$Q$636, $D$573:$D$636, Y637, $F$573:$F$636, "&lt;200")</f>
        <v>6358.8888888888887</v>
      </c>
      <c r="AA637" s="120">
        <f>SUM(P637:Q640)</f>
        <v>6845.5555555555557</v>
      </c>
      <c r="AB637" s="120">
        <f>SUMIFS(Collection!O:O, Collection!B:B, "*" &amp; 'Bucket Counts'!Y637 &amp; "*", Collection!A:A, "&lt;" &amp; 'Bucket Counts'!A637,Collection!A:A,  "&gt;=" &amp; 'Bucket Counts'!$A$573)</f>
        <v>0</v>
      </c>
      <c r="AC637" s="106">
        <f>AA637/(Z637+AB637)</f>
        <v>1.0765332867377251</v>
      </c>
    </row>
    <row r="638" spans="1:29" s="62" customFormat="1">
      <c r="A638" s="134">
        <v>42922</v>
      </c>
      <c r="B638" s="60"/>
      <c r="C638" s="60"/>
      <c r="D638" s="61" t="s">
        <v>87</v>
      </c>
      <c r="E638" s="137">
        <v>1</v>
      </c>
      <c r="F638" s="89">
        <v>180</v>
      </c>
      <c r="G638" s="89">
        <v>3</v>
      </c>
      <c r="H638" s="62">
        <v>290</v>
      </c>
      <c r="I638" s="62">
        <v>8</v>
      </c>
      <c r="J638" s="62">
        <v>1</v>
      </c>
      <c r="K638" s="62">
        <v>11</v>
      </c>
      <c r="L638" s="62">
        <v>6</v>
      </c>
      <c r="M638" s="89">
        <v>14</v>
      </c>
      <c r="N638" s="62">
        <v>1</v>
      </c>
      <c r="P638" s="120">
        <f>(AVERAGE(I638,K638,M638)/G638)*H638</f>
        <v>1063.3333333333333</v>
      </c>
      <c r="Q638" s="120">
        <f t="shared" si="62"/>
        <v>257.77777777777777</v>
      </c>
      <c r="R638" s="106">
        <f t="shared" si="63"/>
        <v>0.80487804878048774</v>
      </c>
      <c r="S638" s="181">
        <f>(SUM(P637:P640)/(SUM(P637:Q640)))</f>
        <v>0.18188605745820483</v>
      </c>
      <c r="T638" s="65"/>
      <c r="U638" s="65"/>
      <c r="V638" s="65"/>
      <c r="Y638" s="89"/>
      <c r="Z638" s="357"/>
      <c r="AA638" s="120"/>
      <c r="AB638" s="120"/>
    </row>
    <row r="639" spans="1:29" s="62" customFormat="1">
      <c r="A639" s="134">
        <v>42922</v>
      </c>
      <c r="B639" s="60"/>
      <c r="C639" s="60"/>
      <c r="D639" s="61" t="s">
        <v>87</v>
      </c>
      <c r="E639" s="137">
        <v>1</v>
      </c>
      <c r="F639" s="89">
        <v>100</v>
      </c>
      <c r="G639" s="89">
        <v>3</v>
      </c>
      <c r="H639" s="62">
        <v>275</v>
      </c>
      <c r="I639" s="62">
        <v>1</v>
      </c>
      <c r="J639" s="62">
        <v>2</v>
      </c>
      <c r="K639" s="62">
        <v>2</v>
      </c>
      <c r="L639" s="62">
        <v>1</v>
      </c>
      <c r="M639" s="62">
        <v>2</v>
      </c>
      <c r="N639" s="62">
        <v>0</v>
      </c>
      <c r="P639" s="120">
        <f>(AVERAGE(I639,K639,M639)/G639)*H639</f>
        <v>152.77777777777777</v>
      </c>
      <c r="Q639" s="120">
        <f t="shared" si="62"/>
        <v>91.666666666666657</v>
      </c>
      <c r="R639" s="106">
        <f t="shared" si="63"/>
        <v>0.625</v>
      </c>
      <c r="S639" s="179"/>
      <c r="T639" s="65"/>
      <c r="U639" s="65"/>
      <c r="V639" s="65"/>
      <c r="Y639" s="89"/>
      <c r="Z639" s="357"/>
      <c r="AA639" s="120"/>
      <c r="AB639" s="120"/>
    </row>
    <row r="640" spans="1:29" s="62" customFormat="1">
      <c r="A640" s="134">
        <v>42922</v>
      </c>
      <c r="B640" s="60"/>
      <c r="C640" s="60"/>
      <c r="D640" s="61" t="s">
        <v>87</v>
      </c>
      <c r="E640" s="137">
        <v>1</v>
      </c>
      <c r="F640" s="89" t="s">
        <v>203</v>
      </c>
      <c r="G640" s="89">
        <v>2</v>
      </c>
      <c r="H640" s="62">
        <v>300</v>
      </c>
      <c r="I640" s="62">
        <v>0</v>
      </c>
      <c r="J640" s="62">
        <v>29</v>
      </c>
      <c r="K640" s="62">
        <v>0</v>
      </c>
      <c r="L640" s="62">
        <v>33</v>
      </c>
      <c r="M640" s="62">
        <v>0</v>
      </c>
      <c r="N640" s="62">
        <v>43</v>
      </c>
      <c r="P640" s="120">
        <f t="shared" ref="P640" si="65">(AVERAGE(I640,K640,M640)/G640)*H640</f>
        <v>0</v>
      </c>
      <c r="Q640" s="120">
        <f t="shared" si="62"/>
        <v>5250</v>
      </c>
      <c r="R640" s="106">
        <f t="shared" si="63"/>
        <v>0</v>
      </c>
      <c r="S640" s="182"/>
      <c r="T640" s="65"/>
      <c r="U640" s="65"/>
      <c r="V640" s="65"/>
      <c r="Y640" s="89"/>
      <c r="Z640" s="357"/>
      <c r="AA640" s="120"/>
      <c r="AB640" s="120"/>
    </row>
    <row r="641" spans="1:29" s="62" customFormat="1">
      <c r="A641" s="134">
        <v>42922</v>
      </c>
      <c r="B641" s="60"/>
      <c r="C641" s="60"/>
      <c r="D641" s="62" t="s">
        <v>77</v>
      </c>
      <c r="E641" s="137">
        <v>1</v>
      </c>
      <c r="F641" s="89">
        <v>224</v>
      </c>
      <c r="G641" s="89"/>
      <c r="P641" s="120">
        <v>36</v>
      </c>
      <c r="Q641" s="120">
        <v>6</v>
      </c>
      <c r="R641" s="106">
        <f t="shared" si="63"/>
        <v>0.8571428571428571</v>
      </c>
      <c r="S641" s="183" t="str">
        <f>D641</f>
        <v>SN-6 Low</v>
      </c>
      <c r="T641" s="65"/>
      <c r="U641" s="65"/>
      <c r="V641" s="65"/>
      <c r="W641" s="62" t="s">
        <v>311</v>
      </c>
      <c r="Y641" s="89" t="str">
        <f>D641</f>
        <v>SN-6 Low</v>
      </c>
      <c r="Z641" s="351">
        <f>SUMIFS($P$573:$P$636, $D$573:$D$636, Y641, $F$573:$F$636, "&lt;200") + SUMIFS($Q$573:$Q$636, $D$573:$D$636, Y641, $F$573:$F$636, "&lt;200")</f>
        <v>960</v>
      </c>
      <c r="AA641" s="120">
        <f>SUM(P641:Q644)</f>
        <v>835.33333333333337</v>
      </c>
      <c r="AB641" s="120">
        <f>SUMIFS(Collection!O:O, Collection!B:B, "*" &amp; 'Bucket Counts'!Y641 &amp; "*", Collection!A:A, "&lt;" &amp; 'Bucket Counts'!A641,Collection!A:A,  "&gt;=" &amp; 'Bucket Counts'!$A$573)</f>
        <v>0</v>
      </c>
      <c r="AC641" s="106">
        <f>AA641/(Z641+AB641)</f>
        <v>0.87013888888888891</v>
      </c>
    </row>
    <row r="642" spans="1:29" s="62" customFormat="1">
      <c r="A642" s="134">
        <v>42922</v>
      </c>
      <c r="B642" s="60"/>
      <c r="C642" s="60"/>
      <c r="D642" s="62" t="s">
        <v>77</v>
      </c>
      <c r="E642" s="137">
        <v>1</v>
      </c>
      <c r="F642" s="89">
        <v>180</v>
      </c>
      <c r="G642" s="89">
        <v>3</v>
      </c>
      <c r="H642" s="62">
        <v>300</v>
      </c>
      <c r="I642" s="62">
        <v>2</v>
      </c>
      <c r="J642" s="62">
        <v>1</v>
      </c>
      <c r="K642" s="62">
        <v>4</v>
      </c>
      <c r="L642" s="62">
        <v>1</v>
      </c>
      <c r="M642" s="62">
        <v>3</v>
      </c>
      <c r="N642" s="62">
        <v>2</v>
      </c>
      <c r="P642" s="120">
        <f t="shared" ref="P642:P644" si="66">(AVERAGE(I642,K642,M642)/G642)*H642</f>
        <v>300</v>
      </c>
      <c r="Q642" s="120">
        <f t="shared" ref="Q642:Q644" si="67">(AVERAGE(J642,L642,N642)/G642)*H642</f>
        <v>133.33333333333331</v>
      </c>
      <c r="R642" s="106">
        <f t="shared" si="63"/>
        <v>0.69230769230769229</v>
      </c>
      <c r="S642" s="181">
        <f>(SUM(P641:P644)/(SUM(P641:Q644)))</f>
        <v>0.47406225059856344</v>
      </c>
      <c r="T642" s="65"/>
      <c r="U642" s="65"/>
      <c r="V642" s="65"/>
      <c r="Y642" s="89"/>
      <c r="Z642" s="357"/>
      <c r="AA642" s="120"/>
      <c r="AB642" s="120"/>
    </row>
    <row r="643" spans="1:29" s="62" customFormat="1">
      <c r="A643" s="134">
        <v>42922</v>
      </c>
      <c r="B643" s="60"/>
      <c r="C643" s="60"/>
      <c r="D643" s="62" t="s">
        <v>77</v>
      </c>
      <c r="E643" s="137">
        <v>1</v>
      </c>
      <c r="F643" s="89">
        <v>100</v>
      </c>
      <c r="G643" s="89">
        <v>3</v>
      </c>
      <c r="H643" s="62">
        <v>240</v>
      </c>
      <c r="I643" s="62">
        <v>0</v>
      </c>
      <c r="J643" s="62">
        <v>0</v>
      </c>
      <c r="K643" s="62">
        <v>1</v>
      </c>
      <c r="L643" s="62">
        <v>0</v>
      </c>
      <c r="M643" s="62">
        <v>0</v>
      </c>
      <c r="N643" s="62">
        <v>0</v>
      </c>
      <c r="P643" s="120">
        <f t="shared" si="66"/>
        <v>26.666666666666664</v>
      </c>
      <c r="Q643" s="120">
        <f t="shared" si="67"/>
        <v>0</v>
      </c>
      <c r="R643" s="106">
        <f t="shared" si="63"/>
        <v>1</v>
      </c>
      <c r="S643" s="182"/>
      <c r="T643" s="65"/>
      <c r="U643" s="65"/>
      <c r="V643" s="65"/>
      <c r="Y643" s="89"/>
      <c r="Z643" s="357"/>
      <c r="AA643" s="120"/>
      <c r="AB643" s="120"/>
    </row>
    <row r="644" spans="1:29" s="62" customFormat="1">
      <c r="A644" s="134">
        <v>42922</v>
      </c>
      <c r="B644" s="60"/>
      <c r="C644" s="60"/>
      <c r="D644" s="62" t="s">
        <v>77</v>
      </c>
      <c r="E644" s="137">
        <v>1</v>
      </c>
      <c r="F644" s="89" t="s">
        <v>203</v>
      </c>
      <c r="G644" s="89">
        <v>3</v>
      </c>
      <c r="H644" s="62">
        <v>300</v>
      </c>
      <c r="I644" s="62">
        <v>0</v>
      </c>
      <c r="J644" s="62">
        <v>4</v>
      </c>
      <c r="K644" s="62">
        <v>1</v>
      </c>
      <c r="L644" s="62">
        <v>3</v>
      </c>
      <c r="M644" s="62">
        <v>0</v>
      </c>
      <c r="N644" s="62">
        <v>2</v>
      </c>
      <c r="P644" s="120">
        <f t="shared" si="66"/>
        <v>33.333333333333329</v>
      </c>
      <c r="Q644" s="120">
        <f t="shared" si="67"/>
        <v>300</v>
      </c>
      <c r="R644" s="106">
        <f t="shared" si="63"/>
        <v>9.9999999999999992E-2</v>
      </c>
      <c r="S644" s="182"/>
      <c r="T644" s="65"/>
      <c r="U644" s="65"/>
      <c r="V644" s="65"/>
      <c r="Y644" s="89"/>
      <c r="Z644" s="357"/>
      <c r="AA644" s="120"/>
      <c r="AB644" s="120"/>
    </row>
    <row r="645" spans="1:29" s="62" customFormat="1">
      <c r="A645" s="134">
        <v>42922</v>
      </c>
      <c r="B645" s="60"/>
      <c r="C645" s="60"/>
      <c r="D645" s="62" t="s">
        <v>84</v>
      </c>
      <c r="E645" s="62">
        <v>2</v>
      </c>
      <c r="F645" s="89">
        <v>224</v>
      </c>
      <c r="G645" s="89"/>
      <c r="P645" s="120">
        <v>41</v>
      </c>
      <c r="Q645" s="120">
        <v>2</v>
      </c>
      <c r="R645" s="106">
        <f t="shared" si="63"/>
        <v>0.95348837209302328</v>
      </c>
      <c r="S645" s="183" t="str">
        <f>D645</f>
        <v>NF-10 Ambient</v>
      </c>
      <c r="T645" s="65"/>
      <c r="U645" s="65"/>
      <c r="V645" s="65"/>
      <c r="W645" s="62" t="s">
        <v>311</v>
      </c>
      <c r="Y645" s="89" t="str">
        <f>D645</f>
        <v>NF-10 Ambient</v>
      </c>
      <c r="Z645" s="351">
        <f>SUMIFS($P$573:$P$636, $D$573:$D$636, Y645, $F$573:$F$636, "&lt;200") + SUMIFS($Q$573:$Q$636, $D$573:$D$636, Y645, $F$573:$F$636, "&lt;200")</f>
        <v>1717.7777777777778</v>
      </c>
      <c r="AA645" s="120">
        <f>SUM(P645:Q648)</f>
        <v>1737.4444444444443</v>
      </c>
      <c r="AB645" s="120">
        <f>SUMIFS(Collection!O:O, Collection!B:B, "*" &amp; 'Bucket Counts'!Y645 &amp; "*", Collection!A:A, "&lt;" &amp; 'Bucket Counts'!A645,Collection!A:A,  "&gt;=" &amp; 'Bucket Counts'!$A$573)</f>
        <v>0</v>
      </c>
      <c r="AC645" s="106">
        <f>AA645/(Z645+AB645)</f>
        <v>1.0114489003880982</v>
      </c>
    </row>
    <row r="646" spans="1:29" s="62" customFormat="1">
      <c r="A646" s="134">
        <v>42922</v>
      </c>
      <c r="B646" s="60"/>
      <c r="C646" s="60"/>
      <c r="D646" s="62" t="s">
        <v>84</v>
      </c>
      <c r="E646" s="62">
        <v>2</v>
      </c>
      <c r="F646" s="89">
        <v>180</v>
      </c>
      <c r="G646" s="89">
        <v>3</v>
      </c>
      <c r="H646" s="62">
        <v>225</v>
      </c>
      <c r="I646" s="62">
        <v>4</v>
      </c>
      <c r="J646" s="62">
        <v>0</v>
      </c>
      <c r="K646" s="62">
        <v>3</v>
      </c>
      <c r="L646" s="62">
        <v>0</v>
      </c>
      <c r="M646" s="62">
        <v>6</v>
      </c>
      <c r="N646" s="62">
        <v>2</v>
      </c>
      <c r="P646" s="120">
        <f t="shared" ref="P646:P657" si="68">(AVERAGE(I646,K646,M646)/G646)*H646</f>
        <v>325</v>
      </c>
      <c r="Q646" s="120">
        <f t="shared" ref="Q646:Q657" si="69">(AVERAGE(J646,L646,N646)/G646)*H646</f>
        <v>50</v>
      </c>
      <c r="R646" s="106">
        <f t="shared" si="63"/>
        <v>0.8666666666666667</v>
      </c>
      <c r="S646" s="181">
        <f>(SUM(P645:P648)/(SUM(P645:Q648)))</f>
        <v>0.2682100147087037</v>
      </c>
      <c r="T646" s="65"/>
      <c r="U646" s="65"/>
      <c r="V646" s="65"/>
      <c r="Y646" s="89"/>
      <c r="Z646" s="357"/>
      <c r="AA646" s="120"/>
      <c r="AB646" s="120"/>
    </row>
    <row r="647" spans="1:29" s="62" customFormat="1">
      <c r="A647" s="134">
        <v>42922</v>
      </c>
      <c r="B647" s="60"/>
      <c r="C647" s="60"/>
      <c r="D647" s="62" t="s">
        <v>84</v>
      </c>
      <c r="E647" s="62">
        <v>2</v>
      </c>
      <c r="F647" s="89">
        <v>100</v>
      </c>
      <c r="G647" s="89">
        <v>3</v>
      </c>
      <c r="H647" s="62">
        <v>225</v>
      </c>
      <c r="I647" s="62">
        <v>1</v>
      </c>
      <c r="J647" s="62">
        <v>0</v>
      </c>
      <c r="K647" s="62">
        <v>2</v>
      </c>
      <c r="L647" s="62">
        <v>0</v>
      </c>
      <c r="M647" s="62">
        <v>1</v>
      </c>
      <c r="N647" s="62">
        <v>1</v>
      </c>
      <c r="P647" s="120">
        <f t="shared" si="68"/>
        <v>100</v>
      </c>
      <c r="Q647" s="120">
        <f t="shared" si="69"/>
        <v>25</v>
      </c>
      <c r="R647" s="106">
        <f t="shared" si="63"/>
        <v>0.8</v>
      </c>
      <c r="S647" s="182"/>
      <c r="T647" s="65"/>
      <c r="U647" s="65"/>
      <c r="V647" s="65"/>
      <c r="Y647" s="89"/>
      <c r="Z647" s="357"/>
      <c r="AA647" s="120"/>
      <c r="AB647" s="120"/>
    </row>
    <row r="648" spans="1:29" s="62" customFormat="1">
      <c r="A648" s="134">
        <v>42922</v>
      </c>
      <c r="B648" s="60"/>
      <c r="C648" s="60"/>
      <c r="D648" s="62" t="s">
        <v>84</v>
      </c>
      <c r="E648" s="62">
        <v>2</v>
      </c>
      <c r="F648" s="89" t="s">
        <v>203</v>
      </c>
      <c r="G648" s="89">
        <v>3</v>
      </c>
      <c r="H648" s="249">
        <v>250</v>
      </c>
      <c r="I648" s="62">
        <v>0</v>
      </c>
      <c r="J648" s="62">
        <v>14</v>
      </c>
      <c r="K648" s="62">
        <v>0</v>
      </c>
      <c r="L648" s="62">
        <v>14</v>
      </c>
      <c r="M648" s="62">
        <v>0</v>
      </c>
      <c r="N648" s="62">
        <v>15</v>
      </c>
      <c r="P648" s="120">
        <f t="shared" si="68"/>
        <v>0</v>
      </c>
      <c r="Q648" s="120">
        <f t="shared" si="69"/>
        <v>1194.4444444444443</v>
      </c>
      <c r="R648" s="106">
        <f t="shared" si="63"/>
        <v>0</v>
      </c>
      <c r="S648" s="182"/>
      <c r="T648" s="65"/>
      <c r="U648" s="65"/>
      <c r="V648" s="65"/>
      <c r="Y648" s="89"/>
      <c r="Z648" s="357"/>
      <c r="AA648" s="120"/>
      <c r="AB648" s="120"/>
    </row>
    <row r="649" spans="1:29" s="62" customFormat="1">
      <c r="A649" s="134">
        <v>42922</v>
      </c>
      <c r="B649" s="60"/>
      <c r="C649" s="60"/>
      <c r="D649" s="61" t="s">
        <v>20</v>
      </c>
      <c r="E649" s="62">
        <v>2</v>
      </c>
      <c r="F649" s="89">
        <v>224</v>
      </c>
      <c r="G649" s="89">
        <v>3</v>
      </c>
      <c r="H649" s="249">
        <v>240</v>
      </c>
      <c r="I649" s="62">
        <v>3</v>
      </c>
      <c r="J649" s="62">
        <v>1</v>
      </c>
      <c r="K649" s="62">
        <v>1</v>
      </c>
      <c r="L649" s="62">
        <v>1</v>
      </c>
      <c r="M649" s="62">
        <v>1</v>
      </c>
      <c r="N649" s="62">
        <v>0</v>
      </c>
      <c r="P649" s="120">
        <f t="shared" si="68"/>
        <v>133.33333333333334</v>
      </c>
      <c r="Q649" s="120">
        <f t="shared" si="69"/>
        <v>53.333333333333329</v>
      </c>
      <c r="R649" s="106">
        <f t="shared" si="63"/>
        <v>0.7142857142857143</v>
      </c>
      <c r="S649" s="183" t="str">
        <f>D649</f>
        <v>K-10 Low</v>
      </c>
      <c r="T649" s="65"/>
      <c r="U649" s="65"/>
      <c r="V649" s="65"/>
      <c r="Y649" s="89" t="str">
        <f>D649</f>
        <v>K-10 Low</v>
      </c>
      <c r="Z649" s="351">
        <f>SUMIFS($P$573:$P$636, $D$573:$D$636, Y649, $F$573:$F$636, "&lt;200") + SUMIFS($Q$573:$Q$636, $D$573:$D$636, Y649, $F$573:$F$636, "&lt;200")</f>
        <v>3155</v>
      </c>
      <c r="AA649" s="120">
        <f>SUM(P649:Q652)</f>
        <v>1936.6666666666665</v>
      </c>
      <c r="AB649" s="120">
        <f>SUMIFS(Collection!O:O, Collection!B:B, "*" &amp; 'Bucket Counts'!Y649 &amp; "*", Collection!A:A, "&lt;" &amp; 'Bucket Counts'!A649,Collection!A:A,  "&gt;=" &amp; 'Bucket Counts'!$A$573)</f>
        <v>0</v>
      </c>
      <c r="AC649" s="106">
        <f>AA649/(Z649+AB649)</f>
        <v>0.61384046487057575</v>
      </c>
    </row>
    <row r="650" spans="1:29" s="62" customFormat="1">
      <c r="A650" s="134">
        <v>42922</v>
      </c>
      <c r="B650" s="60"/>
      <c r="C650" s="60"/>
      <c r="D650" s="61" t="s">
        <v>20</v>
      </c>
      <c r="E650" s="62">
        <v>2</v>
      </c>
      <c r="F650" s="89">
        <v>180</v>
      </c>
      <c r="G650" s="89">
        <v>2</v>
      </c>
      <c r="H650" s="249">
        <v>250</v>
      </c>
      <c r="I650" s="62">
        <v>8</v>
      </c>
      <c r="J650" s="62">
        <v>0</v>
      </c>
      <c r="K650" s="62">
        <v>6</v>
      </c>
      <c r="L650" s="62">
        <v>0</v>
      </c>
      <c r="M650" s="62">
        <v>4</v>
      </c>
      <c r="N650" s="62">
        <v>1</v>
      </c>
      <c r="P650" s="120">
        <f t="shared" si="68"/>
        <v>750</v>
      </c>
      <c r="Q650" s="120">
        <f t="shared" si="69"/>
        <v>41.666666666666664</v>
      </c>
      <c r="R650" s="106">
        <f t="shared" si="63"/>
        <v>0.94736842105263164</v>
      </c>
      <c r="S650" s="181">
        <f>(SUM(P649:P652)/(SUM(P649:Q652)))</f>
        <v>0.80034423407917388</v>
      </c>
      <c r="T650" s="65"/>
      <c r="U650" s="65"/>
      <c r="V650" s="65"/>
      <c r="Y650" s="89"/>
      <c r="Z650" s="357"/>
      <c r="AA650" s="120"/>
      <c r="AB650" s="120"/>
    </row>
    <row r="651" spans="1:29" s="62" customFormat="1">
      <c r="A651" s="134">
        <v>42922</v>
      </c>
      <c r="B651" s="60"/>
      <c r="C651" s="60"/>
      <c r="D651" s="61" t="s">
        <v>20</v>
      </c>
      <c r="E651" s="62">
        <v>2</v>
      </c>
      <c r="F651" s="89">
        <v>100</v>
      </c>
      <c r="G651" s="89">
        <v>2</v>
      </c>
      <c r="H651" s="249">
        <v>250</v>
      </c>
      <c r="I651" s="62">
        <v>9</v>
      </c>
      <c r="J651" s="62">
        <v>0</v>
      </c>
      <c r="K651" s="62">
        <v>3</v>
      </c>
      <c r="L651" s="62">
        <v>0</v>
      </c>
      <c r="M651" s="62">
        <v>4</v>
      </c>
      <c r="N651" s="62">
        <v>2</v>
      </c>
      <c r="P651" s="120">
        <f t="shared" si="68"/>
        <v>666.66666666666663</v>
      </c>
      <c r="Q651" s="120">
        <f t="shared" si="69"/>
        <v>83.333333333333329</v>
      </c>
      <c r="R651" s="106">
        <f t="shared" si="63"/>
        <v>0.88888888888888884</v>
      </c>
      <c r="S651" s="182"/>
      <c r="T651" s="65"/>
      <c r="U651" s="65"/>
      <c r="V651" s="65"/>
      <c r="Y651" s="89"/>
      <c r="Z651" s="357"/>
      <c r="AA651" s="120"/>
      <c r="AB651" s="120"/>
    </row>
    <row r="652" spans="1:29" s="62" customFormat="1">
      <c r="A652" s="134">
        <v>42922</v>
      </c>
      <c r="B652" s="60"/>
      <c r="C652" s="60"/>
      <c r="D652" s="61" t="s">
        <v>20</v>
      </c>
      <c r="E652" s="62">
        <v>2</v>
      </c>
      <c r="F652" s="89" t="s">
        <v>203</v>
      </c>
      <c r="G652" s="89">
        <v>2</v>
      </c>
      <c r="H652" s="249">
        <v>250</v>
      </c>
      <c r="I652" s="62">
        <v>0</v>
      </c>
      <c r="J652" s="62">
        <v>2</v>
      </c>
      <c r="K652" s="62">
        <v>0</v>
      </c>
      <c r="L652" s="62">
        <v>1</v>
      </c>
      <c r="M652" s="62">
        <v>0</v>
      </c>
      <c r="N652" s="62">
        <v>2</v>
      </c>
      <c r="P652" s="120">
        <f t="shared" si="68"/>
        <v>0</v>
      </c>
      <c r="Q652" s="120">
        <f t="shared" si="69"/>
        <v>208.33333333333334</v>
      </c>
      <c r="R652" s="106">
        <f t="shared" si="63"/>
        <v>0</v>
      </c>
      <c r="S652" s="182"/>
      <c r="T652" s="65"/>
      <c r="U652" s="65"/>
      <c r="V652" s="65"/>
      <c r="Y652" s="89"/>
      <c r="Z652" s="357"/>
      <c r="AA652" s="120"/>
      <c r="AB652" s="120"/>
    </row>
    <row r="653" spans="1:29" s="62" customFormat="1">
      <c r="A653" s="134">
        <v>42922</v>
      </c>
      <c r="B653" s="60"/>
      <c r="C653" s="60"/>
      <c r="D653" s="62" t="s">
        <v>46</v>
      </c>
      <c r="E653" s="62">
        <v>3</v>
      </c>
      <c r="F653" s="89">
        <v>224</v>
      </c>
      <c r="G653" s="89">
        <v>3</v>
      </c>
      <c r="H653" s="249">
        <v>260</v>
      </c>
      <c r="I653" s="62">
        <v>9</v>
      </c>
      <c r="J653" s="62">
        <v>1</v>
      </c>
      <c r="K653" s="62">
        <v>12</v>
      </c>
      <c r="L653" s="62">
        <v>1</v>
      </c>
      <c r="M653" s="62">
        <v>18</v>
      </c>
      <c r="N653" s="62">
        <v>0</v>
      </c>
      <c r="P653" s="120">
        <f t="shared" si="68"/>
        <v>1126.6666666666665</v>
      </c>
      <c r="Q653" s="120">
        <f t="shared" si="69"/>
        <v>57.777777777777771</v>
      </c>
      <c r="R653" s="106">
        <f t="shared" si="63"/>
        <v>0.95121951219512191</v>
      </c>
      <c r="S653" s="183" t="str">
        <f>D653</f>
        <v>K-6 Low</v>
      </c>
      <c r="T653" s="65"/>
      <c r="U653" s="65"/>
      <c r="V653" s="65"/>
      <c r="Y653" s="89" t="str">
        <f>D653</f>
        <v>K-6 Low</v>
      </c>
      <c r="Z653" s="351">
        <f>SUMIFS($P$573:$P$636, $D$573:$D$636, Y653, $F$573:$F$636, "&lt;200") + SUMIFS($Q$573:$Q$636, $D$573:$D$636, Y653, $F$573:$F$636, "&lt;200")</f>
        <v>15608.333333333336</v>
      </c>
      <c r="AA653" s="120">
        <f>SUM(P653:Q656)</f>
        <v>10302.222222222223</v>
      </c>
      <c r="AB653" s="120">
        <f>SUMIFS(Collection!O:O, Collection!B:B, "*" &amp; 'Bucket Counts'!Y653 &amp; "*", Collection!A:A, "&lt;" &amp; 'Bucket Counts'!A653,Collection!A:A,  "&gt;=" &amp; 'Bucket Counts'!$A$573)</f>
        <v>0</v>
      </c>
      <c r="AC653" s="106">
        <f>AA653/(Z653+AB653)</f>
        <v>0.66004627157857265</v>
      </c>
    </row>
    <row r="654" spans="1:29" s="62" customFormat="1">
      <c r="A654" s="134">
        <v>42922</v>
      </c>
      <c r="B654" s="60"/>
      <c r="C654" s="60"/>
      <c r="D654" s="62" t="s">
        <v>46</v>
      </c>
      <c r="E654" s="62">
        <v>3</v>
      </c>
      <c r="F654" s="89">
        <v>180</v>
      </c>
      <c r="G654" s="89">
        <v>3</v>
      </c>
      <c r="H654" s="249">
        <v>290</v>
      </c>
      <c r="I654" s="62">
        <v>44</v>
      </c>
      <c r="J654" s="62">
        <v>1</v>
      </c>
      <c r="K654" s="62">
        <v>30</v>
      </c>
      <c r="L654" s="62">
        <v>0</v>
      </c>
      <c r="M654" s="62">
        <v>37</v>
      </c>
      <c r="N654" s="62">
        <v>3</v>
      </c>
      <c r="P654" s="120">
        <f t="shared" si="68"/>
        <v>3576.666666666667</v>
      </c>
      <c r="Q654" s="120">
        <f t="shared" si="69"/>
        <v>128.88888888888889</v>
      </c>
      <c r="R654" s="106">
        <f t="shared" si="63"/>
        <v>0.96521739130434792</v>
      </c>
      <c r="S654" s="181">
        <f>(SUM(P653:P656)/(SUM(P653:Q656)))</f>
        <v>0.6982312338222606</v>
      </c>
      <c r="T654" s="65"/>
      <c r="U654" s="65"/>
      <c r="V654" s="65"/>
      <c r="Y654" s="89"/>
      <c r="Z654" s="357"/>
      <c r="AA654" s="120"/>
      <c r="AB654" s="120"/>
    </row>
    <row r="655" spans="1:29" s="62" customFormat="1">
      <c r="A655" s="134">
        <v>42922</v>
      </c>
      <c r="B655" s="60"/>
      <c r="C655" s="60"/>
      <c r="D655" s="62" t="s">
        <v>46</v>
      </c>
      <c r="E655" s="62">
        <v>3</v>
      </c>
      <c r="F655" s="89">
        <v>100</v>
      </c>
      <c r="G655" s="89">
        <v>3</v>
      </c>
      <c r="H655" s="249">
        <v>280</v>
      </c>
      <c r="I655" s="62">
        <v>33</v>
      </c>
      <c r="J655" s="62">
        <v>2</v>
      </c>
      <c r="K655" s="62">
        <v>21</v>
      </c>
      <c r="L655" s="62">
        <v>2</v>
      </c>
      <c r="M655" s="62">
        <v>25</v>
      </c>
      <c r="N655" s="62">
        <v>5</v>
      </c>
      <c r="P655" s="120">
        <f t="shared" si="68"/>
        <v>2457.7777777777774</v>
      </c>
      <c r="Q655" s="120">
        <f t="shared" si="69"/>
        <v>280</v>
      </c>
      <c r="R655" s="106">
        <f t="shared" si="63"/>
        <v>0.89772727272727271</v>
      </c>
      <c r="S655" s="182"/>
      <c r="T655" s="65"/>
      <c r="U655" s="65"/>
      <c r="V655" s="65"/>
      <c r="Y655" s="89"/>
      <c r="Z655" s="357"/>
      <c r="AA655" s="120"/>
      <c r="AB655" s="120"/>
    </row>
    <row r="656" spans="1:29" s="62" customFormat="1">
      <c r="A656" s="134">
        <v>42922</v>
      </c>
      <c r="B656" s="60"/>
      <c r="C656" s="60"/>
      <c r="D656" s="62" t="s">
        <v>46</v>
      </c>
      <c r="E656" s="62">
        <v>3</v>
      </c>
      <c r="F656" s="89" t="s">
        <v>203</v>
      </c>
      <c r="G656" s="89">
        <v>3</v>
      </c>
      <c r="H656" s="249">
        <v>290</v>
      </c>
      <c r="I656" s="62">
        <v>0</v>
      </c>
      <c r="J656" s="62">
        <v>30</v>
      </c>
      <c r="K656" s="62">
        <v>1</v>
      </c>
      <c r="L656" s="62">
        <v>23</v>
      </c>
      <c r="M656" s="62">
        <v>0</v>
      </c>
      <c r="N656" s="62">
        <v>29</v>
      </c>
      <c r="P656" s="120">
        <f t="shared" si="68"/>
        <v>32.222222222222221</v>
      </c>
      <c r="Q656" s="120">
        <f t="shared" si="69"/>
        <v>2642.2222222222222</v>
      </c>
      <c r="R656" s="106">
        <f t="shared" si="63"/>
        <v>1.2048192771084338E-2</v>
      </c>
      <c r="S656" s="182"/>
      <c r="T656" s="65"/>
      <c r="U656" s="65"/>
      <c r="V656" s="65"/>
      <c r="Y656" s="89"/>
      <c r="Z656" s="357"/>
      <c r="AA656" s="120"/>
      <c r="AB656" s="120"/>
    </row>
    <row r="657" spans="1:29" s="62" customFormat="1">
      <c r="A657" s="134">
        <v>42922</v>
      </c>
      <c r="B657" s="60"/>
      <c r="C657" s="60"/>
      <c r="D657" s="272" t="s">
        <v>17</v>
      </c>
      <c r="E657" s="62">
        <v>3</v>
      </c>
      <c r="F657" s="89">
        <v>224</v>
      </c>
      <c r="G657" s="89">
        <v>2</v>
      </c>
      <c r="H657" s="249">
        <v>250</v>
      </c>
      <c r="I657" s="62">
        <v>1</v>
      </c>
      <c r="J657" s="62">
        <v>0</v>
      </c>
      <c r="K657" s="62">
        <v>6</v>
      </c>
      <c r="L657" s="62">
        <v>0</v>
      </c>
      <c r="M657" s="62">
        <v>1</v>
      </c>
      <c r="N657" s="62">
        <v>1</v>
      </c>
      <c r="P657" s="120">
        <f t="shared" si="68"/>
        <v>333.33333333333331</v>
      </c>
      <c r="Q657" s="120">
        <f t="shared" si="69"/>
        <v>41.666666666666664</v>
      </c>
      <c r="R657" s="106">
        <f t="shared" si="63"/>
        <v>0.88888888888888884</v>
      </c>
      <c r="S657" s="183" t="str">
        <f>D657</f>
        <v>K-10 Ambient</v>
      </c>
      <c r="T657" s="65"/>
      <c r="U657" s="65"/>
      <c r="V657" s="65"/>
      <c r="Y657" s="89" t="str">
        <f>D657</f>
        <v>K-10 Ambient</v>
      </c>
      <c r="Z657" s="351">
        <f>SUMIFS($P$573:$P$636, $D$573:$D$636, Y657, $F$573:$F$636, "&lt;200") + SUMIFS($Q$573:$Q$636, $D$573:$D$636, Y657, $F$573:$F$636, "&lt;200")</f>
        <v>5500.0000000000009</v>
      </c>
      <c r="AA657" s="120">
        <f>SUM(P657:Q660)</f>
        <v>5208.3333333333339</v>
      </c>
      <c r="AB657" s="120">
        <f>SUMIFS(Collection!O:O, Collection!B:B, "*" &amp; 'Bucket Counts'!Y657 &amp; "*", Collection!A:A, "&lt;" &amp; 'Bucket Counts'!A657,Collection!A:A,  "&gt;=" &amp; 'Bucket Counts'!$A$573)</f>
        <v>0</v>
      </c>
      <c r="AC657" s="106">
        <f>AA657/(Z657+AB657)</f>
        <v>0.94696969696969691</v>
      </c>
    </row>
    <row r="658" spans="1:29" s="62" customFormat="1">
      <c r="A658" s="134">
        <v>42922</v>
      </c>
      <c r="B658" s="60"/>
      <c r="C658" s="60"/>
      <c r="D658" s="272" t="s">
        <v>17</v>
      </c>
      <c r="E658" s="62">
        <v>3</v>
      </c>
      <c r="F658" s="89">
        <v>180</v>
      </c>
      <c r="G658" s="89">
        <v>2</v>
      </c>
      <c r="H658" s="249">
        <v>290</v>
      </c>
      <c r="I658" s="62">
        <v>20</v>
      </c>
      <c r="J658" s="62">
        <v>0</v>
      </c>
      <c r="K658" s="62">
        <v>14</v>
      </c>
      <c r="L658" s="62">
        <v>0</v>
      </c>
      <c r="M658" s="62">
        <v>16</v>
      </c>
      <c r="N658" s="62">
        <v>0</v>
      </c>
      <c r="P658" s="120">
        <f t="shared" ref="P658:P663" si="70">(AVERAGE(I658,K658,M658)/G658)*H658</f>
        <v>2416.666666666667</v>
      </c>
      <c r="Q658" s="120">
        <f t="shared" ref="Q658:Q700" si="71">(AVERAGE(J658,L658,N658)/G658)*H658</f>
        <v>0</v>
      </c>
      <c r="R658" s="106">
        <f t="shared" si="63"/>
        <v>1</v>
      </c>
      <c r="S658" s="181">
        <f>(SUM(P657:P660)/(SUM(P657:Q660)))</f>
        <v>0.68303999999999998</v>
      </c>
      <c r="T658" s="65"/>
      <c r="Y658" s="89"/>
      <c r="Z658" s="357"/>
      <c r="AA658" s="120"/>
      <c r="AB658" s="120"/>
    </row>
    <row r="659" spans="1:29" s="62" customFormat="1">
      <c r="A659" s="134">
        <v>42922</v>
      </c>
      <c r="B659" s="60"/>
      <c r="C659" s="60"/>
      <c r="D659" s="272" t="s">
        <v>17</v>
      </c>
      <c r="E659" s="62">
        <v>3</v>
      </c>
      <c r="F659" s="89">
        <v>100</v>
      </c>
      <c r="G659" s="89">
        <v>2</v>
      </c>
      <c r="H659" s="249">
        <v>220</v>
      </c>
      <c r="I659" s="62">
        <v>6</v>
      </c>
      <c r="J659" s="62">
        <v>2</v>
      </c>
      <c r="K659" s="62">
        <v>10</v>
      </c>
      <c r="L659" s="62">
        <v>2</v>
      </c>
      <c r="M659" s="62">
        <v>5</v>
      </c>
      <c r="N659" s="62">
        <v>0</v>
      </c>
      <c r="P659" s="120">
        <f t="shared" si="70"/>
        <v>770</v>
      </c>
      <c r="Q659" s="120">
        <f t="shared" si="71"/>
        <v>146.66666666666666</v>
      </c>
      <c r="R659" s="106">
        <f t="shared" si="63"/>
        <v>0.84000000000000008</v>
      </c>
      <c r="S659" s="182"/>
      <c r="T659" s="65"/>
      <c r="Y659" s="89"/>
      <c r="Z659" s="357"/>
      <c r="AA659" s="120"/>
      <c r="AB659" s="120"/>
    </row>
    <row r="660" spans="1:29" s="62" customFormat="1">
      <c r="A660" s="134">
        <v>42922</v>
      </c>
      <c r="B660" s="60"/>
      <c r="C660" s="60"/>
      <c r="D660" s="272" t="s">
        <v>17</v>
      </c>
      <c r="E660" s="62">
        <v>3</v>
      </c>
      <c r="F660" s="89" t="s">
        <v>203</v>
      </c>
      <c r="G660" s="89">
        <v>2</v>
      </c>
      <c r="H660" s="249">
        <v>225</v>
      </c>
      <c r="I660" s="62">
        <v>1</v>
      </c>
      <c r="J660" s="62">
        <v>10</v>
      </c>
      <c r="K660" s="62">
        <v>0</v>
      </c>
      <c r="L660" s="62">
        <v>19</v>
      </c>
      <c r="M660" s="62">
        <v>0</v>
      </c>
      <c r="N660" s="62">
        <v>10</v>
      </c>
      <c r="P660" s="120">
        <f t="shared" si="70"/>
        <v>37.5</v>
      </c>
      <c r="Q660" s="120">
        <f t="shared" si="71"/>
        <v>1462.5</v>
      </c>
      <c r="R660" s="106">
        <f t="shared" si="63"/>
        <v>2.5000000000000001E-2</v>
      </c>
      <c r="S660" s="182"/>
      <c r="T660" s="65"/>
      <c r="Y660" s="89"/>
      <c r="Z660" s="357"/>
      <c r="AA660" s="120"/>
      <c r="AB660" s="120"/>
    </row>
    <row r="661" spans="1:29" s="62" customFormat="1">
      <c r="A661" s="134">
        <v>42922</v>
      </c>
      <c r="B661" s="60"/>
      <c r="C661" s="60"/>
      <c r="D661" s="61" t="s">
        <v>109</v>
      </c>
      <c r="E661" s="62">
        <v>4</v>
      </c>
      <c r="F661" s="89">
        <v>224</v>
      </c>
      <c r="G661" s="89">
        <v>2</v>
      </c>
      <c r="H661" s="249">
        <v>500</v>
      </c>
      <c r="I661" s="62">
        <v>5</v>
      </c>
      <c r="J661" s="62">
        <v>0</v>
      </c>
      <c r="K661" s="62">
        <v>9</v>
      </c>
      <c r="L661" s="62">
        <v>0</v>
      </c>
      <c r="M661" s="62">
        <v>11</v>
      </c>
      <c r="N661" s="62">
        <v>0</v>
      </c>
      <c r="P661" s="120">
        <f t="shared" si="70"/>
        <v>2083.3333333333335</v>
      </c>
      <c r="Q661" s="120">
        <f t="shared" si="71"/>
        <v>0</v>
      </c>
      <c r="R661" s="106">
        <f t="shared" si="63"/>
        <v>1</v>
      </c>
      <c r="S661" s="180" t="str">
        <f>D661</f>
        <v>HL-10 Low</v>
      </c>
      <c r="T661" s="65"/>
      <c r="Y661" s="89" t="str">
        <f>D661</f>
        <v>HL-10 Low</v>
      </c>
      <c r="Z661" s="351">
        <f>SUMIFS($P$573:$P$636, $D$573:$D$636, Y661, $F$573:$F$636, "&lt;200") + SUMIFS($Q$573:$Q$636, $D$573:$D$636, Y661, $F$573:$F$636, "&lt;200")</f>
        <v>35726.666666666664</v>
      </c>
      <c r="AA661" s="120">
        <f>SUM(P661:Q664)</f>
        <v>32198.333333333332</v>
      </c>
      <c r="AB661" s="120">
        <f>SUMIFS(Collection!O:O, Collection!B:B, "*" &amp; 'Bucket Counts'!Y661 &amp; "*", Collection!A:A, "&lt;" &amp; 'Bucket Counts'!A661,Collection!A:A,  "&gt;=" &amp; 'Bucket Counts'!$A$573)</f>
        <v>0</v>
      </c>
      <c r="AC661" s="106">
        <f>AA661/(Z661+AB661)</f>
        <v>0.90124090315357341</v>
      </c>
    </row>
    <row r="662" spans="1:29" s="62" customFormat="1">
      <c r="A662" s="134">
        <v>42922</v>
      </c>
      <c r="B662" s="60"/>
      <c r="C662" s="60"/>
      <c r="D662" s="61" t="s">
        <v>109</v>
      </c>
      <c r="E662" s="62">
        <v>4</v>
      </c>
      <c r="F662" s="89">
        <v>180</v>
      </c>
      <c r="G662" s="89">
        <v>2</v>
      </c>
      <c r="H662" s="249">
        <v>500</v>
      </c>
      <c r="I662" s="62">
        <v>65</v>
      </c>
      <c r="J662" s="62">
        <v>0</v>
      </c>
      <c r="K662" s="62">
        <v>62</v>
      </c>
      <c r="L662" s="62">
        <v>0</v>
      </c>
      <c r="M662" s="62">
        <v>73</v>
      </c>
      <c r="N662" s="62">
        <v>1</v>
      </c>
      <c r="P662" s="120">
        <f t="shared" si="70"/>
        <v>16666.666666666668</v>
      </c>
      <c r="Q662" s="120">
        <f t="shared" si="71"/>
        <v>83.333333333333329</v>
      </c>
      <c r="R662" s="106">
        <f t="shared" si="63"/>
        <v>0.99502487562189057</v>
      </c>
      <c r="S662" s="181">
        <f>(SUM(P661:P664)/(SUM(P661:Q664)))</f>
        <v>0.8854495574305089</v>
      </c>
      <c r="T662" s="65"/>
      <c r="Y662" s="89"/>
      <c r="Z662" s="357"/>
      <c r="AA662" s="120"/>
      <c r="AB662" s="120"/>
    </row>
    <row r="663" spans="1:29" s="62" customFormat="1">
      <c r="A663" s="134">
        <v>42922</v>
      </c>
      <c r="B663" s="60"/>
      <c r="C663" s="60"/>
      <c r="D663" s="61" t="s">
        <v>109</v>
      </c>
      <c r="E663" s="62">
        <v>4</v>
      </c>
      <c r="F663" s="89">
        <v>100</v>
      </c>
      <c r="G663" s="89">
        <v>2</v>
      </c>
      <c r="H663" s="249">
        <v>240</v>
      </c>
      <c r="I663" s="62">
        <v>87</v>
      </c>
      <c r="J663" s="62">
        <v>2</v>
      </c>
      <c r="K663" s="62">
        <v>75</v>
      </c>
      <c r="L663" s="62">
        <v>0</v>
      </c>
      <c r="M663" s="62">
        <v>82</v>
      </c>
      <c r="N663" s="62">
        <v>0</v>
      </c>
      <c r="P663" s="120">
        <f t="shared" si="70"/>
        <v>9760</v>
      </c>
      <c r="Q663" s="120">
        <f t="shared" si="71"/>
        <v>80</v>
      </c>
      <c r="R663" s="106">
        <f t="shared" si="63"/>
        <v>0.99186991869918695</v>
      </c>
      <c r="S663" s="179"/>
      <c r="T663" s="65"/>
      <c r="Y663" s="89"/>
      <c r="Z663" s="357"/>
      <c r="AA663" s="120"/>
      <c r="AB663" s="120"/>
    </row>
    <row r="664" spans="1:29" s="62" customFormat="1">
      <c r="A664" s="134">
        <v>42922</v>
      </c>
      <c r="B664" s="60"/>
      <c r="C664" s="60"/>
      <c r="D664" s="61" t="s">
        <v>109</v>
      </c>
      <c r="E664" s="62">
        <v>4</v>
      </c>
      <c r="F664" s="89" t="s">
        <v>203</v>
      </c>
      <c r="G664" s="89">
        <v>2</v>
      </c>
      <c r="H664" s="249">
        <v>225</v>
      </c>
      <c r="I664" s="62">
        <v>0</v>
      </c>
      <c r="J664" s="62">
        <v>23</v>
      </c>
      <c r="K664" s="62">
        <v>0</v>
      </c>
      <c r="L664" s="62">
        <v>30</v>
      </c>
      <c r="M664" s="62">
        <v>0</v>
      </c>
      <c r="N664" s="62">
        <v>41</v>
      </c>
      <c r="P664" s="120">
        <f>(AVERAGE(I664,K664,M664)/G664)*H664</f>
        <v>0</v>
      </c>
      <c r="Q664" s="120">
        <f t="shared" si="71"/>
        <v>3525</v>
      </c>
      <c r="R664" s="106">
        <f t="shared" si="63"/>
        <v>0</v>
      </c>
      <c r="S664" s="182"/>
      <c r="T664" s="65"/>
      <c r="Y664" s="89"/>
      <c r="Z664" s="357"/>
      <c r="AA664" s="120"/>
      <c r="AB664" s="120"/>
    </row>
    <row r="665" spans="1:29" s="62" customFormat="1">
      <c r="A665" s="134">
        <v>42922</v>
      </c>
      <c r="B665" s="60"/>
      <c r="C665" s="60"/>
      <c r="D665" s="61" t="s">
        <v>88</v>
      </c>
      <c r="E665" s="62">
        <v>4</v>
      </c>
      <c r="F665" s="89">
        <v>224</v>
      </c>
      <c r="G665" s="89">
        <v>2</v>
      </c>
      <c r="H665" s="249">
        <v>250</v>
      </c>
      <c r="I665" s="62">
        <v>6</v>
      </c>
      <c r="J665" s="62">
        <v>0</v>
      </c>
      <c r="K665" s="62">
        <v>7</v>
      </c>
      <c r="L665" s="62">
        <v>0</v>
      </c>
      <c r="M665" s="62">
        <v>2</v>
      </c>
      <c r="N665" s="62">
        <v>0</v>
      </c>
      <c r="P665" s="120">
        <f t="shared" ref="P665:P677" si="72">(AVERAGE(I665,K665,M665)/G665)*H665</f>
        <v>625</v>
      </c>
      <c r="Q665" s="120">
        <f t="shared" si="71"/>
        <v>0</v>
      </c>
      <c r="R665" s="106">
        <f t="shared" si="63"/>
        <v>1</v>
      </c>
      <c r="S665" s="183" t="str">
        <f>D665</f>
        <v>HL-10 Ambient</v>
      </c>
      <c r="T665" s="65"/>
      <c r="Y665" s="89" t="str">
        <f>D665</f>
        <v>HL-10 Ambient</v>
      </c>
      <c r="Z665" s="351">
        <f>SUMIFS($P$573:$P$636, $D$573:$D$636, Y665, $F$573:$F$636, "&lt;200") + SUMIFS($Q$573:$Q$636, $D$573:$D$636, Y665, $F$573:$F$636, "&lt;200")</f>
        <v>74166.666666666672</v>
      </c>
      <c r="AA665" s="120">
        <f>SUM(P665:Q668)</f>
        <v>79140.833333333343</v>
      </c>
      <c r="AB665" s="120">
        <f>SUMIFS(Collection!O:O, Collection!B:B, "*" &amp; 'Bucket Counts'!Y665 &amp; "*", Collection!A:A, "&lt;" &amp; 'Bucket Counts'!A665,Collection!A:A,  "&gt;=" &amp; 'Bucket Counts'!$A$573)</f>
        <v>0</v>
      </c>
      <c r="AC665" s="106">
        <f>AA665/(Z665+AB665)</f>
        <v>1.067067415730337</v>
      </c>
    </row>
    <row r="666" spans="1:29" s="62" customFormat="1">
      <c r="A666" s="134">
        <v>42922</v>
      </c>
      <c r="B666" s="60"/>
      <c r="C666" s="60"/>
      <c r="D666" s="61" t="s">
        <v>88</v>
      </c>
      <c r="E666" s="62">
        <v>4</v>
      </c>
      <c r="F666" s="89">
        <v>180</v>
      </c>
      <c r="G666" s="89">
        <v>2</v>
      </c>
      <c r="H666" s="249">
        <v>250</v>
      </c>
      <c r="I666" s="62">
        <v>50</v>
      </c>
      <c r="J666" s="62">
        <v>0</v>
      </c>
      <c r="K666" s="62">
        <v>41</v>
      </c>
      <c r="L666" s="62">
        <v>3</v>
      </c>
      <c r="M666" s="62">
        <v>31</v>
      </c>
      <c r="N666" s="62">
        <v>1</v>
      </c>
      <c r="P666" s="120">
        <f t="shared" si="72"/>
        <v>5083.333333333333</v>
      </c>
      <c r="Q666" s="120">
        <f t="shared" si="71"/>
        <v>166.66666666666666</v>
      </c>
      <c r="R666" s="106">
        <f t="shared" si="63"/>
        <v>0.96825396825396814</v>
      </c>
      <c r="S666" s="181">
        <f>(SUM(P665:P668)/(SUM(P665:Q668)))</f>
        <v>0.97796122945382169</v>
      </c>
      <c r="T666" s="65"/>
      <c r="Y666" s="89"/>
      <c r="Z666" s="357"/>
      <c r="AA666" s="120"/>
      <c r="AB666" s="120"/>
    </row>
    <row r="667" spans="1:29" s="62" customFormat="1">
      <c r="A667" s="134">
        <v>42922</v>
      </c>
      <c r="B667" s="60"/>
      <c r="C667" s="60"/>
      <c r="D667" s="61" t="s">
        <v>88</v>
      </c>
      <c r="E667" s="62">
        <v>4</v>
      </c>
      <c r="F667" s="89">
        <v>100</v>
      </c>
      <c r="G667" s="89">
        <v>1</v>
      </c>
      <c r="H667" s="249">
        <v>470</v>
      </c>
      <c r="I667" s="62">
        <v>184</v>
      </c>
      <c r="J667" s="62">
        <v>1</v>
      </c>
      <c r="K667" s="62">
        <v>136</v>
      </c>
      <c r="L667" s="62">
        <v>0</v>
      </c>
      <c r="M667" s="62">
        <v>137</v>
      </c>
      <c r="N667" s="62">
        <v>0</v>
      </c>
      <c r="P667" s="120">
        <f t="shared" si="72"/>
        <v>71596.666666666672</v>
      </c>
      <c r="Q667" s="120">
        <f t="shared" si="71"/>
        <v>156.66666666666666</v>
      </c>
      <c r="R667" s="106">
        <f t="shared" si="63"/>
        <v>0.99781659388646282</v>
      </c>
      <c r="S667" s="182"/>
      <c r="T667" s="65"/>
      <c r="Y667" s="89"/>
      <c r="Z667" s="357"/>
      <c r="AA667" s="120"/>
      <c r="AB667" s="120"/>
    </row>
    <row r="668" spans="1:29" s="62" customFormat="1">
      <c r="A668" s="134">
        <v>42922</v>
      </c>
      <c r="B668" s="60"/>
      <c r="C668" s="60"/>
      <c r="D668" s="61" t="s">
        <v>88</v>
      </c>
      <c r="E668" s="62">
        <v>4</v>
      </c>
      <c r="F668" s="89" t="s">
        <v>203</v>
      </c>
      <c r="G668" s="89">
        <v>2</v>
      </c>
      <c r="H668" s="249">
        <v>275</v>
      </c>
      <c r="I668" s="62">
        <v>1</v>
      </c>
      <c r="J668" s="62">
        <v>9</v>
      </c>
      <c r="K668" s="62">
        <v>0</v>
      </c>
      <c r="L668" s="62">
        <v>16</v>
      </c>
      <c r="M668" s="62">
        <v>1</v>
      </c>
      <c r="N668" s="62">
        <v>6</v>
      </c>
      <c r="P668" s="120">
        <f t="shared" si="72"/>
        <v>91.666666666666657</v>
      </c>
      <c r="Q668" s="120">
        <f t="shared" si="71"/>
        <v>1420.8333333333335</v>
      </c>
      <c r="R668" s="106">
        <f t="shared" si="63"/>
        <v>6.0606060606060594E-2</v>
      </c>
      <c r="S668" s="182"/>
      <c r="T668" s="65"/>
      <c r="Y668" s="89"/>
      <c r="Z668" s="357"/>
      <c r="AA668" s="120"/>
      <c r="AB668" s="120"/>
    </row>
    <row r="669" spans="1:29" s="62" customFormat="1">
      <c r="A669" s="134">
        <v>42922</v>
      </c>
      <c r="B669" s="60"/>
      <c r="C669" s="60"/>
      <c r="D669" s="62" t="s">
        <v>86</v>
      </c>
      <c r="E669" s="62">
        <v>5</v>
      </c>
      <c r="F669" s="89">
        <v>224</v>
      </c>
      <c r="G669" s="89"/>
      <c r="H669" s="249"/>
      <c r="P669" s="120">
        <v>8</v>
      </c>
      <c r="Q669" s="120">
        <v>2</v>
      </c>
      <c r="R669" s="106">
        <f t="shared" si="63"/>
        <v>0.8</v>
      </c>
      <c r="S669" s="183" t="str">
        <f>D669</f>
        <v>SN-10 Ambient</v>
      </c>
      <c r="W669" s="62" t="s">
        <v>311</v>
      </c>
      <c r="Y669" s="89" t="str">
        <f>D669</f>
        <v>SN-10 Ambient</v>
      </c>
      <c r="Z669" s="351">
        <f>SUMIFS($P$573:$P$636, $D$573:$D$636, Y669, $F$573:$F$636, "&lt;200") + SUMIFS($Q$573:$Q$636, $D$573:$D$636, Y669, $F$573:$F$636, "&lt;200")</f>
        <v>715.55555555555543</v>
      </c>
      <c r="AA669" s="120">
        <f>SUM(P669:Q672)</f>
        <v>195.55555555555554</v>
      </c>
      <c r="AB669" s="120">
        <f>SUMIFS(Collection!O:O, Collection!B:B, "*" &amp; 'Bucket Counts'!Y669 &amp; "*", Collection!A:A, "&lt;" &amp; 'Bucket Counts'!A669,Collection!A:A,  "&gt;=" &amp; 'Bucket Counts'!$A$573)</f>
        <v>0</v>
      </c>
      <c r="AC669" s="106">
        <f>AA669/(Z669+AB669)</f>
        <v>0.27329192546583853</v>
      </c>
    </row>
    <row r="670" spans="1:29" s="62" customFormat="1">
      <c r="A670" s="134">
        <v>42922</v>
      </c>
      <c r="B670" s="60"/>
      <c r="C670" s="60"/>
      <c r="D670" s="62" t="s">
        <v>86</v>
      </c>
      <c r="E670" s="62">
        <v>5</v>
      </c>
      <c r="F670" s="89">
        <v>180</v>
      </c>
      <c r="G670" s="89">
        <v>3</v>
      </c>
      <c r="H670" s="249">
        <v>250</v>
      </c>
      <c r="I670" s="62">
        <v>1</v>
      </c>
      <c r="J670" s="62">
        <v>0</v>
      </c>
      <c r="K670" s="62">
        <v>0</v>
      </c>
      <c r="L670" s="62">
        <v>0</v>
      </c>
      <c r="M670" s="62">
        <v>0</v>
      </c>
      <c r="N670" s="62">
        <v>0</v>
      </c>
      <c r="P670" s="120">
        <f t="shared" si="72"/>
        <v>27.777777777777775</v>
      </c>
      <c r="Q670" s="120">
        <f t="shared" si="71"/>
        <v>0</v>
      </c>
      <c r="R670" s="106">
        <f t="shared" si="63"/>
        <v>1</v>
      </c>
      <c r="S670" s="181">
        <f>(SUM(P669:P672)/(SUM(P669:Q672)))</f>
        <v>0.18295454545454543</v>
      </c>
      <c r="Y670" s="89"/>
      <c r="Z670" s="357"/>
      <c r="AA670" s="120"/>
      <c r="AB670" s="120"/>
    </row>
    <row r="671" spans="1:29" s="62" customFormat="1">
      <c r="A671" s="134">
        <v>42922</v>
      </c>
      <c r="B671" s="60"/>
      <c r="C671" s="60"/>
      <c r="D671" s="62" t="s">
        <v>86</v>
      </c>
      <c r="E671" s="62">
        <v>5</v>
      </c>
      <c r="F671" s="89">
        <v>100</v>
      </c>
      <c r="G671" s="89">
        <v>3</v>
      </c>
      <c r="H671" s="249">
        <v>250</v>
      </c>
      <c r="I671" s="62">
        <v>0</v>
      </c>
      <c r="J671" s="62">
        <v>1</v>
      </c>
      <c r="K671" s="62">
        <v>0</v>
      </c>
      <c r="L671" s="62">
        <v>0</v>
      </c>
      <c r="M671" s="62">
        <v>0</v>
      </c>
      <c r="N671" s="62">
        <v>0</v>
      </c>
      <c r="P671" s="120">
        <f t="shared" si="72"/>
        <v>0</v>
      </c>
      <c r="Q671" s="120">
        <f t="shared" si="71"/>
        <v>27.777777777777775</v>
      </c>
      <c r="R671" s="106">
        <f t="shared" si="63"/>
        <v>0</v>
      </c>
      <c r="S671" s="182"/>
      <c r="Y671" s="89"/>
      <c r="Z671" s="357"/>
      <c r="AA671" s="120"/>
      <c r="AB671" s="120"/>
    </row>
    <row r="672" spans="1:29" s="62" customFormat="1">
      <c r="A672" s="134">
        <v>42922</v>
      </c>
      <c r="B672" s="60"/>
      <c r="C672" s="60"/>
      <c r="D672" s="62" t="s">
        <v>86</v>
      </c>
      <c r="E672" s="62">
        <v>5</v>
      </c>
      <c r="F672" s="89" t="s">
        <v>203</v>
      </c>
      <c r="G672" s="89">
        <v>2</v>
      </c>
      <c r="H672" s="62">
        <v>260</v>
      </c>
      <c r="I672" s="62">
        <v>0</v>
      </c>
      <c r="J672" s="62">
        <v>1</v>
      </c>
      <c r="K672" s="62">
        <v>0</v>
      </c>
      <c r="L672" s="62">
        <v>2</v>
      </c>
      <c r="M672" s="62">
        <v>0</v>
      </c>
      <c r="N672" s="62">
        <v>0</v>
      </c>
      <c r="P672" s="120">
        <f t="shared" si="72"/>
        <v>0</v>
      </c>
      <c r="Q672" s="120">
        <f t="shared" si="71"/>
        <v>130</v>
      </c>
      <c r="R672" s="106">
        <f t="shared" si="63"/>
        <v>0</v>
      </c>
      <c r="S672" s="182"/>
      <c r="Y672" s="89"/>
      <c r="Z672" s="357"/>
      <c r="AA672" s="120"/>
      <c r="AB672" s="120"/>
    </row>
    <row r="673" spans="1:29" s="62" customFormat="1">
      <c r="A673" s="134">
        <v>42922</v>
      </c>
      <c r="B673" s="60"/>
      <c r="C673" s="60"/>
      <c r="D673" s="62" t="s">
        <v>105</v>
      </c>
      <c r="E673" s="62">
        <v>5</v>
      </c>
      <c r="F673" s="89">
        <v>224</v>
      </c>
      <c r="G673" s="89">
        <v>1</v>
      </c>
      <c r="H673" s="62">
        <v>300</v>
      </c>
      <c r="I673" s="62">
        <v>8</v>
      </c>
      <c r="J673" s="62">
        <v>1</v>
      </c>
      <c r="K673" s="62">
        <v>8</v>
      </c>
      <c r="L673" s="62">
        <v>0</v>
      </c>
      <c r="M673" s="62">
        <v>13</v>
      </c>
      <c r="N673" s="62">
        <v>0</v>
      </c>
      <c r="P673" s="120">
        <f t="shared" si="72"/>
        <v>2900</v>
      </c>
      <c r="Q673" s="120">
        <f t="shared" si="71"/>
        <v>100</v>
      </c>
      <c r="R673" s="106">
        <f t="shared" si="63"/>
        <v>0.96666666666666667</v>
      </c>
      <c r="S673" s="183" t="str">
        <f>D673</f>
        <v>NF-6 Low</v>
      </c>
      <c r="T673" s="65"/>
      <c r="U673" s="65"/>
      <c r="V673" s="65"/>
      <c r="Y673" s="89" t="str">
        <f>D673</f>
        <v>NF-6 Low</v>
      </c>
      <c r="Z673" s="351">
        <f>SUMIFS($P$573:$P$636, $D$573:$D$636, Y673, $F$573:$F$636, "&lt;200") + SUMIFS($Q$573:$Q$636, $D$573:$D$636, Y673, $F$573:$F$636, "&lt;200")</f>
        <v>26531.666666666668</v>
      </c>
      <c r="AA673" s="120">
        <f>SUM(P673:Q676)</f>
        <v>23920.000000000004</v>
      </c>
      <c r="AB673" s="120">
        <f>SUMIFS(Collection!O:O, Collection!B:B, "*" &amp; 'Bucket Counts'!Y673 &amp; "*", Collection!A:A, "&lt;" &amp; 'Bucket Counts'!A673,Collection!A:A,  "&gt;=" &amp; 'Bucket Counts'!$A$573)</f>
        <v>0</v>
      </c>
      <c r="AC673" s="106">
        <f>AA673/(Z673+AB673)</f>
        <v>0.90156416860355559</v>
      </c>
    </row>
    <row r="674" spans="1:29" s="62" customFormat="1">
      <c r="A674" s="134">
        <v>42922</v>
      </c>
      <c r="B674" s="60"/>
      <c r="C674" s="60"/>
      <c r="D674" s="62" t="s">
        <v>105</v>
      </c>
      <c r="E674" s="62">
        <v>5</v>
      </c>
      <c r="F674" s="89">
        <v>180</v>
      </c>
      <c r="G674" s="89">
        <v>1</v>
      </c>
      <c r="H674" s="62">
        <v>470</v>
      </c>
      <c r="I674" s="62">
        <v>32</v>
      </c>
      <c r="J674" s="62">
        <v>0</v>
      </c>
      <c r="K674" s="62">
        <v>23</v>
      </c>
      <c r="L674" s="62">
        <v>0</v>
      </c>
      <c r="M674" s="62">
        <v>40</v>
      </c>
      <c r="N674" s="62">
        <v>1</v>
      </c>
      <c r="P674" s="120">
        <f t="shared" si="72"/>
        <v>14883.333333333334</v>
      </c>
      <c r="Q674" s="120">
        <f t="shared" si="71"/>
        <v>156.66666666666666</v>
      </c>
      <c r="R674" s="106">
        <f t="shared" si="63"/>
        <v>0.98958333333333337</v>
      </c>
      <c r="S674" s="181">
        <f>(SUM(P673:P676)/(SUM(P673:Q676)))</f>
        <v>0.86050724637681153</v>
      </c>
      <c r="T674" s="65"/>
      <c r="U674" s="65"/>
      <c r="V674" s="65"/>
      <c r="Y674" s="89"/>
      <c r="Z674" s="357"/>
      <c r="AA674" s="120"/>
      <c r="AB674" s="120"/>
    </row>
    <row r="675" spans="1:29" s="62" customFormat="1">
      <c r="A675" s="134">
        <v>42922</v>
      </c>
      <c r="B675" s="60"/>
      <c r="C675" s="60"/>
      <c r="D675" s="62" t="s">
        <v>105</v>
      </c>
      <c r="E675" s="62">
        <v>5</v>
      </c>
      <c r="F675" s="89">
        <v>100</v>
      </c>
      <c r="G675" s="89">
        <v>1</v>
      </c>
      <c r="H675" s="62">
        <v>280</v>
      </c>
      <c r="I675" s="62">
        <v>6</v>
      </c>
      <c r="J675" s="62">
        <v>0</v>
      </c>
      <c r="K675" s="62">
        <v>10</v>
      </c>
      <c r="L675" s="62">
        <v>0</v>
      </c>
      <c r="M675" s="62">
        <v>14</v>
      </c>
      <c r="N675" s="62">
        <v>2</v>
      </c>
      <c r="P675" s="120">
        <f t="shared" si="72"/>
        <v>2800</v>
      </c>
      <c r="Q675" s="120">
        <f t="shared" si="71"/>
        <v>186.66666666666666</v>
      </c>
      <c r="R675" s="106">
        <f t="shared" si="63"/>
        <v>0.9375</v>
      </c>
      <c r="S675" s="182"/>
      <c r="T675" s="65"/>
      <c r="U675" s="65"/>
      <c r="V675" s="65"/>
      <c r="Y675" s="89"/>
      <c r="Z675" s="357"/>
      <c r="AA675" s="120"/>
      <c r="AB675" s="120"/>
    </row>
    <row r="676" spans="1:29" s="62" customFormat="1">
      <c r="A676" s="134">
        <v>42922</v>
      </c>
      <c r="B676" s="60"/>
      <c r="C676" s="60"/>
      <c r="D676" s="62" t="s">
        <v>105</v>
      </c>
      <c r="E676" s="62">
        <v>5</v>
      </c>
      <c r="F676" s="89" t="s">
        <v>203</v>
      </c>
      <c r="G676" s="89">
        <v>1</v>
      </c>
      <c r="H676" s="62">
        <v>280</v>
      </c>
      <c r="I676" s="62">
        <v>0</v>
      </c>
      <c r="J676" s="62">
        <v>8</v>
      </c>
      <c r="K676" s="62">
        <v>0</v>
      </c>
      <c r="L676" s="62">
        <v>8</v>
      </c>
      <c r="M676" s="62">
        <v>0</v>
      </c>
      <c r="N676" s="62">
        <v>15</v>
      </c>
      <c r="P676" s="120">
        <f t="shared" si="72"/>
        <v>0</v>
      </c>
      <c r="Q676" s="120">
        <f t="shared" si="71"/>
        <v>2893.3333333333335</v>
      </c>
      <c r="R676" s="106">
        <f t="shared" ref="R676:R739" si="73">P676/(P676+Q676)</f>
        <v>0</v>
      </c>
      <c r="S676" s="182"/>
      <c r="T676" s="65"/>
      <c r="U676" s="65"/>
      <c r="V676" s="65"/>
      <c r="Y676" s="89"/>
      <c r="Z676" s="357"/>
      <c r="AA676" s="120"/>
      <c r="AB676" s="120"/>
    </row>
    <row r="677" spans="1:29" s="62" customFormat="1">
      <c r="A677" s="134">
        <v>42922</v>
      </c>
      <c r="B677" s="60"/>
      <c r="C677" s="60"/>
      <c r="D677" s="62" t="s">
        <v>38</v>
      </c>
      <c r="E677" s="62">
        <v>6</v>
      </c>
      <c r="F677" s="89">
        <v>224</v>
      </c>
      <c r="G677" s="89">
        <v>3</v>
      </c>
      <c r="H677" s="62">
        <v>225</v>
      </c>
      <c r="I677" s="62">
        <v>7</v>
      </c>
      <c r="J677" s="62">
        <v>0</v>
      </c>
      <c r="K677" s="62">
        <v>7</v>
      </c>
      <c r="L677" s="62">
        <v>0</v>
      </c>
      <c r="M677" s="62">
        <v>12</v>
      </c>
      <c r="N677" s="62">
        <v>1</v>
      </c>
      <c r="P677" s="120">
        <f t="shared" si="72"/>
        <v>650</v>
      </c>
      <c r="Q677" s="120">
        <f t="shared" si="71"/>
        <v>25</v>
      </c>
      <c r="R677" s="106">
        <f t="shared" si="73"/>
        <v>0.96296296296296291</v>
      </c>
      <c r="S677" s="183" t="str">
        <f>D677</f>
        <v>K-6 Ambient</v>
      </c>
      <c r="T677" s="65"/>
      <c r="U677" s="65"/>
      <c r="V677" s="65"/>
      <c r="Y677" s="89" t="str">
        <f>D677</f>
        <v>K-6 Ambient</v>
      </c>
      <c r="Z677" s="351">
        <f>SUMIFS($P$573:$P$636, $D$573:$D$636, Y677, $F$573:$F$636, "&lt;200") + SUMIFS($Q$573:$Q$636, $D$573:$D$636, Y677, $F$573:$F$636, "&lt;200")</f>
        <v>35366.666666666672</v>
      </c>
      <c r="AA677" s="120">
        <f>SUM(P677:Q680)</f>
        <v>30968.333333333332</v>
      </c>
      <c r="AB677" s="120">
        <f>SUMIFS(Collection!O:O, Collection!B:B, "*" &amp; 'Bucket Counts'!Y677 &amp; "*", Collection!A:A, "&lt;" &amp; 'Bucket Counts'!A677,Collection!A:A,  "&gt;=" &amp; 'Bucket Counts'!$A$573)</f>
        <v>0</v>
      </c>
      <c r="AC677" s="106">
        <f>AA677/(Z677+AB677)</f>
        <v>0.87563619227144185</v>
      </c>
    </row>
    <row r="678" spans="1:29" s="62" customFormat="1">
      <c r="A678" s="134">
        <v>42922</v>
      </c>
      <c r="B678" s="60"/>
      <c r="C678" s="60"/>
      <c r="D678" s="62" t="s">
        <v>38</v>
      </c>
      <c r="E678" s="62">
        <v>6</v>
      </c>
      <c r="F678" s="89">
        <v>180</v>
      </c>
      <c r="G678" s="89">
        <v>2</v>
      </c>
      <c r="H678" s="62">
        <v>470</v>
      </c>
      <c r="I678" s="62">
        <v>28</v>
      </c>
      <c r="J678" s="62">
        <v>2</v>
      </c>
      <c r="K678" s="62">
        <v>35</v>
      </c>
      <c r="L678" s="62">
        <v>2</v>
      </c>
      <c r="M678" s="62">
        <v>38</v>
      </c>
      <c r="N678" s="62">
        <v>0</v>
      </c>
      <c r="P678" s="120">
        <f>(AVERAGE(I678,K678,M678)/G678)*H678</f>
        <v>7911.6666666666661</v>
      </c>
      <c r="Q678" s="120">
        <f t="shared" si="71"/>
        <v>313.33333333333331</v>
      </c>
      <c r="R678" s="106">
        <f t="shared" si="73"/>
        <v>0.96190476190476182</v>
      </c>
      <c r="S678" s="181">
        <f>(SUM(P677:P680)/(SUM(P677:Q680)))</f>
        <v>0.55798934395350086</v>
      </c>
      <c r="T678" s="65"/>
      <c r="U678" s="65"/>
      <c r="V678" s="65"/>
      <c r="Y678" s="89"/>
      <c r="Z678" s="357"/>
      <c r="AA678" s="120"/>
      <c r="AB678" s="120"/>
    </row>
    <row r="679" spans="1:29" s="62" customFormat="1">
      <c r="A679" s="134">
        <v>42922</v>
      </c>
      <c r="B679" s="60"/>
      <c r="C679" s="60"/>
      <c r="D679" s="62" t="s">
        <v>38</v>
      </c>
      <c r="E679" s="62">
        <v>6</v>
      </c>
      <c r="F679" s="89">
        <v>100</v>
      </c>
      <c r="G679" s="89">
        <v>2</v>
      </c>
      <c r="H679" s="62">
        <v>290</v>
      </c>
      <c r="I679" s="62">
        <v>29</v>
      </c>
      <c r="J679" s="62">
        <v>2</v>
      </c>
      <c r="K679" s="62">
        <v>34</v>
      </c>
      <c r="L679" s="62">
        <v>4</v>
      </c>
      <c r="M679" s="62">
        <v>28</v>
      </c>
      <c r="N679" s="62">
        <v>3</v>
      </c>
      <c r="P679" s="120">
        <f t="shared" ref="P679:P700" si="74">(AVERAGE(I679,K679,M679)/G679)*H679</f>
        <v>4398.333333333333</v>
      </c>
      <c r="Q679" s="120">
        <f t="shared" si="71"/>
        <v>435</v>
      </c>
      <c r="R679" s="106">
        <f t="shared" si="73"/>
        <v>0.91</v>
      </c>
      <c r="S679" s="182"/>
      <c r="T679" s="65"/>
      <c r="U679" s="65"/>
      <c r="V679" s="65"/>
      <c r="Y679" s="89"/>
      <c r="Z679" s="357"/>
      <c r="AA679" s="120"/>
      <c r="AB679" s="120"/>
    </row>
    <row r="680" spans="1:29" s="62" customFormat="1">
      <c r="A680" s="134">
        <v>42922</v>
      </c>
      <c r="B680" s="60"/>
      <c r="C680" s="60"/>
      <c r="D680" s="62" t="s">
        <v>38</v>
      </c>
      <c r="E680" s="62">
        <v>6</v>
      </c>
      <c r="F680" s="89" t="s">
        <v>203</v>
      </c>
      <c r="G680" s="89">
        <v>2</v>
      </c>
      <c r="H680" s="62">
        <v>270</v>
      </c>
      <c r="I680" s="62">
        <v>0</v>
      </c>
      <c r="J680" s="62">
        <v>102</v>
      </c>
      <c r="K680" s="62">
        <v>0</v>
      </c>
      <c r="L680" s="62">
        <v>96</v>
      </c>
      <c r="M680" s="62">
        <v>0</v>
      </c>
      <c r="N680" s="62">
        <v>89</v>
      </c>
      <c r="P680" s="120">
        <f>(AVERAGE(I680,K680,L680)/G680)*H680</f>
        <v>4320</v>
      </c>
      <c r="Q680" s="120">
        <f t="shared" si="71"/>
        <v>12915</v>
      </c>
      <c r="R680" s="106">
        <f t="shared" si="73"/>
        <v>0.25065274151436029</v>
      </c>
      <c r="S680" s="182"/>
      <c r="T680" s="65"/>
      <c r="U680" s="65"/>
      <c r="V680" s="65"/>
      <c r="Y680" s="89"/>
      <c r="Z680" s="357"/>
      <c r="AA680" s="120"/>
      <c r="AB680" s="120"/>
    </row>
    <row r="681" spans="1:29" s="62" customFormat="1">
      <c r="A681" s="134">
        <v>42922</v>
      </c>
      <c r="B681" s="60"/>
      <c r="C681" s="60"/>
      <c r="D681" s="62" t="s">
        <v>83</v>
      </c>
      <c r="E681" s="62">
        <v>6</v>
      </c>
      <c r="F681" s="89">
        <v>224</v>
      </c>
      <c r="G681" s="89"/>
      <c r="P681" s="120">
        <v>13</v>
      </c>
      <c r="Q681" s="120">
        <v>1</v>
      </c>
      <c r="R681" s="106">
        <f t="shared" si="73"/>
        <v>0.9285714285714286</v>
      </c>
      <c r="S681" s="183" t="str">
        <f>D681</f>
        <v>NF-10 Low</v>
      </c>
      <c r="T681" s="65"/>
      <c r="U681" s="65"/>
      <c r="V681" s="65"/>
      <c r="W681" s="62" t="s">
        <v>311</v>
      </c>
      <c r="Y681" s="89" t="str">
        <f>D681</f>
        <v>NF-10 Low</v>
      </c>
      <c r="Z681" s="351">
        <f>SUMIFS($P$573:$P$636, $D$573:$D$636, Y681, $F$573:$F$636, "&lt;200") + SUMIFS($Q$573:$Q$636, $D$573:$D$636, Y681, $F$573:$F$636, "&lt;200")</f>
        <v>95.555555555555543</v>
      </c>
      <c r="AA681" s="120">
        <f>SUM(P681:Q684)</f>
        <v>48436.222222222226</v>
      </c>
      <c r="AB681" s="120">
        <f>SUMIFS(Collection!O:O, Collection!B:B, "*" &amp; 'Bucket Counts'!Y681 &amp; "*", Collection!A:A, "&lt;" &amp; 'Bucket Counts'!A681,Collection!A:A,  "&gt;=" &amp; 'Bucket Counts'!$A$573)</f>
        <v>41958.333333333328</v>
      </c>
      <c r="AC681" s="106">
        <f>AA681/(Z681+AB681)</f>
        <v>1.1517655917671772</v>
      </c>
    </row>
    <row r="682" spans="1:29" s="62" customFormat="1">
      <c r="A682" s="134">
        <v>42922</v>
      </c>
      <c r="B682" s="60"/>
      <c r="C682" s="60"/>
      <c r="D682" s="62" t="s">
        <v>83</v>
      </c>
      <c r="E682" s="62">
        <v>6</v>
      </c>
      <c r="F682" s="89">
        <v>180</v>
      </c>
      <c r="G682" s="89">
        <v>3</v>
      </c>
      <c r="H682" s="62">
        <v>250</v>
      </c>
      <c r="I682" s="62">
        <v>2</v>
      </c>
      <c r="J682" s="62">
        <v>0</v>
      </c>
      <c r="K682" s="62">
        <v>2</v>
      </c>
      <c r="L682" s="62">
        <v>1</v>
      </c>
      <c r="M682" s="62">
        <v>0</v>
      </c>
      <c r="N682" s="62">
        <v>0</v>
      </c>
      <c r="P682" s="120">
        <f t="shared" si="74"/>
        <v>111.1111111111111</v>
      </c>
      <c r="Q682" s="120">
        <f t="shared" si="71"/>
        <v>27.777777777777775</v>
      </c>
      <c r="R682" s="106">
        <f t="shared" si="73"/>
        <v>0.79999999999999993</v>
      </c>
      <c r="S682" s="181">
        <f>(SUM(P681:P684)/(SUM(P681:Q684)))</f>
        <v>0.54760899785743444</v>
      </c>
      <c r="T682" s="65"/>
      <c r="U682" s="65"/>
      <c r="V682" s="65"/>
      <c r="Y682" s="89"/>
      <c r="Z682" s="357"/>
      <c r="AA682" s="120"/>
      <c r="AB682" s="120"/>
    </row>
    <row r="683" spans="1:29" s="62" customFormat="1">
      <c r="A683" s="134">
        <v>42922</v>
      </c>
      <c r="B683" s="60"/>
      <c r="C683" s="60"/>
      <c r="D683" s="62" t="s">
        <v>83</v>
      </c>
      <c r="E683" s="62">
        <v>6</v>
      </c>
      <c r="F683" s="89">
        <v>100</v>
      </c>
      <c r="G683" s="89">
        <v>0.5</v>
      </c>
      <c r="H683" s="62">
        <v>275</v>
      </c>
      <c r="I683" s="62">
        <v>56</v>
      </c>
      <c r="J683" s="62">
        <v>6</v>
      </c>
      <c r="K683" s="62">
        <v>44</v>
      </c>
      <c r="L683" s="62">
        <v>5</v>
      </c>
      <c r="M683" s="62">
        <v>44</v>
      </c>
      <c r="N683" s="62">
        <v>22</v>
      </c>
      <c r="P683" s="120">
        <f t="shared" si="74"/>
        <v>26400</v>
      </c>
      <c r="Q683" s="120">
        <f t="shared" si="71"/>
        <v>6050</v>
      </c>
      <c r="R683" s="106">
        <f t="shared" si="73"/>
        <v>0.81355932203389836</v>
      </c>
      <c r="S683" s="182"/>
      <c r="T683" s="65"/>
      <c r="U683" s="65"/>
      <c r="V683" s="65"/>
      <c r="Y683" s="89"/>
      <c r="Z683" s="357"/>
      <c r="AA683" s="120"/>
      <c r="AB683" s="120"/>
    </row>
    <row r="684" spans="1:29" s="62" customFormat="1">
      <c r="A684" s="134">
        <v>42922</v>
      </c>
      <c r="B684" s="60"/>
      <c r="C684" s="60"/>
      <c r="D684" s="62" t="s">
        <v>83</v>
      </c>
      <c r="E684" s="62">
        <v>6</v>
      </c>
      <c r="F684" s="89" t="s">
        <v>203</v>
      </c>
      <c r="G684" s="89">
        <v>1</v>
      </c>
      <c r="H684" s="62">
        <v>250</v>
      </c>
      <c r="I684" s="62">
        <v>0</v>
      </c>
      <c r="J684" s="62">
        <v>63</v>
      </c>
      <c r="K684" s="62">
        <v>0</v>
      </c>
      <c r="L684" s="62">
        <v>63</v>
      </c>
      <c r="M684" s="62">
        <v>0</v>
      </c>
      <c r="N684" s="62">
        <v>64</v>
      </c>
      <c r="P684" s="120">
        <f t="shared" si="74"/>
        <v>0</v>
      </c>
      <c r="Q684" s="120">
        <f t="shared" si="71"/>
        <v>15833.333333333334</v>
      </c>
      <c r="R684" s="106">
        <f t="shared" si="73"/>
        <v>0</v>
      </c>
      <c r="S684" s="182"/>
      <c r="T684" s="65"/>
      <c r="U684" s="65"/>
      <c r="V684" s="65"/>
      <c r="Y684" s="89"/>
      <c r="Z684" s="357"/>
      <c r="AA684" s="120"/>
      <c r="AB684" s="120"/>
    </row>
    <row r="685" spans="1:29" s="62" customFormat="1">
      <c r="A685" s="134">
        <v>42922</v>
      </c>
      <c r="B685" s="60"/>
      <c r="C685" s="60"/>
      <c r="D685" s="62" t="s">
        <v>85</v>
      </c>
      <c r="E685" s="62">
        <v>7</v>
      </c>
      <c r="F685" s="89">
        <v>224</v>
      </c>
      <c r="G685" s="89"/>
      <c r="P685" s="120">
        <v>25</v>
      </c>
      <c r="Q685" s="120">
        <v>30</v>
      </c>
      <c r="R685" s="106">
        <f t="shared" si="73"/>
        <v>0.45454545454545453</v>
      </c>
      <c r="S685" s="183" t="str">
        <f>D685</f>
        <v>NF-6 Ambient</v>
      </c>
      <c r="T685" s="65"/>
      <c r="U685" s="65"/>
      <c r="V685" s="65"/>
      <c r="W685" s="62" t="s">
        <v>311</v>
      </c>
      <c r="Y685" s="89" t="str">
        <f>D685</f>
        <v>NF-6 Ambient</v>
      </c>
      <c r="Z685" s="351">
        <f>SUMIFS($P$573:$P$636, $D$573:$D$636, Y685, $F$573:$F$636, "&lt;200") + SUMIFS($Q$573:$Q$636, $D$573:$D$636, Y685, $F$573:$F$636, "&lt;200")</f>
        <v>893.33333333333348</v>
      </c>
      <c r="AA685" s="120">
        <f>SUM(P685:Q688)</f>
        <v>561.66666666666663</v>
      </c>
      <c r="AB685" s="120">
        <f>SUMIFS(Collection!O:O, Collection!B:B, "*" &amp; 'Bucket Counts'!Y685 &amp; "*", Collection!A:A, "&lt;" &amp; 'Bucket Counts'!A685,Collection!A:A,  "&gt;=" &amp; 'Bucket Counts'!$A$573)</f>
        <v>0</v>
      </c>
      <c r="AC685" s="106">
        <f>AA685/(Z685+AB685)</f>
        <v>0.62873134328358193</v>
      </c>
    </row>
    <row r="686" spans="1:29" s="62" customFormat="1">
      <c r="A686" s="134">
        <v>42922</v>
      </c>
      <c r="B686" s="60"/>
      <c r="C686" s="60"/>
      <c r="D686" s="62" t="s">
        <v>85</v>
      </c>
      <c r="E686" s="62">
        <v>7</v>
      </c>
      <c r="F686" s="89">
        <v>180</v>
      </c>
      <c r="G686" s="89">
        <v>3</v>
      </c>
      <c r="H686" s="62">
        <v>225</v>
      </c>
      <c r="I686" s="62">
        <v>2</v>
      </c>
      <c r="J686" s="62">
        <v>1</v>
      </c>
      <c r="K686" s="62">
        <v>4</v>
      </c>
      <c r="L686" s="62">
        <v>0</v>
      </c>
      <c r="M686" s="62">
        <v>1</v>
      </c>
      <c r="N686" s="62">
        <v>0</v>
      </c>
      <c r="P686" s="120">
        <f t="shared" si="74"/>
        <v>175</v>
      </c>
      <c r="Q686" s="120">
        <f t="shared" si="71"/>
        <v>25</v>
      </c>
      <c r="R686" s="106">
        <f t="shared" si="73"/>
        <v>0.875</v>
      </c>
      <c r="S686" s="181">
        <f>(SUM(P685:P688)/(SUM(P685:Q688)))</f>
        <v>0.35608308605341249</v>
      </c>
      <c r="T686" s="65"/>
      <c r="U686" s="65"/>
      <c r="V686" s="65"/>
      <c r="Y686" s="89"/>
      <c r="Z686" s="357"/>
      <c r="AA686" s="120"/>
      <c r="AB686" s="120"/>
    </row>
    <row r="687" spans="1:29" s="62" customFormat="1">
      <c r="A687" s="134">
        <v>42922</v>
      </c>
      <c r="B687" s="60"/>
      <c r="C687" s="60"/>
      <c r="D687" s="62" t="s">
        <v>85</v>
      </c>
      <c r="E687" s="62">
        <v>7</v>
      </c>
      <c r="F687" s="89">
        <v>100</v>
      </c>
      <c r="G687" s="89">
        <v>3</v>
      </c>
      <c r="H687" s="62">
        <v>225</v>
      </c>
      <c r="I687" s="62">
        <v>0</v>
      </c>
      <c r="J687" s="62">
        <v>0</v>
      </c>
      <c r="K687" s="62">
        <v>0</v>
      </c>
      <c r="L687" s="62">
        <v>0</v>
      </c>
      <c r="M687" s="62">
        <v>0</v>
      </c>
      <c r="N687" s="62">
        <v>0</v>
      </c>
      <c r="P687" s="120">
        <f t="shared" si="74"/>
        <v>0</v>
      </c>
      <c r="Q687" s="120">
        <f t="shared" si="71"/>
        <v>0</v>
      </c>
      <c r="R687" s="106" t="e">
        <f t="shared" si="73"/>
        <v>#DIV/0!</v>
      </c>
      <c r="S687" s="182"/>
      <c r="T687" s="65"/>
      <c r="U687" s="65"/>
      <c r="V687" s="65"/>
      <c r="Y687" s="89"/>
      <c r="Z687" s="357"/>
      <c r="AA687" s="120"/>
      <c r="AB687" s="120"/>
    </row>
    <row r="688" spans="1:29" s="62" customFormat="1">
      <c r="A688" s="134">
        <v>42922</v>
      </c>
      <c r="B688" s="60"/>
      <c r="C688" s="60"/>
      <c r="D688" s="62" t="s">
        <v>85</v>
      </c>
      <c r="E688" s="62">
        <v>7</v>
      </c>
      <c r="F688" s="89" t="s">
        <v>203</v>
      </c>
      <c r="G688" s="89">
        <v>3</v>
      </c>
      <c r="H688" s="62">
        <v>230</v>
      </c>
      <c r="I688" s="62">
        <v>0</v>
      </c>
      <c r="J688" s="62">
        <v>1</v>
      </c>
      <c r="K688" s="62">
        <v>0</v>
      </c>
      <c r="L688" s="62">
        <v>5</v>
      </c>
      <c r="M688" s="62">
        <v>0</v>
      </c>
      <c r="N688" s="62">
        <v>6</v>
      </c>
      <c r="P688" s="120">
        <f t="shared" si="74"/>
        <v>0</v>
      </c>
      <c r="Q688" s="120">
        <f t="shared" si="71"/>
        <v>306.66666666666663</v>
      </c>
      <c r="R688" s="106">
        <f t="shared" si="73"/>
        <v>0</v>
      </c>
      <c r="S688" s="182"/>
      <c r="T688" s="65"/>
      <c r="U688" s="65"/>
      <c r="V688" s="65"/>
      <c r="Y688" s="89"/>
      <c r="Z688" s="357"/>
      <c r="AA688" s="120"/>
      <c r="AB688" s="120"/>
    </row>
    <row r="689" spans="1:29" s="62" customFormat="1">
      <c r="A689" s="134">
        <v>42922</v>
      </c>
      <c r="B689" s="60"/>
      <c r="C689" s="60"/>
      <c r="D689" s="62" t="s">
        <v>119</v>
      </c>
      <c r="E689" s="62">
        <v>7</v>
      </c>
      <c r="F689" s="89">
        <v>224</v>
      </c>
      <c r="G689" s="89">
        <v>2</v>
      </c>
      <c r="H689" s="62">
        <v>275</v>
      </c>
      <c r="I689" s="62">
        <v>3</v>
      </c>
      <c r="J689" s="62">
        <v>0</v>
      </c>
      <c r="K689" s="62">
        <v>5</v>
      </c>
      <c r="L689" s="62">
        <v>0</v>
      </c>
      <c r="M689" s="62">
        <v>4</v>
      </c>
      <c r="N689" s="62">
        <v>0</v>
      </c>
      <c r="P689" s="120">
        <f t="shared" si="74"/>
        <v>550</v>
      </c>
      <c r="Q689" s="120">
        <f t="shared" si="71"/>
        <v>0</v>
      </c>
      <c r="R689" s="106">
        <f t="shared" si="73"/>
        <v>1</v>
      </c>
      <c r="S689" s="183" t="str">
        <f>D689</f>
        <v>HL-6 Ambient</v>
      </c>
      <c r="T689" s="65"/>
      <c r="U689" s="65"/>
      <c r="V689" s="65"/>
      <c r="Y689" s="89" t="str">
        <f>D689</f>
        <v>HL-6 Ambient</v>
      </c>
      <c r="Z689" s="351">
        <f>SUMIFS($P$573:$P$636, $D$573:$D$636, Y689, $F$573:$F$636, "&lt;200") + SUMIFS($Q$573:$Q$636, $D$573:$D$636, Y689, $F$573:$F$636, "&lt;200")</f>
        <v>7033.3333333333339</v>
      </c>
      <c r="AA689" s="120">
        <f>SUM(P689:Q692)</f>
        <v>5555.5555555555557</v>
      </c>
      <c r="AB689" s="120">
        <f>SUMIFS(Collection!O:O, Collection!B:B, "*" &amp; 'Bucket Counts'!Y689 &amp; "*", Collection!A:A, "&lt;" &amp; 'Bucket Counts'!A689,Collection!A:A,  "&gt;=" &amp; 'Bucket Counts'!$A$573)</f>
        <v>0</v>
      </c>
      <c r="AC689" s="106">
        <f>AA689/(Z689+AB689)</f>
        <v>0.78988941548183245</v>
      </c>
    </row>
    <row r="690" spans="1:29" s="62" customFormat="1">
      <c r="A690" s="134">
        <v>42922</v>
      </c>
      <c r="B690" s="60"/>
      <c r="C690" s="60"/>
      <c r="D690" s="62" t="s">
        <v>119</v>
      </c>
      <c r="E690" s="62">
        <v>7</v>
      </c>
      <c r="F690" s="89">
        <v>180</v>
      </c>
      <c r="G690" s="89">
        <v>2</v>
      </c>
      <c r="H690" s="62">
        <v>300</v>
      </c>
      <c r="I690" s="62">
        <v>23</v>
      </c>
      <c r="J690" s="62">
        <v>2</v>
      </c>
      <c r="K690" s="62">
        <v>17</v>
      </c>
      <c r="L690" s="62">
        <v>0</v>
      </c>
      <c r="M690" s="62">
        <v>12</v>
      </c>
      <c r="N690" s="62">
        <v>0</v>
      </c>
      <c r="P690" s="120">
        <f t="shared" si="74"/>
        <v>2600</v>
      </c>
      <c r="Q690" s="120">
        <f t="shared" si="71"/>
        <v>100</v>
      </c>
      <c r="R690" s="106">
        <f t="shared" si="73"/>
        <v>0.96296296296296291</v>
      </c>
      <c r="S690" s="181">
        <f>(SUM(P689:P692)/(SUM(P689:Q692)))</f>
        <v>0.66049999999999998</v>
      </c>
      <c r="T690" s="65"/>
      <c r="U690" s="65"/>
      <c r="V690" s="65"/>
      <c r="Y690" s="89"/>
      <c r="Z690" s="357"/>
      <c r="AA690" s="120"/>
      <c r="AB690" s="120"/>
    </row>
    <row r="691" spans="1:29" s="62" customFormat="1">
      <c r="A691" s="134">
        <v>42922</v>
      </c>
      <c r="B691" s="60"/>
      <c r="C691" s="60"/>
      <c r="D691" s="62" t="s">
        <v>119</v>
      </c>
      <c r="E691" s="62">
        <v>7</v>
      </c>
      <c r="F691" s="89">
        <v>100</v>
      </c>
      <c r="G691" s="89">
        <v>3</v>
      </c>
      <c r="H691" s="62">
        <v>275</v>
      </c>
      <c r="I691" s="62">
        <v>7</v>
      </c>
      <c r="J691" s="62">
        <v>1</v>
      </c>
      <c r="K691" s="62">
        <v>2</v>
      </c>
      <c r="L691" s="62">
        <v>0</v>
      </c>
      <c r="M691" s="62">
        <v>8</v>
      </c>
      <c r="N691" s="62">
        <v>1</v>
      </c>
      <c r="P691" s="120">
        <f t="shared" si="74"/>
        <v>519.44444444444446</v>
      </c>
      <c r="Q691" s="120">
        <f t="shared" si="71"/>
        <v>61.111111111111107</v>
      </c>
      <c r="R691" s="106">
        <f t="shared" si="73"/>
        <v>0.89473684210526316</v>
      </c>
      <c r="S691" s="182"/>
      <c r="T691" s="65"/>
      <c r="U691" s="65"/>
      <c r="V691" s="65"/>
      <c r="Y691" s="89"/>
      <c r="Z691" s="357"/>
      <c r="AA691" s="120"/>
      <c r="AB691" s="120"/>
    </row>
    <row r="692" spans="1:29" s="62" customFormat="1">
      <c r="A692" s="134">
        <v>42922</v>
      </c>
      <c r="B692" s="60"/>
      <c r="C692" s="60"/>
      <c r="D692" s="62" t="s">
        <v>119</v>
      </c>
      <c r="E692" s="62">
        <v>7</v>
      </c>
      <c r="F692" s="89" t="s">
        <v>203</v>
      </c>
      <c r="G692" s="89">
        <v>2</v>
      </c>
      <c r="H692" s="62">
        <v>225</v>
      </c>
      <c r="I692" s="62">
        <v>0</v>
      </c>
      <c r="J692" s="62">
        <v>16</v>
      </c>
      <c r="K692" s="62">
        <v>0</v>
      </c>
      <c r="L692" s="62">
        <v>19</v>
      </c>
      <c r="M692" s="62">
        <v>0</v>
      </c>
      <c r="N692" s="62">
        <v>11</v>
      </c>
      <c r="P692" s="120">
        <f t="shared" si="74"/>
        <v>0</v>
      </c>
      <c r="Q692" s="120">
        <f t="shared" si="71"/>
        <v>1725</v>
      </c>
      <c r="R692" s="106">
        <f t="shared" si="73"/>
        <v>0</v>
      </c>
      <c r="S692" s="182"/>
      <c r="T692" s="65"/>
      <c r="U692" s="65"/>
      <c r="V692" s="65"/>
      <c r="Y692" s="89"/>
      <c r="Z692" s="357"/>
      <c r="AA692" s="120"/>
      <c r="AB692" s="120"/>
    </row>
    <row r="693" spans="1:29" s="62" customFormat="1">
      <c r="A693" s="134">
        <v>42922</v>
      </c>
      <c r="B693" s="60"/>
      <c r="C693" s="60"/>
      <c r="D693" s="62" t="s">
        <v>21</v>
      </c>
      <c r="E693" s="62">
        <v>8</v>
      </c>
      <c r="F693" s="89">
        <v>224</v>
      </c>
      <c r="G693" s="89">
        <v>2</v>
      </c>
      <c r="H693" s="62">
        <v>390</v>
      </c>
      <c r="I693" s="62">
        <v>4</v>
      </c>
      <c r="J693" s="62">
        <v>0</v>
      </c>
      <c r="K693" s="62">
        <v>8</v>
      </c>
      <c r="L693" s="62">
        <v>0</v>
      </c>
      <c r="M693" s="62">
        <v>7</v>
      </c>
      <c r="N693" s="62">
        <v>0</v>
      </c>
      <c r="P693" s="120">
        <f t="shared" si="74"/>
        <v>1235</v>
      </c>
      <c r="Q693" s="120">
        <f t="shared" si="71"/>
        <v>0</v>
      </c>
      <c r="R693" s="106">
        <f t="shared" si="73"/>
        <v>1</v>
      </c>
      <c r="S693" s="183" t="str">
        <f>D693</f>
        <v>HL-6 Low</v>
      </c>
      <c r="T693" s="65"/>
      <c r="U693" s="65"/>
      <c r="V693" s="65"/>
      <c r="Y693" s="89" t="str">
        <f>D693</f>
        <v>HL-6 Low</v>
      </c>
      <c r="Z693" s="351">
        <f>SUMIFS($P$573:$P$636, $D$573:$D$636, Y693, $F$573:$F$636, "&lt;200") + SUMIFS($Q$573:$Q$636, $D$573:$D$636, Y693, $F$573:$F$636, "&lt;200")</f>
        <v>35313.333333333328</v>
      </c>
      <c r="AA693" s="120">
        <f>SUM(P693:Q696)</f>
        <v>31521.666666666672</v>
      </c>
      <c r="AB693" s="120">
        <f>SUMIFS(Collection!O:O, Collection!B:B, "*" &amp; 'Bucket Counts'!Y693 &amp; "*", Collection!A:A, "&lt;" &amp; 'Bucket Counts'!A693,Collection!A:A,  "&gt;=" &amp; 'Bucket Counts'!$A$573)</f>
        <v>0</v>
      </c>
      <c r="AC693" s="106">
        <f>AA693/(Z693+AB693)</f>
        <v>0.89262790258636993</v>
      </c>
    </row>
    <row r="694" spans="1:29" s="62" customFormat="1">
      <c r="A694" s="134">
        <v>42922</v>
      </c>
      <c r="B694" s="60"/>
      <c r="C694" s="60"/>
      <c r="D694" s="62" t="s">
        <v>21</v>
      </c>
      <c r="E694" s="62">
        <v>8</v>
      </c>
      <c r="F694" s="89">
        <v>180</v>
      </c>
      <c r="G694" s="89">
        <v>1</v>
      </c>
      <c r="H694" s="62">
        <v>500</v>
      </c>
      <c r="I694" s="62">
        <v>29</v>
      </c>
      <c r="J694" s="62">
        <v>1</v>
      </c>
      <c r="K694" s="62">
        <v>28</v>
      </c>
      <c r="L694" s="62">
        <v>1</v>
      </c>
      <c r="M694" s="62">
        <v>30</v>
      </c>
      <c r="N694" s="62">
        <v>0</v>
      </c>
      <c r="P694" s="120">
        <f t="shared" si="74"/>
        <v>14500</v>
      </c>
      <c r="Q694" s="120">
        <f t="shared" si="71"/>
        <v>333.33333333333331</v>
      </c>
      <c r="R694" s="106">
        <f t="shared" si="73"/>
        <v>0.97752808988764039</v>
      </c>
      <c r="S694" s="181">
        <f>(SUM(P693:P696)/(SUM(P693:Q696)))</f>
        <v>0.63876698567123136</v>
      </c>
      <c r="T694" s="65"/>
      <c r="Y694" s="89"/>
      <c r="Z694" s="357"/>
      <c r="AA694" s="120"/>
      <c r="AB694" s="120"/>
    </row>
    <row r="695" spans="1:29" s="62" customFormat="1">
      <c r="A695" s="134">
        <v>42922</v>
      </c>
      <c r="B695" s="60"/>
      <c r="C695" s="60"/>
      <c r="D695" s="62" t="s">
        <v>21</v>
      </c>
      <c r="E695" s="62">
        <v>8</v>
      </c>
      <c r="F695" s="89">
        <v>100</v>
      </c>
      <c r="G695" s="89">
        <v>1</v>
      </c>
      <c r="H695" s="62">
        <v>300</v>
      </c>
      <c r="I695" s="62">
        <v>14</v>
      </c>
      <c r="J695" s="62">
        <v>2</v>
      </c>
      <c r="K695" s="62">
        <v>21</v>
      </c>
      <c r="L695" s="62">
        <v>4</v>
      </c>
      <c r="M695" s="62">
        <v>9</v>
      </c>
      <c r="N695" s="62">
        <v>7</v>
      </c>
      <c r="P695" s="120">
        <f t="shared" si="74"/>
        <v>4400</v>
      </c>
      <c r="Q695" s="120">
        <f t="shared" si="71"/>
        <v>1300</v>
      </c>
      <c r="R695" s="106">
        <f t="shared" si="73"/>
        <v>0.77192982456140347</v>
      </c>
      <c r="S695" s="182"/>
      <c r="T695" s="65"/>
      <c r="Y695" s="89"/>
      <c r="Z695" s="357"/>
      <c r="AA695" s="120"/>
      <c r="AB695" s="120"/>
    </row>
    <row r="696" spans="1:29" s="62" customFormat="1">
      <c r="A696" s="134">
        <v>42922</v>
      </c>
      <c r="B696" s="60"/>
      <c r="C696" s="60"/>
      <c r="D696" s="62" t="s">
        <v>21</v>
      </c>
      <c r="E696" s="62">
        <v>8</v>
      </c>
      <c r="F696" s="89" t="s">
        <v>203</v>
      </c>
      <c r="G696" s="89">
        <v>2</v>
      </c>
      <c r="H696" s="62">
        <v>280</v>
      </c>
      <c r="I696" s="62">
        <v>0</v>
      </c>
      <c r="J696" s="62">
        <v>71</v>
      </c>
      <c r="K696" s="62">
        <v>0</v>
      </c>
      <c r="L696" s="62">
        <v>80</v>
      </c>
      <c r="M696" s="62">
        <v>0</v>
      </c>
      <c r="N696" s="62">
        <v>58</v>
      </c>
      <c r="P696" s="120">
        <f t="shared" si="74"/>
        <v>0</v>
      </c>
      <c r="Q696" s="120">
        <f t="shared" si="71"/>
        <v>9753.3333333333339</v>
      </c>
      <c r="R696" s="106">
        <f t="shared" si="73"/>
        <v>0</v>
      </c>
      <c r="S696" s="182"/>
      <c r="T696" s="65"/>
      <c r="Y696" s="89"/>
      <c r="Z696" s="357"/>
      <c r="AA696" s="120"/>
      <c r="AB696" s="120"/>
    </row>
    <row r="697" spans="1:29" s="62" customFormat="1">
      <c r="A697" s="134">
        <v>42922</v>
      </c>
      <c r="B697" s="60"/>
      <c r="C697" s="60"/>
      <c r="D697" s="61" t="s">
        <v>74</v>
      </c>
      <c r="E697" s="62">
        <v>8</v>
      </c>
      <c r="F697" s="89">
        <v>224</v>
      </c>
      <c r="G697" s="89">
        <v>3</v>
      </c>
      <c r="H697" s="62">
        <v>275</v>
      </c>
      <c r="P697" s="120">
        <v>59</v>
      </c>
      <c r="Q697" s="120">
        <v>9</v>
      </c>
      <c r="R697" s="106">
        <f t="shared" si="73"/>
        <v>0.86764705882352944</v>
      </c>
      <c r="S697" s="183" t="str">
        <f>D697</f>
        <v>SN-10 Low</v>
      </c>
      <c r="T697" s="65"/>
      <c r="Y697" s="89" t="str">
        <f>D697</f>
        <v>SN-10 Low</v>
      </c>
      <c r="Z697" s="351">
        <f>SUMIFS($P$573:$P$636, $D$573:$D$636, Y697, $F$573:$F$636, "&lt;200") + SUMIFS($Q$573:$Q$636, $D$573:$D$636, Y697, $F$573:$F$636, "&lt;200")</f>
        <v>26299.999999999996</v>
      </c>
      <c r="AA697" s="120">
        <f>SUM(P697:Q700)</f>
        <v>5488.5555555555557</v>
      </c>
      <c r="AB697" s="120">
        <f>SUMIFS(Collection!O:O, Collection!B:B, "*" &amp; 'Bucket Counts'!Y697 &amp; "*", Collection!A:A, "&lt;" &amp; 'Bucket Counts'!A697,Collection!A:A,  "&gt;=" &amp; 'Bucket Counts'!$A$573)</f>
        <v>0</v>
      </c>
      <c r="AC697" s="106">
        <f>AA697/(Z697+AB697)</f>
        <v>0.20869032530629492</v>
      </c>
    </row>
    <row r="698" spans="1:29" s="62" customFormat="1">
      <c r="A698" s="134">
        <v>42922</v>
      </c>
      <c r="B698" s="60"/>
      <c r="C698" s="60"/>
      <c r="D698" s="61" t="s">
        <v>74</v>
      </c>
      <c r="E698" s="62">
        <v>8</v>
      </c>
      <c r="F698" s="89">
        <v>180</v>
      </c>
      <c r="G698" s="89">
        <v>3</v>
      </c>
      <c r="H698" s="62">
        <v>225</v>
      </c>
      <c r="I698" s="62">
        <v>11</v>
      </c>
      <c r="J698" s="62">
        <v>0</v>
      </c>
      <c r="K698" s="62">
        <v>12</v>
      </c>
      <c r="L698" s="62">
        <v>0</v>
      </c>
      <c r="M698" s="62">
        <v>12</v>
      </c>
      <c r="N698" s="62">
        <v>0</v>
      </c>
      <c r="P698" s="120">
        <f t="shared" si="74"/>
        <v>875</v>
      </c>
      <c r="Q698" s="120">
        <f t="shared" si="71"/>
        <v>0</v>
      </c>
      <c r="R698" s="106">
        <f t="shared" si="73"/>
        <v>1</v>
      </c>
      <c r="S698" s="181">
        <f>(SUM(P697:P700)/(SUM(P697:Q700)))</f>
        <v>0.17948458408405368</v>
      </c>
      <c r="T698" s="65"/>
      <c r="Y698" s="89"/>
      <c r="Z698" s="357"/>
      <c r="AA698" s="120"/>
      <c r="AB698" s="120"/>
    </row>
    <row r="699" spans="1:29" s="62" customFormat="1">
      <c r="A699" s="134">
        <v>42922</v>
      </c>
      <c r="B699" s="60"/>
      <c r="C699" s="60"/>
      <c r="D699" s="61" t="s">
        <v>74</v>
      </c>
      <c r="E699" s="62">
        <v>8</v>
      </c>
      <c r="F699" s="89">
        <v>100</v>
      </c>
      <c r="G699" s="89">
        <v>3</v>
      </c>
      <c r="H699" s="62">
        <v>230</v>
      </c>
      <c r="I699" s="62">
        <v>1</v>
      </c>
      <c r="J699" s="62">
        <v>2</v>
      </c>
      <c r="K699" s="62">
        <v>0</v>
      </c>
      <c r="L699" s="62">
        <v>2</v>
      </c>
      <c r="M699" s="62">
        <v>1</v>
      </c>
      <c r="N699" s="62">
        <v>4</v>
      </c>
      <c r="P699" s="120">
        <f t="shared" si="74"/>
        <v>51.111111111111107</v>
      </c>
      <c r="Q699" s="120">
        <f t="shared" si="71"/>
        <v>204.44444444444443</v>
      </c>
      <c r="R699" s="106">
        <f t="shared" si="73"/>
        <v>0.19999999999999998</v>
      </c>
      <c r="S699" s="182"/>
      <c r="T699" s="65"/>
      <c r="Y699" s="89"/>
      <c r="Z699" s="357"/>
      <c r="AA699" s="120"/>
      <c r="AB699" s="120"/>
    </row>
    <row r="700" spans="1:29" s="69" customFormat="1" ht="16" thickBot="1">
      <c r="A700" s="66">
        <v>42922</v>
      </c>
      <c r="B700" s="67"/>
      <c r="C700" s="67"/>
      <c r="D700" s="61" t="s">
        <v>74</v>
      </c>
      <c r="E700" s="69">
        <v>8</v>
      </c>
      <c r="F700" s="148" t="s">
        <v>203</v>
      </c>
      <c r="G700" s="148">
        <v>2</v>
      </c>
      <c r="H700" s="69">
        <v>260</v>
      </c>
      <c r="I700" s="69">
        <v>0</v>
      </c>
      <c r="J700" s="69">
        <v>25</v>
      </c>
      <c r="K700" s="69">
        <v>0</v>
      </c>
      <c r="L700" s="69">
        <v>35</v>
      </c>
      <c r="M700" s="69">
        <v>0</v>
      </c>
      <c r="N700" s="69">
        <v>39</v>
      </c>
      <c r="P700" s="149">
        <f t="shared" si="74"/>
        <v>0</v>
      </c>
      <c r="Q700" s="149">
        <f t="shared" si="71"/>
        <v>4290</v>
      </c>
      <c r="R700" s="165">
        <f t="shared" si="73"/>
        <v>0</v>
      </c>
      <c r="S700" s="196"/>
      <c r="Y700" s="148"/>
      <c r="Z700" s="365"/>
      <c r="AA700" s="149"/>
      <c r="AB700" s="149"/>
    </row>
    <row r="701" spans="1:29" s="263" customFormat="1">
      <c r="A701" s="72">
        <v>42926</v>
      </c>
      <c r="B701" s="262"/>
      <c r="C701" s="262"/>
      <c r="D701" s="74" t="s">
        <v>77</v>
      </c>
      <c r="E701" s="146">
        <v>1</v>
      </c>
      <c r="F701" s="264">
        <v>224</v>
      </c>
      <c r="G701" s="86" t="s">
        <v>355</v>
      </c>
      <c r="P701" s="265">
        <v>12</v>
      </c>
      <c r="Q701" s="265">
        <v>23</v>
      </c>
      <c r="R701" s="266">
        <f t="shared" si="73"/>
        <v>0.34285714285714286</v>
      </c>
      <c r="S701" s="267" t="str">
        <f>D701</f>
        <v>SN-6 Low</v>
      </c>
      <c r="T701" s="268"/>
      <c r="U701" s="268"/>
      <c r="V701" s="268"/>
      <c r="Y701" s="87" t="str">
        <f>D701</f>
        <v>SN-6 Low</v>
      </c>
      <c r="Z701" s="361">
        <f>SUMIFS($P$637:$P$700, $D$637:$D$700, Y701, $F$637:$F$700, "&lt;200") + SUMIFS($Q$637:$Q$700, $D$637:$D$700, Y701, $F$637:$F$700, "&lt;200")</f>
        <v>460</v>
      </c>
      <c r="AA701" s="124">
        <f>SUM(P701:Q704)</f>
        <v>217.66666666666666</v>
      </c>
      <c r="AB701" s="124">
        <f>SUMIFS(Collection!O:O, Collection!B:B, "*" &amp; 'Bucket Counts'!Y701 &amp; "*", Collection!A:A, "&lt;" &amp; 'Bucket Counts'!A701,Collection!A:A,  "&gt;=" &amp; 'Bucket Counts'!$A$637)</f>
        <v>0</v>
      </c>
      <c r="AC701" s="161">
        <f>AA701/(Z701+AB701)</f>
        <v>0.47318840579710142</v>
      </c>
    </row>
    <row r="702" spans="1:29" s="80" customFormat="1">
      <c r="A702" s="77">
        <v>42926</v>
      </c>
      <c r="B702" s="78"/>
      <c r="C702" s="78"/>
      <c r="D702" s="79" t="s">
        <v>77</v>
      </c>
      <c r="E702" s="146">
        <v>1</v>
      </c>
      <c r="F702" s="87">
        <v>180</v>
      </c>
      <c r="G702" s="87" t="s">
        <v>355</v>
      </c>
      <c r="M702" s="87"/>
      <c r="P702" s="303">
        <v>27</v>
      </c>
      <c r="Q702" s="124">
        <v>34</v>
      </c>
      <c r="R702" s="161">
        <f t="shared" si="73"/>
        <v>0.44262295081967212</v>
      </c>
      <c r="S702" s="185">
        <f>(SUM(P701:P704)/(SUM(P701:Q704)))</f>
        <v>0.17917304747320062</v>
      </c>
      <c r="T702" s="81"/>
      <c r="U702" s="81"/>
      <c r="V702" s="81"/>
      <c r="W702" s="302" t="s">
        <v>357</v>
      </c>
      <c r="Y702" s="87"/>
      <c r="Z702" s="361"/>
      <c r="AA702" s="124"/>
      <c r="AB702" s="124"/>
    </row>
    <row r="703" spans="1:29" s="157" customFormat="1">
      <c r="A703" s="77">
        <v>42926</v>
      </c>
      <c r="B703" s="156"/>
      <c r="C703" s="156"/>
      <c r="D703" s="79" t="s">
        <v>77</v>
      </c>
      <c r="E703" s="146">
        <v>1</v>
      </c>
      <c r="F703" s="158">
        <v>100</v>
      </c>
      <c r="G703" s="87" t="s">
        <v>355</v>
      </c>
      <c r="P703" s="159">
        <v>0</v>
      </c>
      <c r="Q703" s="159">
        <v>5</v>
      </c>
      <c r="R703" s="162">
        <f t="shared" si="73"/>
        <v>0</v>
      </c>
      <c r="S703" s="187"/>
      <c r="T703" s="269"/>
      <c r="U703" s="269"/>
      <c r="V703" s="269"/>
      <c r="W703" s="302" t="s">
        <v>359</v>
      </c>
      <c r="Y703" s="158"/>
      <c r="Z703" s="362"/>
      <c r="AA703" s="159"/>
      <c r="AB703" s="159"/>
    </row>
    <row r="704" spans="1:29" s="80" customFormat="1">
      <c r="A704" s="77">
        <v>42926</v>
      </c>
      <c r="B704" s="78"/>
      <c r="C704" s="78"/>
      <c r="D704" s="79" t="s">
        <v>77</v>
      </c>
      <c r="E704" s="146">
        <v>1</v>
      </c>
      <c r="F704" s="87" t="s">
        <v>203</v>
      </c>
      <c r="G704" s="87">
        <v>2</v>
      </c>
      <c r="H704" s="80">
        <v>350</v>
      </c>
      <c r="I704" s="157">
        <v>0</v>
      </c>
      <c r="J704" s="157">
        <v>0</v>
      </c>
      <c r="K704" s="157">
        <v>0</v>
      </c>
      <c r="L704" s="157">
        <v>1</v>
      </c>
      <c r="M704" s="157">
        <v>0</v>
      </c>
      <c r="N704" s="157">
        <v>1</v>
      </c>
      <c r="P704" s="124">
        <f>(AVERAGE(I704,K704,M704)/G704)*H704</f>
        <v>0</v>
      </c>
      <c r="Q704" s="124">
        <f>(AVERAGE(J704,L704,N704)/G704)*H704</f>
        <v>116.66666666666666</v>
      </c>
      <c r="R704" s="161">
        <f t="shared" si="73"/>
        <v>0</v>
      </c>
      <c r="S704" s="188"/>
      <c r="T704" s="81"/>
      <c r="U704" s="81"/>
      <c r="V704" s="81"/>
      <c r="Y704" s="87"/>
      <c r="Z704" s="361"/>
      <c r="AA704" s="124"/>
      <c r="AB704" s="124"/>
    </row>
    <row r="705" spans="1:29" s="80" customFormat="1">
      <c r="A705" s="77">
        <v>42926</v>
      </c>
      <c r="B705" s="78"/>
      <c r="C705" s="78"/>
      <c r="D705" s="80" t="s">
        <v>87</v>
      </c>
      <c r="E705" s="146">
        <v>1</v>
      </c>
      <c r="F705" s="87">
        <v>224</v>
      </c>
      <c r="G705" s="87" t="s">
        <v>355</v>
      </c>
      <c r="P705" s="124">
        <v>85</v>
      </c>
      <c r="Q705" s="124">
        <v>9</v>
      </c>
      <c r="R705" s="161">
        <f t="shared" si="73"/>
        <v>0.9042553191489362</v>
      </c>
      <c r="S705" s="189" t="str">
        <f>D705</f>
        <v>SN-6 Ambient</v>
      </c>
      <c r="T705" s="81"/>
      <c r="U705" s="81"/>
      <c r="V705" s="81"/>
      <c r="Y705" s="87" t="str">
        <f>D705</f>
        <v>SN-6 Ambient</v>
      </c>
      <c r="Z705" s="361">
        <f>SUMIFS($P$637:$P$700, $D$637:$D$700, Y705, $F$637:$F$700, "&lt;200") + SUMIFS($Q$637:$Q$700, $D$637:$D$700, Y705, $F$637:$F$700, "&lt;200")</f>
        <v>1565.5555555555557</v>
      </c>
      <c r="AA705" s="124">
        <f>SUM(P705:Q708)</f>
        <v>756.22222222222217</v>
      </c>
      <c r="AB705" s="124">
        <f>SUMIFS(Collection!O:O, Collection!B:B, "*" &amp; 'Bucket Counts'!Y705 &amp; "*", Collection!A:A, "&lt;" &amp; 'Bucket Counts'!A705,Collection!A:A,  "&gt;=" &amp; 'Bucket Counts'!$A$637)</f>
        <v>0</v>
      </c>
      <c r="AC705" s="161">
        <f>AA705/(Z705+AB705)</f>
        <v>0.48303761533002121</v>
      </c>
    </row>
    <row r="706" spans="1:29" s="80" customFormat="1">
      <c r="A706" s="77">
        <v>42926</v>
      </c>
      <c r="B706" s="78"/>
      <c r="C706" s="78"/>
      <c r="D706" s="80" t="s">
        <v>87</v>
      </c>
      <c r="E706" s="146">
        <v>1</v>
      </c>
      <c r="F706" s="87">
        <v>180</v>
      </c>
      <c r="G706" s="87">
        <v>3</v>
      </c>
      <c r="H706" s="80">
        <v>225</v>
      </c>
      <c r="I706" s="80">
        <v>4</v>
      </c>
      <c r="J706" s="80">
        <v>0</v>
      </c>
      <c r="K706" s="80">
        <v>1</v>
      </c>
      <c r="L706" s="80">
        <v>1</v>
      </c>
      <c r="M706" s="80">
        <v>10</v>
      </c>
      <c r="N706" s="80">
        <v>0</v>
      </c>
      <c r="P706" s="124">
        <f t="shared" ref="P706:P764" si="75">(AVERAGE(I706,K706,M706)/G706)*H706</f>
        <v>375</v>
      </c>
      <c r="Q706" s="124">
        <f t="shared" ref="Q706:Q764" si="76">(AVERAGE(J706,L706,N706)/G706)*H706</f>
        <v>25</v>
      </c>
      <c r="R706" s="161">
        <f t="shared" si="73"/>
        <v>0.9375</v>
      </c>
      <c r="S706" s="187">
        <f>(SUM(P705:P708)/(SUM(P705:Q708)))</f>
        <v>0.64942697619747281</v>
      </c>
      <c r="T706" s="81"/>
      <c r="U706" s="81"/>
      <c r="V706" s="81"/>
      <c r="Y706" s="87"/>
      <c r="Z706" s="361"/>
      <c r="AA706" s="124"/>
      <c r="AB706" s="124"/>
    </row>
    <row r="707" spans="1:29" s="80" customFormat="1">
      <c r="A707" s="77">
        <v>42926</v>
      </c>
      <c r="B707" s="78"/>
      <c r="C707" s="78"/>
      <c r="D707" s="80" t="s">
        <v>87</v>
      </c>
      <c r="E707" s="146">
        <v>1</v>
      </c>
      <c r="F707" s="87">
        <v>100</v>
      </c>
      <c r="G707" s="87">
        <v>3</v>
      </c>
      <c r="H707" s="80">
        <v>280</v>
      </c>
      <c r="I707" s="80">
        <v>0</v>
      </c>
      <c r="J707" s="80">
        <v>0</v>
      </c>
      <c r="K707" s="80">
        <v>0</v>
      </c>
      <c r="L707" s="80">
        <v>0</v>
      </c>
      <c r="M707" s="80">
        <v>1</v>
      </c>
      <c r="N707" s="80">
        <v>1</v>
      </c>
      <c r="P707" s="124">
        <f t="shared" si="75"/>
        <v>31.111111111111111</v>
      </c>
      <c r="Q707" s="124">
        <f t="shared" si="76"/>
        <v>31.111111111111111</v>
      </c>
      <c r="R707" s="161">
        <f t="shared" si="73"/>
        <v>0.5</v>
      </c>
      <c r="S707" s="188"/>
      <c r="T707" s="81"/>
      <c r="U707" s="81"/>
      <c r="V707" s="81"/>
      <c r="Y707" s="87"/>
      <c r="Z707" s="361"/>
      <c r="AA707" s="124"/>
      <c r="AB707" s="124"/>
    </row>
    <row r="708" spans="1:29" s="80" customFormat="1">
      <c r="A708" s="77">
        <v>42926</v>
      </c>
      <c r="B708" s="78"/>
      <c r="C708" s="78"/>
      <c r="D708" s="80" t="s">
        <v>87</v>
      </c>
      <c r="E708" s="146">
        <v>1</v>
      </c>
      <c r="F708" s="87" t="s">
        <v>203</v>
      </c>
      <c r="G708" s="87">
        <v>2</v>
      </c>
      <c r="H708" s="80">
        <v>240</v>
      </c>
      <c r="I708" s="80">
        <v>0</v>
      </c>
      <c r="J708" s="80">
        <v>0</v>
      </c>
      <c r="K708" s="80">
        <v>0</v>
      </c>
      <c r="L708" s="80">
        <v>1</v>
      </c>
      <c r="M708" s="80">
        <v>0</v>
      </c>
      <c r="N708" s="80">
        <v>4</v>
      </c>
      <c r="P708" s="124">
        <f t="shared" si="75"/>
        <v>0</v>
      </c>
      <c r="Q708" s="124">
        <f t="shared" si="76"/>
        <v>200</v>
      </c>
      <c r="R708" s="161">
        <f t="shared" si="73"/>
        <v>0</v>
      </c>
      <c r="S708" s="188"/>
      <c r="T708" s="81"/>
      <c r="U708" s="81"/>
      <c r="V708" s="81"/>
      <c r="Y708" s="87"/>
      <c r="Z708" s="361"/>
      <c r="AA708" s="124"/>
      <c r="AB708" s="124"/>
    </row>
    <row r="709" spans="1:29" s="80" customFormat="1">
      <c r="A709" s="77">
        <v>42926</v>
      </c>
      <c r="B709" s="78"/>
      <c r="C709" s="78"/>
      <c r="D709" s="80" t="s">
        <v>20</v>
      </c>
      <c r="E709" s="80">
        <v>2</v>
      </c>
      <c r="F709" s="87">
        <v>224</v>
      </c>
      <c r="G709" s="87">
        <v>3</v>
      </c>
      <c r="H709" s="80">
        <v>280</v>
      </c>
      <c r="I709" s="80">
        <v>0</v>
      </c>
      <c r="J709" s="80">
        <v>1</v>
      </c>
      <c r="K709" s="80">
        <v>3</v>
      </c>
      <c r="L709" s="80">
        <v>0</v>
      </c>
      <c r="M709" s="80">
        <v>0</v>
      </c>
      <c r="N709" s="80">
        <v>2</v>
      </c>
      <c r="P709" s="124">
        <f t="shared" si="75"/>
        <v>93.333333333333329</v>
      </c>
      <c r="Q709" s="124">
        <f t="shared" si="76"/>
        <v>93.333333333333329</v>
      </c>
      <c r="R709" s="161">
        <f t="shared" si="73"/>
        <v>0.5</v>
      </c>
      <c r="S709" s="189" t="str">
        <f>D709</f>
        <v>K-10 Low</v>
      </c>
      <c r="T709" s="81"/>
      <c r="U709" s="81"/>
      <c r="V709" s="81"/>
      <c r="Y709" s="87" t="str">
        <f>D709</f>
        <v>K-10 Low</v>
      </c>
      <c r="Z709" s="361">
        <f>SUMIFS($P$637:$P$700, $D$637:$D$700, Y709, $F$637:$F$700, "&lt;200") + SUMIFS($Q$637:$Q$700, $D$637:$D$700, Y709, $F$637:$F$700, "&lt;200")</f>
        <v>1541.6666666666665</v>
      </c>
      <c r="AA709" s="124">
        <f>SUM(P709:Q712)</f>
        <v>1733.333333333333</v>
      </c>
      <c r="AB709" s="124">
        <f>SUMIFS(Collection!O:O, Collection!B:B, "*" &amp; 'Bucket Counts'!Y709 &amp; "*", Collection!A:A, "&lt;" &amp; 'Bucket Counts'!A709,Collection!A:A,  "&gt;=" &amp; 'Bucket Counts'!$A$637)</f>
        <v>0</v>
      </c>
      <c r="AC709" s="161">
        <f>AA709/(Z709+AB709)</f>
        <v>1.1243243243243242</v>
      </c>
    </row>
    <row r="710" spans="1:29" s="80" customFormat="1">
      <c r="A710" s="77">
        <v>42926</v>
      </c>
      <c r="B710" s="78"/>
      <c r="C710" s="78"/>
      <c r="D710" s="80" t="s">
        <v>20</v>
      </c>
      <c r="E710" s="80">
        <v>2</v>
      </c>
      <c r="F710" s="87">
        <v>180</v>
      </c>
      <c r="G710" s="87">
        <v>3</v>
      </c>
      <c r="H710" s="229">
        <v>275</v>
      </c>
      <c r="I710" s="80">
        <v>8</v>
      </c>
      <c r="J710" s="80">
        <v>9</v>
      </c>
      <c r="K710" s="80">
        <v>3</v>
      </c>
      <c r="L710" s="80">
        <v>5</v>
      </c>
      <c r="M710" s="80">
        <v>3</v>
      </c>
      <c r="N710" s="80">
        <v>8</v>
      </c>
      <c r="P710" s="124">
        <f t="shared" si="75"/>
        <v>427.77777777777777</v>
      </c>
      <c r="Q710" s="124">
        <f t="shared" si="76"/>
        <v>672.22222222222217</v>
      </c>
      <c r="R710" s="161">
        <f t="shared" si="73"/>
        <v>0.3888888888888889</v>
      </c>
      <c r="S710" s="187">
        <f>(SUM(P709:P712)/(SUM(P709:Q712)))</f>
        <v>0.37115384615384617</v>
      </c>
      <c r="T710" s="81"/>
      <c r="U710" s="81"/>
      <c r="V710" s="81"/>
      <c r="Y710" s="87"/>
      <c r="Z710" s="361"/>
      <c r="AA710" s="124"/>
      <c r="AB710" s="124"/>
    </row>
    <row r="711" spans="1:29" s="80" customFormat="1">
      <c r="A711" s="77">
        <v>42926</v>
      </c>
      <c r="B711" s="78"/>
      <c r="C711" s="78"/>
      <c r="D711" s="80" t="s">
        <v>20</v>
      </c>
      <c r="E711" s="80">
        <v>2</v>
      </c>
      <c r="F711" s="87">
        <v>100</v>
      </c>
      <c r="G711" s="87">
        <v>3</v>
      </c>
      <c r="H711" s="229">
        <v>220</v>
      </c>
      <c r="I711" s="80">
        <v>2</v>
      </c>
      <c r="J711" s="80">
        <v>4</v>
      </c>
      <c r="K711" s="80">
        <v>0</v>
      </c>
      <c r="L711" s="80">
        <v>4</v>
      </c>
      <c r="M711" s="80">
        <v>3</v>
      </c>
      <c r="N711" s="80">
        <v>2</v>
      </c>
      <c r="P711" s="124">
        <f t="shared" si="75"/>
        <v>122.22222222222223</v>
      </c>
      <c r="Q711" s="124">
        <f t="shared" si="76"/>
        <v>244.44444444444446</v>
      </c>
      <c r="R711" s="161">
        <f t="shared" si="73"/>
        <v>0.33333333333333331</v>
      </c>
      <c r="S711" s="188"/>
      <c r="T711" s="81"/>
      <c r="U711" s="81"/>
      <c r="V711" s="81"/>
      <c r="Y711" s="87"/>
      <c r="Z711" s="361"/>
      <c r="AA711" s="124"/>
      <c r="AB711" s="124"/>
    </row>
    <row r="712" spans="1:29" s="80" customFormat="1">
      <c r="A712" s="77">
        <v>42926</v>
      </c>
      <c r="B712" s="78"/>
      <c r="C712" s="78"/>
      <c r="D712" s="80" t="s">
        <v>20</v>
      </c>
      <c r="E712" s="80">
        <v>2</v>
      </c>
      <c r="F712" s="87" t="s">
        <v>203</v>
      </c>
      <c r="G712" s="87">
        <v>2</v>
      </c>
      <c r="H712" s="229">
        <v>240</v>
      </c>
      <c r="I712" s="80">
        <v>0</v>
      </c>
      <c r="J712" s="80">
        <v>2</v>
      </c>
      <c r="K712" s="80">
        <v>0</v>
      </c>
      <c r="L712" s="80">
        <v>0</v>
      </c>
      <c r="M712" s="80">
        <v>0</v>
      </c>
      <c r="N712" s="80">
        <v>0</v>
      </c>
      <c r="P712" s="124">
        <f t="shared" si="75"/>
        <v>0</v>
      </c>
      <c r="Q712" s="124">
        <f t="shared" si="76"/>
        <v>80</v>
      </c>
      <c r="R712" s="161">
        <f t="shared" si="73"/>
        <v>0</v>
      </c>
      <c r="S712" s="188"/>
      <c r="T712" s="81"/>
      <c r="U712" s="81"/>
      <c r="V712" s="81"/>
      <c r="Y712" s="87"/>
      <c r="Z712" s="361"/>
      <c r="AA712" s="124"/>
      <c r="AB712" s="124"/>
    </row>
    <row r="713" spans="1:29" s="80" customFormat="1">
      <c r="A713" s="77">
        <v>42926</v>
      </c>
      <c r="B713" s="78"/>
      <c r="C713" s="78"/>
      <c r="D713" s="79" t="s">
        <v>84</v>
      </c>
      <c r="E713" s="80">
        <v>2</v>
      </c>
      <c r="F713" s="87">
        <v>224</v>
      </c>
      <c r="G713" s="87">
        <v>3</v>
      </c>
      <c r="H713" s="229">
        <v>250</v>
      </c>
      <c r="I713" s="80">
        <v>1</v>
      </c>
      <c r="J713" s="80">
        <v>0</v>
      </c>
      <c r="K713" s="80">
        <v>0</v>
      </c>
      <c r="L713" s="80">
        <v>1</v>
      </c>
      <c r="M713" s="80">
        <v>0</v>
      </c>
      <c r="N713" s="80">
        <v>0</v>
      </c>
      <c r="P713" s="124">
        <f t="shared" si="75"/>
        <v>27.777777777777775</v>
      </c>
      <c r="Q713" s="124">
        <f t="shared" si="76"/>
        <v>27.777777777777775</v>
      </c>
      <c r="R713" s="161">
        <f t="shared" si="73"/>
        <v>0.5</v>
      </c>
      <c r="S713" s="189" t="str">
        <f>D713</f>
        <v>NF-10 Ambient</v>
      </c>
      <c r="T713" s="81"/>
      <c r="U713" s="81"/>
      <c r="V713" s="81"/>
      <c r="Y713" s="87" t="str">
        <f>D713</f>
        <v>NF-10 Ambient</v>
      </c>
      <c r="Z713" s="361">
        <f>SUMIFS($P$637:$P$700, $D$637:$D$700, Y713, $F$637:$F$700, "&lt;200") + SUMIFS($Q$637:$Q$700, $D$637:$D$700, Y713, $F$637:$F$700, "&lt;200")</f>
        <v>500</v>
      </c>
      <c r="AA713" s="124">
        <f>SUM(P713:Q716)</f>
        <v>484.99999999999994</v>
      </c>
      <c r="AB713" s="124">
        <f>SUMIFS(Collection!O:O, Collection!B:B, "*" &amp; 'Bucket Counts'!Y713 &amp; "*", Collection!A:A, "&lt;" &amp; 'Bucket Counts'!A713,Collection!A:A,  "&gt;=" &amp; 'Bucket Counts'!$A$637)</f>
        <v>0</v>
      </c>
      <c r="AC713" s="161">
        <f>AA713/(Z713+AB713)</f>
        <v>0.96999999999999986</v>
      </c>
    </row>
    <row r="714" spans="1:29" s="80" customFormat="1">
      <c r="A714" s="77">
        <v>42926</v>
      </c>
      <c r="B714" s="78"/>
      <c r="C714" s="78"/>
      <c r="D714" s="79" t="s">
        <v>84</v>
      </c>
      <c r="E714" s="80">
        <v>2</v>
      </c>
      <c r="F714" s="87">
        <v>180</v>
      </c>
      <c r="G714" s="87">
        <v>3</v>
      </c>
      <c r="H714" s="229">
        <v>230</v>
      </c>
      <c r="I714" s="80">
        <v>3</v>
      </c>
      <c r="J714" s="80">
        <v>2</v>
      </c>
      <c r="K714" s="80">
        <v>2</v>
      </c>
      <c r="L714" s="80">
        <v>1</v>
      </c>
      <c r="M714" s="80">
        <v>0</v>
      </c>
      <c r="N714" s="80">
        <v>0</v>
      </c>
      <c r="P714" s="124">
        <f t="shared" si="75"/>
        <v>127.77777777777779</v>
      </c>
      <c r="Q714" s="124">
        <f t="shared" si="76"/>
        <v>76.666666666666657</v>
      </c>
      <c r="R714" s="161">
        <f t="shared" si="73"/>
        <v>0.625</v>
      </c>
      <c r="S714" s="187">
        <f>(SUM(P713:P716)/(SUM(P713:Q716)))</f>
        <v>0.32073310423825896</v>
      </c>
      <c r="T714" s="81"/>
      <c r="U714" s="81"/>
      <c r="V714" s="81"/>
      <c r="Y714" s="87"/>
      <c r="Z714" s="361"/>
      <c r="AA714" s="124"/>
      <c r="AB714" s="124"/>
    </row>
    <row r="715" spans="1:29" s="80" customFormat="1">
      <c r="A715" s="77">
        <v>42926</v>
      </c>
      <c r="B715" s="78"/>
      <c r="C715" s="78"/>
      <c r="D715" s="79" t="s">
        <v>84</v>
      </c>
      <c r="E715" s="80">
        <v>2</v>
      </c>
      <c r="F715" s="87">
        <v>100</v>
      </c>
      <c r="G715" s="87">
        <v>3</v>
      </c>
      <c r="H715" s="229">
        <v>240</v>
      </c>
      <c r="I715" s="80">
        <v>0</v>
      </c>
      <c r="J715" s="80">
        <v>2</v>
      </c>
      <c r="K715" s="80">
        <v>0</v>
      </c>
      <c r="L715" s="80">
        <v>1</v>
      </c>
      <c r="M715" s="80">
        <v>0</v>
      </c>
      <c r="N715" s="80">
        <v>4</v>
      </c>
      <c r="P715" s="124">
        <f t="shared" si="75"/>
        <v>0</v>
      </c>
      <c r="Q715" s="124">
        <f t="shared" si="76"/>
        <v>186.66666666666666</v>
      </c>
      <c r="R715" s="161">
        <f t="shared" si="73"/>
        <v>0</v>
      </c>
      <c r="S715" s="188"/>
      <c r="T715" s="81"/>
      <c r="U715" s="81"/>
      <c r="V715" s="81"/>
      <c r="Y715" s="87"/>
      <c r="Z715" s="361"/>
      <c r="AA715" s="124"/>
      <c r="AB715" s="124"/>
    </row>
    <row r="716" spans="1:29" s="80" customFormat="1">
      <c r="A716" s="77">
        <v>42926</v>
      </c>
      <c r="B716" s="78"/>
      <c r="C716" s="78"/>
      <c r="D716" s="79" t="s">
        <v>84</v>
      </c>
      <c r="E716" s="80">
        <v>2</v>
      </c>
      <c r="F716" s="87" t="s">
        <v>203</v>
      </c>
      <c r="G716" s="87">
        <v>2</v>
      </c>
      <c r="H716" s="229">
        <v>230</v>
      </c>
      <c r="I716" s="80">
        <v>0</v>
      </c>
      <c r="J716" s="80">
        <v>0</v>
      </c>
      <c r="K716" s="80">
        <v>0</v>
      </c>
      <c r="L716" s="80">
        <v>1</v>
      </c>
      <c r="M716" s="80">
        <v>0</v>
      </c>
      <c r="N716" s="80">
        <v>0</v>
      </c>
      <c r="P716" s="124">
        <f t="shared" si="75"/>
        <v>0</v>
      </c>
      <c r="Q716" s="124">
        <f t="shared" si="76"/>
        <v>38.333333333333329</v>
      </c>
      <c r="R716" s="161">
        <f t="shared" si="73"/>
        <v>0</v>
      </c>
      <c r="S716" s="188"/>
      <c r="T716" s="81"/>
      <c r="U716" s="81"/>
      <c r="V716" s="81"/>
      <c r="Y716" s="87"/>
      <c r="Z716" s="361"/>
      <c r="AA716" s="124"/>
      <c r="AB716" s="124"/>
    </row>
    <row r="717" spans="1:29" s="80" customFormat="1">
      <c r="A717" s="77">
        <v>42926</v>
      </c>
      <c r="B717" s="78"/>
      <c r="C717" s="78"/>
      <c r="D717" s="80" t="s">
        <v>17</v>
      </c>
      <c r="E717" s="80">
        <v>3</v>
      </c>
      <c r="F717" s="87">
        <v>224</v>
      </c>
      <c r="G717" s="87">
        <v>3</v>
      </c>
      <c r="H717" s="229">
        <v>225</v>
      </c>
      <c r="I717" s="80">
        <v>8</v>
      </c>
      <c r="J717" s="80">
        <v>1</v>
      </c>
      <c r="K717" s="80">
        <v>7</v>
      </c>
      <c r="L717" s="80">
        <v>3</v>
      </c>
      <c r="M717" s="80">
        <v>6</v>
      </c>
      <c r="N717" s="80">
        <v>1</v>
      </c>
      <c r="P717" s="124">
        <f t="shared" si="75"/>
        <v>525</v>
      </c>
      <c r="Q717" s="124">
        <f t="shared" si="76"/>
        <v>125</v>
      </c>
      <c r="R717" s="161">
        <f t="shared" si="73"/>
        <v>0.80769230769230771</v>
      </c>
      <c r="S717" s="189" t="str">
        <f>D717</f>
        <v>K-10 Ambient</v>
      </c>
      <c r="T717" s="81"/>
      <c r="U717" s="81"/>
      <c r="V717" s="81"/>
      <c r="Y717" s="87" t="str">
        <f>D717</f>
        <v>K-10 Ambient</v>
      </c>
      <c r="Z717" s="361">
        <f>SUMIFS($P$637:$P$700, $D$637:$D$700, Y717, $F$637:$F$700, "&lt;200") + SUMIFS($Q$637:$Q$700, $D$637:$D$700, Y717, $F$637:$F$700, "&lt;200")</f>
        <v>3333.3333333333335</v>
      </c>
      <c r="AA717" s="124">
        <f>SUM(P717:Q720)</f>
        <v>2600.0000000000005</v>
      </c>
      <c r="AB717" s="124">
        <f>SUMIFS(Collection!O:O, Collection!B:B, "*" &amp; 'Bucket Counts'!Y717 &amp; "*", Collection!A:A, "&lt;" &amp; 'Bucket Counts'!A717,Collection!A:A,  "&gt;=" &amp; 'Bucket Counts'!$A$637)</f>
        <v>0</v>
      </c>
      <c r="AC717" s="161">
        <f>AA717/(Z717+AB717)</f>
        <v>0.78000000000000014</v>
      </c>
    </row>
    <row r="718" spans="1:29" s="80" customFormat="1">
      <c r="A718" s="77">
        <v>42926</v>
      </c>
      <c r="B718" s="78"/>
      <c r="C718" s="78"/>
      <c r="D718" s="80" t="s">
        <v>17</v>
      </c>
      <c r="E718" s="80">
        <v>3</v>
      </c>
      <c r="F718" s="87">
        <v>180</v>
      </c>
      <c r="G718" s="87">
        <v>3</v>
      </c>
      <c r="H718" s="229">
        <v>280</v>
      </c>
      <c r="I718" s="80">
        <v>19</v>
      </c>
      <c r="J718" s="80">
        <v>5</v>
      </c>
      <c r="K718" s="80">
        <v>10</v>
      </c>
      <c r="L718" s="80">
        <v>3</v>
      </c>
      <c r="M718" s="80">
        <v>13</v>
      </c>
      <c r="N718" s="80">
        <v>5</v>
      </c>
      <c r="P718" s="124">
        <f t="shared" si="75"/>
        <v>1306.6666666666667</v>
      </c>
      <c r="Q718" s="124">
        <f t="shared" si="76"/>
        <v>404.44444444444446</v>
      </c>
      <c r="R718" s="161">
        <f t="shared" si="73"/>
        <v>0.76363636363636356</v>
      </c>
      <c r="S718" s="187">
        <f>(SUM(P717:P720)/(SUM(P717:Q720)))</f>
        <v>0.72799145299145285</v>
      </c>
      <c r="T718" s="81"/>
      <c r="U718" s="81"/>
      <c r="V718" s="81"/>
      <c r="Y718" s="87"/>
      <c r="Z718" s="361"/>
      <c r="AA718" s="124"/>
      <c r="AB718" s="124"/>
    </row>
    <row r="719" spans="1:29" s="80" customFormat="1">
      <c r="A719" s="77">
        <v>42926</v>
      </c>
      <c r="B719" s="78"/>
      <c r="C719" s="78"/>
      <c r="D719" s="80" t="s">
        <v>17</v>
      </c>
      <c r="E719" s="80">
        <v>3</v>
      </c>
      <c r="F719" s="87">
        <v>100</v>
      </c>
      <c r="G719" s="87">
        <v>3</v>
      </c>
      <c r="H719" s="229">
        <v>275</v>
      </c>
      <c r="I719" s="80">
        <v>0</v>
      </c>
      <c r="J719" s="80">
        <v>2</v>
      </c>
      <c r="K719" s="80">
        <v>1</v>
      </c>
      <c r="L719" s="80">
        <v>0</v>
      </c>
      <c r="M719" s="80">
        <v>1</v>
      </c>
      <c r="N719" s="80">
        <v>2</v>
      </c>
      <c r="P719" s="124">
        <f t="shared" si="75"/>
        <v>61.111111111111107</v>
      </c>
      <c r="Q719" s="124">
        <f t="shared" si="76"/>
        <v>122.22222222222221</v>
      </c>
      <c r="R719" s="161">
        <f t="shared" si="73"/>
        <v>0.33333333333333337</v>
      </c>
      <c r="S719" s="188"/>
      <c r="T719" s="81"/>
      <c r="U719" s="81"/>
      <c r="V719" s="81"/>
      <c r="Y719" s="87"/>
      <c r="Z719" s="361"/>
      <c r="AA719" s="124"/>
      <c r="AB719" s="124"/>
    </row>
    <row r="720" spans="1:29" s="80" customFormat="1">
      <c r="A720" s="77">
        <v>42926</v>
      </c>
      <c r="B720" s="78"/>
      <c r="C720" s="78"/>
      <c r="D720" s="80" t="s">
        <v>17</v>
      </c>
      <c r="E720" s="80">
        <v>3</v>
      </c>
      <c r="F720" s="87" t="s">
        <v>203</v>
      </c>
      <c r="G720" s="87">
        <v>3</v>
      </c>
      <c r="H720" s="229">
        <v>250</v>
      </c>
      <c r="I720" s="80">
        <v>0</v>
      </c>
      <c r="J720" s="80">
        <v>1</v>
      </c>
      <c r="K720" s="80">
        <v>0</v>
      </c>
      <c r="L720" s="80">
        <v>0</v>
      </c>
      <c r="M720" s="80">
        <v>0</v>
      </c>
      <c r="N720" s="80">
        <v>1</v>
      </c>
      <c r="P720" s="124">
        <f t="shared" si="75"/>
        <v>0</v>
      </c>
      <c r="Q720" s="124">
        <f t="shared" si="76"/>
        <v>55.55555555555555</v>
      </c>
      <c r="R720" s="161">
        <f t="shared" si="73"/>
        <v>0</v>
      </c>
      <c r="S720" s="188"/>
      <c r="T720" s="81"/>
      <c r="U720" s="81"/>
      <c r="V720" s="81"/>
      <c r="Y720" s="87"/>
      <c r="Z720" s="361"/>
      <c r="AA720" s="124"/>
      <c r="AB720" s="124"/>
    </row>
    <row r="721" spans="1:29" s="80" customFormat="1">
      <c r="A721" s="77">
        <v>42926</v>
      </c>
      <c r="B721" s="78"/>
      <c r="C721" s="78"/>
      <c r="D721" s="80" t="s">
        <v>88</v>
      </c>
      <c r="E721" s="80">
        <v>3</v>
      </c>
      <c r="F721" s="87">
        <v>224</v>
      </c>
      <c r="G721" s="87">
        <v>2</v>
      </c>
      <c r="H721" s="229">
        <v>280</v>
      </c>
      <c r="I721" s="80">
        <v>5</v>
      </c>
      <c r="J721" s="80">
        <v>0</v>
      </c>
      <c r="K721" s="80">
        <v>7</v>
      </c>
      <c r="L721" s="80">
        <v>0</v>
      </c>
      <c r="M721" s="80">
        <v>8</v>
      </c>
      <c r="N721" s="80">
        <v>0</v>
      </c>
      <c r="P721" s="124">
        <f t="shared" si="75"/>
        <v>933.33333333333337</v>
      </c>
      <c r="Q721" s="124">
        <f t="shared" si="76"/>
        <v>0</v>
      </c>
      <c r="R721" s="161">
        <f t="shared" si="73"/>
        <v>1</v>
      </c>
      <c r="S721" s="189" t="str">
        <f>D721</f>
        <v>HL-10 Ambient</v>
      </c>
      <c r="T721" s="81"/>
      <c r="U721" s="81"/>
      <c r="V721" s="81"/>
      <c r="Y721" s="87" t="str">
        <f>D721</f>
        <v>HL-10 Ambient</v>
      </c>
      <c r="Z721" s="361">
        <f>SUMIFS($P$637:$P$700, $D$637:$D$700, Y721, $F$637:$F$700, "&lt;200") + SUMIFS($Q$637:$Q$700, $D$637:$D$700, Y721, $F$637:$F$700, "&lt;200")</f>
        <v>77003.333333333328</v>
      </c>
      <c r="AA721" s="124">
        <f>SUM(P721:Q724)</f>
        <v>53013.333333333328</v>
      </c>
      <c r="AB721" s="124">
        <f>SUMIFS(Collection!O:O, Collection!B:B, "*" &amp; 'Bucket Counts'!Y721 &amp; "*", Collection!A:A, "&lt;" &amp; 'Bucket Counts'!A721,Collection!A:A,  "&gt;=" &amp; 'Bucket Counts'!$A$637)</f>
        <v>0</v>
      </c>
      <c r="AC721" s="161">
        <f>AA721/(Z721+AB721)</f>
        <v>0.68845504523613699</v>
      </c>
    </row>
    <row r="722" spans="1:29" s="80" customFormat="1">
      <c r="A722" s="77">
        <v>42926</v>
      </c>
      <c r="B722" s="78"/>
      <c r="C722" s="78"/>
      <c r="D722" s="80" t="s">
        <v>88</v>
      </c>
      <c r="E722" s="80">
        <v>3</v>
      </c>
      <c r="F722" s="87">
        <v>180</v>
      </c>
      <c r="G722" s="87">
        <v>1</v>
      </c>
      <c r="H722" s="229">
        <v>500</v>
      </c>
      <c r="I722" s="80">
        <v>18</v>
      </c>
      <c r="J722" s="80">
        <v>0</v>
      </c>
      <c r="K722" s="80">
        <v>16</v>
      </c>
      <c r="L722" s="80">
        <v>4</v>
      </c>
      <c r="M722" s="80">
        <v>29</v>
      </c>
      <c r="N722" s="80">
        <v>8</v>
      </c>
      <c r="P722" s="124">
        <f t="shared" si="75"/>
        <v>10500</v>
      </c>
      <c r="Q722" s="124">
        <f t="shared" si="76"/>
        <v>2000</v>
      </c>
      <c r="R722" s="161">
        <f t="shared" si="73"/>
        <v>0.84</v>
      </c>
      <c r="S722" s="187">
        <f>(SUM(P721:P724)/(SUM(P721:Q724)))</f>
        <v>0.9450452716297788</v>
      </c>
      <c r="T722" s="81"/>
      <c r="Y722" s="87"/>
      <c r="Z722" s="361"/>
      <c r="AA722" s="124"/>
      <c r="AB722" s="124"/>
    </row>
    <row r="723" spans="1:29" s="80" customFormat="1">
      <c r="A723" s="77">
        <v>42926</v>
      </c>
      <c r="B723" s="78"/>
      <c r="C723" s="78"/>
      <c r="D723" s="80" t="s">
        <v>88</v>
      </c>
      <c r="E723" s="80">
        <v>3</v>
      </c>
      <c r="F723" s="87">
        <v>100</v>
      </c>
      <c r="G723" s="87">
        <v>1</v>
      </c>
      <c r="H723" s="80">
        <v>500</v>
      </c>
      <c r="I723" s="80">
        <v>78</v>
      </c>
      <c r="J723" s="80">
        <v>1</v>
      </c>
      <c r="K723" s="80">
        <v>94</v>
      </c>
      <c r="L723" s="80">
        <v>0</v>
      </c>
      <c r="M723" s="80">
        <v>60</v>
      </c>
      <c r="N723" s="80">
        <v>0</v>
      </c>
      <c r="P723" s="124">
        <f t="shared" si="75"/>
        <v>38666.666666666664</v>
      </c>
      <c r="Q723" s="124">
        <f t="shared" si="76"/>
        <v>166.66666666666666</v>
      </c>
      <c r="R723" s="161">
        <f t="shared" si="73"/>
        <v>0.99570815450643779</v>
      </c>
      <c r="S723" s="188"/>
      <c r="T723" s="81"/>
      <c r="Y723" s="87"/>
      <c r="Z723" s="361"/>
      <c r="AA723" s="124"/>
      <c r="AB723" s="124"/>
    </row>
    <row r="724" spans="1:29" s="80" customFormat="1">
      <c r="A724" s="77">
        <v>42926</v>
      </c>
      <c r="B724" s="78"/>
      <c r="C724" s="78"/>
      <c r="D724" s="80" t="s">
        <v>88</v>
      </c>
      <c r="E724" s="80">
        <v>3</v>
      </c>
      <c r="F724" s="87" t="s">
        <v>203</v>
      </c>
      <c r="G724" s="87">
        <v>1</v>
      </c>
      <c r="H724" s="80">
        <v>280</v>
      </c>
      <c r="I724" s="80">
        <v>0</v>
      </c>
      <c r="J724" s="80">
        <v>7</v>
      </c>
      <c r="K724" s="80">
        <v>0</v>
      </c>
      <c r="L724" s="80">
        <v>1</v>
      </c>
      <c r="M724" s="80">
        <v>0</v>
      </c>
      <c r="N724" s="80">
        <v>0</v>
      </c>
      <c r="P724" s="124">
        <f t="shared" si="75"/>
        <v>0</v>
      </c>
      <c r="Q724" s="124">
        <f t="shared" si="76"/>
        <v>746.66666666666663</v>
      </c>
      <c r="R724" s="161">
        <f t="shared" si="73"/>
        <v>0</v>
      </c>
      <c r="S724" s="188"/>
      <c r="T724" s="81"/>
      <c r="Y724" s="87"/>
      <c r="Z724" s="361"/>
      <c r="AA724" s="124"/>
      <c r="AB724" s="124"/>
    </row>
    <row r="725" spans="1:29" s="80" customFormat="1">
      <c r="A725" s="77">
        <v>42926</v>
      </c>
      <c r="B725" s="78"/>
      <c r="C725" s="78"/>
      <c r="D725" s="79" t="s">
        <v>46</v>
      </c>
      <c r="E725" s="80">
        <v>4</v>
      </c>
      <c r="F725" s="87">
        <v>224</v>
      </c>
      <c r="G725" s="87">
        <v>2</v>
      </c>
      <c r="H725" s="80">
        <v>300</v>
      </c>
      <c r="I725" s="80">
        <v>6</v>
      </c>
      <c r="J725" s="80">
        <v>9</v>
      </c>
      <c r="K725" s="80">
        <v>5</v>
      </c>
      <c r="L725" s="80">
        <v>1</v>
      </c>
      <c r="M725" s="80">
        <v>9</v>
      </c>
      <c r="N725" s="80">
        <v>1</v>
      </c>
      <c r="P725" s="124">
        <f t="shared" si="75"/>
        <v>1000</v>
      </c>
      <c r="Q725" s="124">
        <f t="shared" si="76"/>
        <v>550</v>
      </c>
      <c r="R725" s="161">
        <f t="shared" si="73"/>
        <v>0.64516129032258063</v>
      </c>
      <c r="S725" s="186" t="str">
        <f>D725</f>
        <v>K-6 Low</v>
      </c>
      <c r="T725" s="81"/>
      <c r="Y725" s="87" t="str">
        <f>D725</f>
        <v>K-6 Low</v>
      </c>
      <c r="Z725" s="361">
        <f>SUMIFS($P$637:$P$700, $D$637:$D$700, Y725, $F$637:$F$700, "&lt;200") + SUMIFS($Q$637:$Q$700, $D$637:$D$700, Y725, $F$637:$F$700, "&lt;200")</f>
        <v>6443.333333333333</v>
      </c>
      <c r="AA725" s="124">
        <f>SUM(P725:Q728)</f>
        <v>9267.5</v>
      </c>
      <c r="AB725" s="124">
        <f>SUMIFS(Collection!O:O, Collection!B:B, "*" &amp; 'Bucket Counts'!Y725 &amp; "*", Collection!A:A, "&lt;" &amp; 'Bucket Counts'!A725,Collection!A:A,  "&gt;=" &amp; 'Bucket Counts'!$A$637)</f>
        <v>0</v>
      </c>
      <c r="AC725" s="161">
        <f>AA725/(Z725+AB725)</f>
        <v>1.4383083290222454</v>
      </c>
    </row>
    <row r="726" spans="1:29" s="80" customFormat="1">
      <c r="A726" s="77">
        <v>42926</v>
      </c>
      <c r="B726" s="78"/>
      <c r="C726" s="78"/>
      <c r="D726" s="79" t="s">
        <v>46</v>
      </c>
      <c r="E726" s="80">
        <v>4</v>
      </c>
      <c r="F726" s="87">
        <v>180</v>
      </c>
      <c r="G726" s="87">
        <v>2</v>
      </c>
      <c r="H726" s="80">
        <v>275</v>
      </c>
      <c r="I726" s="80">
        <v>11</v>
      </c>
      <c r="J726" s="80">
        <v>6</v>
      </c>
      <c r="K726" s="80">
        <v>14</v>
      </c>
      <c r="L726" s="80">
        <v>5</v>
      </c>
      <c r="M726" s="80">
        <v>18</v>
      </c>
      <c r="N726" s="80">
        <v>3</v>
      </c>
      <c r="P726" s="124">
        <f t="shared" si="75"/>
        <v>1970.8333333333335</v>
      </c>
      <c r="Q726" s="124">
        <f t="shared" si="76"/>
        <v>641.66666666666674</v>
      </c>
      <c r="R726" s="161">
        <f t="shared" si="73"/>
        <v>0.75438596491228072</v>
      </c>
      <c r="S726" s="187">
        <f>(SUM(P725:P728)/(SUM(P725:Q728)))</f>
        <v>0.35365524683032101</v>
      </c>
      <c r="T726" s="81"/>
      <c r="Y726" s="87"/>
      <c r="Z726" s="361"/>
      <c r="AA726" s="124"/>
      <c r="AB726" s="124"/>
    </row>
    <row r="727" spans="1:29" s="80" customFormat="1">
      <c r="A727" s="77">
        <v>42926</v>
      </c>
      <c r="B727" s="78"/>
      <c r="C727" s="78"/>
      <c r="D727" s="79" t="s">
        <v>46</v>
      </c>
      <c r="E727" s="80">
        <v>4</v>
      </c>
      <c r="F727" s="87">
        <v>100</v>
      </c>
      <c r="G727" s="87">
        <v>2</v>
      </c>
      <c r="H727" s="228">
        <v>230</v>
      </c>
      <c r="I727" s="80">
        <v>1</v>
      </c>
      <c r="J727" s="80">
        <v>7</v>
      </c>
      <c r="K727" s="80">
        <v>1</v>
      </c>
      <c r="L727" s="80">
        <v>8</v>
      </c>
      <c r="M727" s="80">
        <v>6</v>
      </c>
      <c r="N727" s="80">
        <v>8</v>
      </c>
      <c r="P727" s="124">
        <f t="shared" si="75"/>
        <v>306.66666666666663</v>
      </c>
      <c r="Q727" s="124">
        <f t="shared" si="76"/>
        <v>881.66666666666674</v>
      </c>
      <c r="R727" s="161">
        <f t="shared" si="73"/>
        <v>0.2580645161290322</v>
      </c>
      <c r="S727" s="185"/>
      <c r="T727" s="81"/>
      <c r="Y727" s="87"/>
      <c r="Z727" s="361"/>
      <c r="AA727" s="124"/>
      <c r="AB727" s="124"/>
    </row>
    <row r="728" spans="1:29" s="80" customFormat="1">
      <c r="A728" s="77">
        <v>42926</v>
      </c>
      <c r="B728" s="78"/>
      <c r="C728" s="78"/>
      <c r="D728" s="79" t="s">
        <v>46</v>
      </c>
      <c r="E728" s="80">
        <v>4</v>
      </c>
      <c r="F728" s="87" t="s">
        <v>203</v>
      </c>
      <c r="G728" s="87">
        <v>2</v>
      </c>
      <c r="H728" s="228">
        <v>250</v>
      </c>
      <c r="I728" s="80">
        <v>0</v>
      </c>
      <c r="J728" s="80">
        <v>23</v>
      </c>
      <c r="K728" s="80">
        <v>0</v>
      </c>
      <c r="L728" s="80">
        <v>34</v>
      </c>
      <c r="M728" s="80">
        <v>0</v>
      </c>
      <c r="N728" s="80">
        <v>37</v>
      </c>
      <c r="P728" s="124">
        <f t="shared" si="75"/>
        <v>0</v>
      </c>
      <c r="Q728" s="124">
        <f t="shared" si="76"/>
        <v>3916.6666666666665</v>
      </c>
      <c r="R728" s="161">
        <f t="shared" si="73"/>
        <v>0</v>
      </c>
      <c r="S728" s="188"/>
      <c r="T728" s="81"/>
      <c r="Y728" s="87"/>
      <c r="Z728" s="361"/>
      <c r="AA728" s="124"/>
      <c r="AB728" s="124"/>
    </row>
    <row r="729" spans="1:29" s="80" customFormat="1">
      <c r="A729" s="77">
        <v>42926</v>
      </c>
      <c r="B729" s="78"/>
      <c r="C729" s="78"/>
      <c r="D729" s="79" t="s">
        <v>109</v>
      </c>
      <c r="E729" s="80">
        <v>4</v>
      </c>
      <c r="F729" s="87">
        <v>224</v>
      </c>
      <c r="G729" s="87">
        <v>2</v>
      </c>
      <c r="H729" s="80">
        <v>510</v>
      </c>
      <c r="I729" s="80">
        <v>14</v>
      </c>
      <c r="J729" s="80">
        <v>1</v>
      </c>
      <c r="K729" s="80">
        <v>16</v>
      </c>
      <c r="L729" s="80">
        <v>1</v>
      </c>
      <c r="M729" s="80">
        <v>13</v>
      </c>
      <c r="N729" s="80">
        <v>0</v>
      </c>
      <c r="P729" s="124">
        <f t="shared" si="75"/>
        <v>3655</v>
      </c>
      <c r="Q729" s="124">
        <f t="shared" si="76"/>
        <v>170</v>
      </c>
      <c r="R729" s="161">
        <f t="shared" si="73"/>
        <v>0.9555555555555556</v>
      </c>
      <c r="S729" s="189" t="str">
        <f>D729</f>
        <v>HL-10 Low</v>
      </c>
      <c r="T729" s="81"/>
      <c r="Y729" s="87" t="str">
        <f>D729</f>
        <v>HL-10 Low</v>
      </c>
      <c r="Z729" s="361">
        <f>SUMIFS($P$637:$P$700, $D$637:$D$700, Y729, $F$637:$F$700, "&lt;200") + SUMIFS($Q$637:$Q$700, $D$637:$D$700, Y729, $F$637:$F$700, "&lt;200")</f>
        <v>26590</v>
      </c>
      <c r="AA729" s="124">
        <f>SUM(P729:Q732)</f>
        <v>26335</v>
      </c>
      <c r="AB729" s="124">
        <f>SUMIFS(Collection!O:O, Collection!B:B, "*" &amp; 'Bucket Counts'!Y729 &amp; "*", Collection!A:A, "&lt;" &amp; 'Bucket Counts'!A729,Collection!A:A,  "&gt;=" &amp; 'Bucket Counts'!$A$637)</f>
        <v>0</v>
      </c>
      <c r="AC729" s="161">
        <f>AA729/(Z729+AB729)</f>
        <v>0.99040992854456567</v>
      </c>
    </row>
    <row r="730" spans="1:29" s="80" customFormat="1">
      <c r="A730" s="77">
        <v>42926</v>
      </c>
      <c r="B730" s="78"/>
      <c r="C730" s="78"/>
      <c r="D730" s="79" t="s">
        <v>109</v>
      </c>
      <c r="E730" s="80">
        <v>4</v>
      </c>
      <c r="F730" s="87">
        <v>180</v>
      </c>
      <c r="G730" s="87">
        <v>1</v>
      </c>
      <c r="H730" s="80">
        <v>370</v>
      </c>
      <c r="I730" s="80">
        <v>29</v>
      </c>
      <c r="J730" s="80">
        <v>0</v>
      </c>
      <c r="K730" s="80">
        <v>32</v>
      </c>
      <c r="L730" s="80">
        <v>3</v>
      </c>
      <c r="M730" s="80">
        <v>34</v>
      </c>
      <c r="N730" s="80">
        <v>1</v>
      </c>
      <c r="P730" s="124">
        <f t="shared" si="75"/>
        <v>11716.666666666668</v>
      </c>
      <c r="Q730" s="124">
        <f t="shared" si="76"/>
        <v>493.33333333333331</v>
      </c>
      <c r="R730" s="161">
        <f t="shared" si="73"/>
        <v>0.95959595959595956</v>
      </c>
      <c r="S730" s="187">
        <f>(SUM(P729:P732)/(SUM(P729:Q732)))</f>
        <v>0.89722169482944125</v>
      </c>
      <c r="T730" s="81"/>
      <c r="Y730" s="87"/>
      <c r="Z730" s="361"/>
      <c r="AA730" s="124"/>
      <c r="AB730" s="124"/>
    </row>
    <row r="731" spans="1:29" s="80" customFormat="1">
      <c r="A731" s="77">
        <v>42926</v>
      </c>
      <c r="B731" s="78"/>
      <c r="C731" s="78"/>
      <c r="D731" s="79" t="s">
        <v>109</v>
      </c>
      <c r="E731" s="80">
        <v>4</v>
      </c>
      <c r="F731" s="87">
        <v>100</v>
      </c>
      <c r="G731" s="87">
        <v>2</v>
      </c>
      <c r="H731" s="228">
        <v>380</v>
      </c>
      <c r="I731" s="80">
        <v>29</v>
      </c>
      <c r="J731" s="80">
        <v>4</v>
      </c>
      <c r="K731" s="80">
        <v>64</v>
      </c>
      <c r="L731" s="80">
        <v>3</v>
      </c>
      <c r="M731" s="80">
        <v>35</v>
      </c>
      <c r="N731" s="80">
        <v>0</v>
      </c>
      <c r="P731" s="124">
        <f t="shared" si="75"/>
        <v>8106.6666666666661</v>
      </c>
      <c r="Q731" s="124">
        <f t="shared" si="76"/>
        <v>443.33333333333337</v>
      </c>
      <c r="R731" s="161">
        <f t="shared" si="73"/>
        <v>0.94814814814814807</v>
      </c>
      <c r="S731" s="188"/>
      <c r="T731" s="81"/>
      <c r="Y731" s="87"/>
      <c r="Z731" s="361"/>
      <c r="AA731" s="124"/>
      <c r="AB731" s="124"/>
    </row>
    <row r="732" spans="1:29" s="80" customFormat="1">
      <c r="A732" s="77">
        <v>42926</v>
      </c>
      <c r="B732" s="78"/>
      <c r="C732" s="78"/>
      <c r="D732" s="79" t="s">
        <v>109</v>
      </c>
      <c r="E732" s="80">
        <v>4</v>
      </c>
      <c r="F732" s="87" t="s">
        <v>203</v>
      </c>
      <c r="G732" s="87">
        <v>2</v>
      </c>
      <c r="H732" s="228">
        <v>300</v>
      </c>
      <c r="I732" s="80">
        <v>1</v>
      </c>
      <c r="J732" s="80">
        <v>9</v>
      </c>
      <c r="K732" s="80">
        <v>0</v>
      </c>
      <c r="L732" s="80">
        <v>13</v>
      </c>
      <c r="M732" s="80">
        <v>2</v>
      </c>
      <c r="N732" s="80">
        <v>10</v>
      </c>
      <c r="P732" s="124">
        <f t="shared" si="75"/>
        <v>150</v>
      </c>
      <c r="Q732" s="124">
        <f t="shared" si="76"/>
        <v>1600</v>
      </c>
      <c r="R732" s="161">
        <f t="shared" si="73"/>
        <v>8.5714285714285715E-2</v>
      </c>
      <c r="S732" s="188"/>
      <c r="T732" s="81"/>
      <c r="Y732" s="87"/>
      <c r="Z732" s="361"/>
      <c r="AA732" s="124"/>
      <c r="AB732" s="124"/>
    </row>
    <row r="733" spans="1:29" s="80" customFormat="1">
      <c r="A733" s="77">
        <v>42926</v>
      </c>
      <c r="B733" s="78"/>
      <c r="C733" s="78"/>
      <c r="D733" s="80" t="s">
        <v>105</v>
      </c>
      <c r="E733" s="80">
        <v>5</v>
      </c>
      <c r="F733" s="87">
        <v>224</v>
      </c>
      <c r="G733" s="87">
        <v>2</v>
      </c>
      <c r="H733" s="80">
        <v>275</v>
      </c>
      <c r="I733" s="80">
        <v>18</v>
      </c>
      <c r="J733" s="80">
        <v>4</v>
      </c>
      <c r="K733" s="80">
        <v>16</v>
      </c>
      <c r="L733" s="80">
        <v>5</v>
      </c>
      <c r="M733" s="80">
        <v>21</v>
      </c>
      <c r="N733" s="80">
        <v>4</v>
      </c>
      <c r="P733" s="124">
        <f t="shared" si="75"/>
        <v>2520.833333333333</v>
      </c>
      <c r="Q733" s="124">
        <f t="shared" si="76"/>
        <v>595.83333333333326</v>
      </c>
      <c r="R733" s="161">
        <f t="shared" si="73"/>
        <v>0.80882352941176472</v>
      </c>
      <c r="S733" s="189" t="str">
        <f>D733</f>
        <v>NF-6 Low</v>
      </c>
      <c r="Y733" s="87" t="str">
        <f>D733</f>
        <v>NF-6 Low</v>
      </c>
      <c r="Z733" s="361">
        <f>SUMIFS($P$637:$P$700, $D$637:$D$700, Y733, $F$637:$F$700, "&lt;200") + SUMIFS($Q$637:$Q$700, $D$637:$D$700, Y733, $F$637:$F$700, "&lt;200")</f>
        <v>18026.666666666668</v>
      </c>
      <c r="AA733" s="124">
        <f>SUM(P733:Q736)</f>
        <v>16966.666666666664</v>
      </c>
      <c r="AB733" s="124">
        <f>SUMIFS(Collection!O:O, Collection!B:B, "*" &amp; 'Bucket Counts'!Y733 &amp; "*", Collection!A:A, "&lt;" &amp; 'Bucket Counts'!A733,Collection!A:A,  "&gt;=" &amp; 'Bucket Counts'!$A$637)</f>
        <v>0</v>
      </c>
      <c r="AC733" s="161">
        <f>AA733/(Z733+AB733)</f>
        <v>0.94119822485207083</v>
      </c>
    </row>
    <row r="734" spans="1:29" s="80" customFormat="1">
      <c r="A734" s="77">
        <v>42926</v>
      </c>
      <c r="B734" s="78"/>
      <c r="C734" s="78"/>
      <c r="D734" s="80" t="s">
        <v>105</v>
      </c>
      <c r="E734" s="80">
        <v>5</v>
      </c>
      <c r="F734" s="87">
        <v>180</v>
      </c>
      <c r="G734" s="87">
        <v>1</v>
      </c>
      <c r="H734" s="80">
        <v>350</v>
      </c>
      <c r="I734" s="80">
        <v>33</v>
      </c>
      <c r="J734" s="80">
        <v>3</v>
      </c>
      <c r="K734" s="80">
        <v>27</v>
      </c>
      <c r="L734" s="80">
        <v>4</v>
      </c>
      <c r="M734" s="80">
        <v>38</v>
      </c>
      <c r="N734" s="80">
        <v>2</v>
      </c>
      <c r="P734" s="124">
        <f t="shared" si="75"/>
        <v>11433.333333333332</v>
      </c>
      <c r="Q734" s="124">
        <f t="shared" si="76"/>
        <v>1050</v>
      </c>
      <c r="R734" s="161">
        <f t="shared" si="73"/>
        <v>0.91588785046728971</v>
      </c>
      <c r="S734" s="187">
        <f>(SUM(P733:P736)/(SUM(P733:Q736)))</f>
        <v>0.83266208251473484</v>
      </c>
      <c r="Y734" s="87"/>
      <c r="Z734" s="361"/>
      <c r="AA734" s="124"/>
      <c r="AB734" s="124"/>
    </row>
    <row r="735" spans="1:29" s="80" customFormat="1">
      <c r="A735" s="77">
        <v>42926</v>
      </c>
      <c r="B735" s="78"/>
      <c r="C735" s="78"/>
      <c r="D735" s="80" t="s">
        <v>105</v>
      </c>
      <c r="E735" s="80">
        <v>5</v>
      </c>
      <c r="F735" s="87">
        <v>100</v>
      </c>
      <c r="G735" s="87">
        <v>2</v>
      </c>
      <c r="H735" s="80">
        <v>260</v>
      </c>
      <c r="I735" s="80">
        <v>0</v>
      </c>
      <c r="J735" s="80">
        <v>1</v>
      </c>
      <c r="K735" s="80">
        <v>3</v>
      </c>
      <c r="L735" s="80">
        <v>3</v>
      </c>
      <c r="M735" s="80">
        <v>1</v>
      </c>
      <c r="N735" s="80">
        <v>2</v>
      </c>
      <c r="P735" s="124">
        <f t="shared" si="75"/>
        <v>173.33333333333331</v>
      </c>
      <c r="Q735" s="124">
        <f t="shared" si="76"/>
        <v>260</v>
      </c>
      <c r="R735" s="161">
        <f t="shared" si="73"/>
        <v>0.39999999999999997</v>
      </c>
      <c r="S735" s="188"/>
      <c r="Y735" s="87"/>
      <c r="Z735" s="361"/>
      <c r="AA735" s="124"/>
      <c r="AB735" s="124"/>
    </row>
    <row r="736" spans="1:29" s="80" customFormat="1">
      <c r="A736" s="77">
        <v>42926</v>
      </c>
      <c r="B736" s="78"/>
      <c r="C736" s="78"/>
      <c r="D736" s="80" t="s">
        <v>105</v>
      </c>
      <c r="E736" s="80">
        <v>5</v>
      </c>
      <c r="F736" s="87" t="s">
        <v>203</v>
      </c>
      <c r="G736" s="87">
        <v>2</v>
      </c>
      <c r="H736" s="80">
        <v>280</v>
      </c>
      <c r="I736" s="80">
        <v>0</v>
      </c>
      <c r="J736" s="80">
        <v>12</v>
      </c>
      <c r="K736" s="80">
        <v>0</v>
      </c>
      <c r="L736" s="80">
        <v>5</v>
      </c>
      <c r="M736" s="80">
        <v>0</v>
      </c>
      <c r="N736" s="80">
        <v>3</v>
      </c>
      <c r="P736" s="124">
        <f t="shared" si="75"/>
        <v>0</v>
      </c>
      <c r="Q736" s="124">
        <f t="shared" si="76"/>
        <v>933.33333333333337</v>
      </c>
      <c r="R736" s="161">
        <f t="shared" si="73"/>
        <v>0</v>
      </c>
      <c r="S736" s="188"/>
      <c r="Y736" s="87"/>
      <c r="Z736" s="361"/>
      <c r="AA736" s="124"/>
      <c r="AB736" s="124"/>
    </row>
    <row r="737" spans="1:29" s="80" customFormat="1">
      <c r="A737" s="77">
        <v>42926</v>
      </c>
      <c r="B737" s="78"/>
      <c r="C737" s="78"/>
      <c r="D737" s="80" t="s">
        <v>86</v>
      </c>
      <c r="E737" s="80">
        <v>5</v>
      </c>
      <c r="F737" s="87">
        <v>224</v>
      </c>
      <c r="G737" s="87" t="s">
        <v>355</v>
      </c>
      <c r="P737" s="124">
        <v>11</v>
      </c>
      <c r="Q737" s="124">
        <v>2</v>
      </c>
      <c r="R737" s="161">
        <f t="shared" si="73"/>
        <v>0.84615384615384615</v>
      </c>
      <c r="S737" s="189" t="str">
        <f>D737</f>
        <v>SN-10 Ambient</v>
      </c>
      <c r="T737" s="81"/>
      <c r="U737" s="81"/>
      <c r="V737" s="81"/>
      <c r="Y737" s="87" t="str">
        <f>D737</f>
        <v>SN-10 Ambient</v>
      </c>
      <c r="Z737" s="361">
        <f>SUMIFS($P$637:$P$700, $D$637:$D$700, Y737, $F$637:$F$700, "&lt;200") + SUMIFS($Q$637:$Q$700, $D$637:$D$700, Y737, $F$637:$F$700, "&lt;200")</f>
        <v>55.55555555555555</v>
      </c>
      <c r="AA737" s="124">
        <f>SUM(P737:Q740)</f>
        <v>101423.33333333333</v>
      </c>
      <c r="AB737" s="124">
        <f>SUMIFS(Collection!O:O, Collection!B:B, "*" &amp; 'Bucket Counts'!Y737 &amp; "*", Collection!A:A, "&lt;" &amp; 'Bucket Counts'!A737,Collection!A:A,  "&gt;=" &amp; 'Bucket Counts'!$A$637)</f>
        <v>200000</v>
      </c>
      <c r="AC737" s="161">
        <f>AA737/(Z737+AB737)</f>
        <v>0.50697584004443208</v>
      </c>
    </row>
    <row r="738" spans="1:29" s="80" customFormat="1">
      <c r="A738" s="77">
        <v>42926</v>
      </c>
      <c r="B738" s="78"/>
      <c r="C738" s="78"/>
      <c r="D738" s="80" t="s">
        <v>86</v>
      </c>
      <c r="E738" s="80">
        <v>5</v>
      </c>
      <c r="F738" s="87">
        <v>180</v>
      </c>
      <c r="G738" s="87" t="s">
        <v>355</v>
      </c>
      <c r="P738" s="124">
        <v>24</v>
      </c>
      <c r="Q738" s="124">
        <v>23</v>
      </c>
      <c r="R738" s="161">
        <f t="shared" si="73"/>
        <v>0.51063829787234039</v>
      </c>
      <c r="S738" s="187">
        <f>(SUM(P737:P740)/(SUM(P737:Q740)))</f>
        <v>0.73216222434022415</v>
      </c>
      <c r="T738" s="81"/>
      <c r="U738" s="81"/>
      <c r="V738" s="81"/>
      <c r="Y738" s="87"/>
      <c r="Z738" s="361"/>
      <c r="AA738" s="124"/>
      <c r="AB738" s="124"/>
    </row>
    <row r="739" spans="1:29" s="80" customFormat="1">
      <c r="A739" s="77">
        <v>42926</v>
      </c>
      <c r="B739" s="78"/>
      <c r="C739" s="78"/>
      <c r="D739" s="80" t="s">
        <v>86</v>
      </c>
      <c r="E739" s="80">
        <v>5</v>
      </c>
      <c r="F739" s="87">
        <v>100</v>
      </c>
      <c r="G739" s="87">
        <v>0.5</v>
      </c>
      <c r="H739" s="80">
        <v>590</v>
      </c>
      <c r="I739" s="80">
        <v>56</v>
      </c>
      <c r="J739" s="80">
        <v>11</v>
      </c>
      <c r="K739" s="80">
        <v>60</v>
      </c>
      <c r="L739" s="80">
        <v>15</v>
      </c>
      <c r="M739" s="80">
        <v>70</v>
      </c>
      <c r="N739" s="80">
        <v>14</v>
      </c>
      <c r="P739" s="124">
        <f t="shared" si="75"/>
        <v>73160</v>
      </c>
      <c r="Q739" s="124">
        <f t="shared" si="76"/>
        <v>15733.333333333334</v>
      </c>
      <c r="R739" s="161">
        <f t="shared" si="73"/>
        <v>0.82300884955752218</v>
      </c>
      <c r="S739" s="188"/>
      <c r="T739" s="81"/>
      <c r="U739" s="81"/>
      <c r="V739" s="81"/>
      <c r="Y739" s="87"/>
      <c r="Z739" s="361"/>
      <c r="AA739" s="124"/>
      <c r="AB739" s="124"/>
    </row>
    <row r="740" spans="1:29" s="80" customFormat="1">
      <c r="A740" s="77">
        <v>42926</v>
      </c>
      <c r="B740" s="78"/>
      <c r="C740" s="78"/>
      <c r="D740" s="80" t="s">
        <v>86</v>
      </c>
      <c r="E740" s="80">
        <v>5</v>
      </c>
      <c r="F740" s="87" t="s">
        <v>203</v>
      </c>
      <c r="G740" s="87">
        <v>2</v>
      </c>
      <c r="H740" s="80">
        <v>290</v>
      </c>
      <c r="I740" s="80">
        <v>1</v>
      </c>
      <c r="J740" s="80">
        <v>74</v>
      </c>
      <c r="K740" s="80">
        <v>13</v>
      </c>
      <c r="L740" s="80">
        <v>78</v>
      </c>
      <c r="M740" s="80">
        <v>8</v>
      </c>
      <c r="N740" s="80">
        <v>84</v>
      </c>
      <c r="P740" s="124">
        <f t="shared" si="75"/>
        <v>1063.3333333333333</v>
      </c>
      <c r="Q740" s="124">
        <f t="shared" si="76"/>
        <v>11406.666666666668</v>
      </c>
      <c r="R740" s="161">
        <f t="shared" ref="R740:R803" si="77">P740/(P740+Q740)</f>
        <v>8.5271317829457349E-2</v>
      </c>
      <c r="S740" s="188"/>
      <c r="T740" s="81"/>
      <c r="U740" s="81"/>
      <c r="V740" s="81"/>
      <c r="Y740" s="87"/>
      <c r="Z740" s="361"/>
      <c r="AA740" s="124"/>
      <c r="AB740" s="124"/>
    </row>
    <row r="741" spans="1:29" s="80" customFormat="1">
      <c r="A741" s="77">
        <v>42926</v>
      </c>
      <c r="B741" s="78"/>
      <c r="C741" s="78"/>
      <c r="D741" s="80" t="s">
        <v>83</v>
      </c>
      <c r="E741" s="80">
        <v>6</v>
      </c>
      <c r="F741" s="87">
        <v>224</v>
      </c>
      <c r="G741" s="87" t="s">
        <v>355</v>
      </c>
      <c r="P741" s="124">
        <v>9</v>
      </c>
      <c r="Q741" s="124">
        <v>2</v>
      </c>
      <c r="R741" s="161">
        <f t="shared" si="77"/>
        <v>0.81818181818181823</v>
      </c>
      <c r="S741" s="189" t="str">
        <f>D741</f>
        <v>NF-10 Low</v>
      </c>
      <c r="T741" s="81"/>
      <c r="U741" s="81"/>
      <c r="V741" s="81"/>
      <c r="Y741" s="87" t="str">
        <f>D741</f>
        <v>NF-10 Low</v>
      </c>
      <c r="Z741" s="361">
        <f>SUMIFS($P$637:$P$700, $D$637:$D$700, Y741, $F$637:$F$700, "&lt;200") + SUMIFS($Q$637:$Q$700, $D$637:$D$700, Y741, $F$637:$F$700, "&lt;200")</f>
        <v>32588.888888888887</v>
      </c>
      <c r="AA741" s="124">
        <f>SUM(P741:Q744)</f>
        <v>18304.333333333336</v>
      </c>
      <c r="AB741" s="124">
        <f>SUMIFS(Collection!O:O, Collection!B:B, "*" &amp; 'Bucket Counts'!Y741 &amp; "*", Collection!A:A, "&lt;" &amp; 'Bucket Counts'!A741,Collection!A:A,  "&gt;=" &amp; 'Bucket Counts'!$A$637)</f>
        <v>0</v>
      </c>
      <c r="AC741" s="161">
        <f>AA741/(Z741+AB741)</f>
        <v>0.56167405386975799</v>
      </c>
    </row>
    <row r="742" spans="1:29" s="80" customFormat="1">
      <c r="A742" s="77">
        <v>42926</v>
      </c>
      <c r="B742" s="78"/>
      <c r="C742" s="78"/>
      <c r="D742" s="80" t="s">
        <v>83</v>
      </c>
      <c r="E742" s="80">
        <v>6</v>
      </c>
      <c r="F742" s="87">
        <v>180</v>
      </c>
      <c r="G742" s="87">
        <v>2</v>
      </c>
      <c r="H742" s="80">
        <v>280</v>
      </c>
      <c r="I742" s="80">
        <v>13</v>
      </c>
      <c r="J742" s="80">
        <v>0</v>
      </c>
      <c r="K742" s="80">
        <v>9</v>
      </c>
      <c r="L742" s="80">
        <v>1</v>
      </c>
      <c r="M742" s="80">
        <v>11</v>
      </c>
      <c r="N742" s="80">
        <v>1</v>
      </c>
      <c r="P742" s="124">
        <f t="shared" si="75"/>
        <v>1540</v>
      </c>
      <c r="Q742" s="124">
        <f t="shared" si="76"/>
        <v>93.333333333333329</v>
      </c>
      <c r="R742" s="161">
        <f t="shared" si="77"/>
        <v>0.94285714285714295</v>
      </c>
      <c r="S742" s="187">
        <f>(SUM(P741:P744)/(SUM(P741:Q744)))</f>
        <v>0.84437200662866707</v>
      </c>
      <c r="T742" s="81"/>
      <c r="U742" s="81"/>
      <c r="V742" s="81"/>
      <c r="Y742" s="87"/>
      <c r="Z742" s="361"/>
      <c r="AA742" s="124"/>
      <c r="AB742" s="124"/>
    </row>
    <row r="743" spans="1:29" s="80" customFormat="1">
      <c r="A743" s="77">
        <v>42926</v>
      </c>
      <c r="B743" s="78"/>
      <c r="C743" s="78"/>
      <c r="D743" s="80" t="s">
        <v>83</v>
      </c>
      <c r="E743" s="80">
        <v>6</v>
      </c>
      <c r="F743" s="87">
        <v>100</v>
      </c>
      <c r="G743" s="87">
        <v>1</v>
      </c>
      <c r="H743" s="80">
        <v>280</v>
      </c>
      <c r="I743" s="80">
        <v>42</v>
      </c>
      <c r="J743" s="80">
        <v>4</v>
      </c>
      <c r="K743" s="80">
        <v>51</v>
      </c>
      <c r="L743" s="80">
        <v>2</v>
      </c>
      <c r="M743" s="80">
        <v>56</v>
      </c>
      <c r="N743" s="80">
        <v>1</v>
      </c>
      <c r="P743" s="124">
        <f t="shared" si="75"/>
        <v>13906.666666666666</v>
      </c>
      <c r="Q743" s="124">
        <f t="shared" si="76"/>
        <v>653.33333333333337</v>
      </c>
      <c r="R743" s="161">
        <f t="shared" si="77"/>
        <v>0.95512820512820507</v>
      </c>
      <c r="S743" s="188"/>
      <c r="T743" s="81"/>
      <c r="U743" s="81"/>
      <c r="V743" s="81"/>
      <c r="Y743" s="87"/>
      <c r="Z743" s="361"/>
      <c r="AA743" s="124"/>
      <c r="AB743" s="124"/>
    </row>
    <row r="744" spans="1:29" s="80" customFormat="1">
      <c r="A744" s="77">
        <v>42926</v>
      </c>
      <c r="B744" s="78"/>
      <c r="C744" s="78"/>
      <c r="D744" s="80" t="s">
        <v>83</v>
      </c>
      <c r="E744" s="80">
        <v>6</v>
      </c>
      <c r="F744" s="87" t="s">
        <v>203</v>
      </c>
      <c r="G744" s="87">
        <v>2</v>
      </c>
      <c r="H744" s="80">
        <v>280</v>
      </c>
      <c r="I744" s="80">
        <v>0</v>
      </c>
      <c r="J744" s="80">
        <v>16</v>
      </c>
      <c r="K744" s="80">
        <v>0</v>
      </c>
      <c r="L744" s="80">
        <v>19</v>
      </c>
      <c r="M744" s="80">
        <v>0</v>
      </c>
      <c r="N744" s="80">
        <v>10</v>
      </c>
      <c r="P744" s="124">
        <f t="shared" si="75"/>
        <v>0</v>
      </c>
      <c r="Q744" s="124">
        <f t="shared" si="76"/>
        <v>2100</v>
      </c>
      <c r="R744" s="161">
        <f t="shared" si="77"/>
        <v>0</v>
      </c>
      <c r="S744" s="188"/>
      <c r="T744" s="81"/>
      <c r="U744" s="81"/>
      <c r="V744" s="81"/>
      <c r="Y744" s="87"/>
      <c r="Z744" s="361"/>
      <c r="AA744" s="124"/>
      <c r="AB744" s="124"/>
    </row>
    <row r="745" spans="1:29" s="80" customFormat="1">
      <c r="A745" s="77">
        <v>42926</v>
      </c>
      <c r="B745" s="78"/>
      <c r="C745" s="78"/>
      <c r="D745" s="80" t="s">
        <v>38</v>
      </c>
      <c r="E745" s="80">
        <v>6</v>
      </c>
      <c r="F745" s="87">
        <v>224</v>
      </c>
      <c r="G745" s="87">
        <v>3</v>
      </c>
      <c r="H745" s="80">
        <v>250</v>
      </c>
      <c r="I745" s="80">
        <v>0</v>
      </c>
      <c r="J745" s="80">
        <v>3</v>
      </c>
      <c r="K745" s="80">
        <v>4</v>
      </c>
      <c r="L745" s="80">
        <v>2</v>
      </c>
      <c r="M745" s="80">
        <v>3</v>
      </c>
      <c r="N745" s="80">
        <v>1</v>
      </c>
      <c r="P745" s="124">
        <f t="shared" si="75"/>
        <v>194.44444444444446</v>
      </c>
      <c r="Q745" s="124">
        <f t="shared" si="76"/>
        <v>166.66666666666666</v>
      </c>
      <c r="R745" s="161">
        <f t="shared" si="77"/>
        <v>0.53846153846153855</v>
      </c>
      <c r="S745" s="189" t="str">
        <f>D745</f>
        <v>K-6 Ambient</v>
      </c>
      <c r="T745" s="81"/>
      <c r="U745" s="81"/>
      <c r="V745" s="81"/>
      <c r="Y745" s="87" t="str">
        <f>D745</f>
        <v>K-6 Ambient</v>
      </c>
      <c r="Z745" s="361">
        <f>SUMIFS($P$637:$P$700, $D$637:$D$700, Y745, $F$637:$F$700, "&lt;200") + SUMIFS($Q$637:$Q$700, $D$637:$D$700, Y745, $F$637:$F$700, "&lt;200")</f>
        <v>13058.333333333334</v>
      </c>
      <c r="AA745" s="124">
        <f>SUM(P745:Q748)</f>
        <v>10923.611111111111</v>
      </c>
      <c r="AB745" s="124">
        <f>SUMIFS(Collection!O:O, Collection!B:B, "*" &amp; 'Bucket Counts'!Y745 &amp; "*", Collection!A:A, "&lt;" &amp; 'Bucket Counts'!A745,Collection!A:A,  "&gt;=" &amp; 'Bucket Counts'!$A$637)</f>
        <v>0</v>
      </c>
      <c r="AC745" s="161">
        <f>AA745/(Z745+AB745)</f>
        <v>0.8365241437991916</v>
      </c>
    </row>
    <row r="746" spans="1:29" s="80" customFormat="1">
      <c r="A746" s="77">
        <v>42926</v>
      </c>
      <c r="B746" s="78"/>
      <c r="C746" s="78"/>
      <c r="D746" s="80" t="s">
        <v>38</v>
      </c>
      <c r="E746" s="80">
        <v>6</v>
      </c>
      <c r="F746" s="87">
        <v>180</v>
      </c>
      <c r="G746" s="87">
        <v>2</v>
      </c>
      <c r="H746" s="80">
        <v>475</v>
      </c>
      <c r="I746" s="80">
        <v>38</v>
      </c>
      <c r="J746" s="80">
        <v>1</v>
      </c>
      <c r="K746" s="80">
        <v>21</v>
      </c>
      <c r="L746" s="80">
        <v>1</v>
      </c>
      <c r="M746" s="80">
        <v>23</v>
      </c>
      <c r="N746" s="80">
        <v>2</v>
      </c>
      <c r="P746" s="124">
        <f t="shared" si="75"/>
        <v>6491.6666666666661</v>
      </c>
      <c r="Q746" s="124">
        <f t="shared" si="76"/>
        <v>316.66666666666663</v>
      </c>
      <c r="R746" s="161">
        <f t="shared" si="77"/>
        <v>0.95348837209302317</v>
      </c>
      <c r="S746" s="187">
        <f>(SUM(P745:P748)/(SUM(P745:Q748)))</f>
        <v>0.72956134774316583</v>
      </c>
      <c r="T746" s="81"/>
      <c r="U746" s="81"/>
      <c r="V746" s="81"/>
      <c r="Y746" s="87"/>
      <c r="Z746" s="361"/>
      <c r="AA746" s="124"/>
      <c r="AB746" s="124"/>
    </row>
    <row r="747" spans="1:29" s="80" customFormat="1">
      <c r="A747" s="77">
        <v>42926</v>
      </c>
      <c r="B747" s="78"/>
      <c r="C747" s="78"/>
      <c r="D747" s="80" t="s">
        <v>38</v>
      </c>
      <c r="E747" s="80">
        <v>6</v>
      </c>
      <c r="F747" s="87">
        <v>100</v>
      </c>
      <c r="G747" s="87">
        <v>2</v>
      </c>
      <c r="H747" s="80">
        <v>275</v>
      </c>
      <c r="I747" s="80">
        <v>9</v>
      </c>
      <c r="J747" s="80">
        <v>2</v>
      </c>
      <c r="K747" s="80">
        <v>10</v>
      </c>
      <c r="L747" s="80">
        <v>0</v>
      </c>
      <c r="M747" s="80">
        <v>9</v>
      </c>
      <c r="N747" s="80">
        <v>1</v>
      </c>
      <c r="P747" s="124">
        <f t="shared" si="75"/>
        <v>1283.3333333333335</v>
      </c>
      <c r="Q747" s="124">
        <f t="shared" si="76"/>
        <v>137.5</v>
      </c>
      <c r="R747" s="161">
        <f t="shared" si="77"/>
        <v>0.90322580645161288</v>
      </c>
      <c r="S747" s="188"/>
      <c r="T747" s="81"/>
      <c r="U747" s="81"/>
      <c r="V747" s="81"/>
      <c r="Y747" s="87"/>
      <c r="Z747" s="361"/>
      <c r="AA747" s="124"/>
      <c r="AB747" s="124"/>
    </row>
    <row r="748" spans="1:29" s="80" customFormat="1">
      <c r="A748" s="77">
        <v>42926</v>
      </c>
      <c r="B748" s="78"/>
      <c r="C748" s="78"/>
      <c r="D748" s="80" t="s">
        <v>38</v>
      </c>
      <c r="E748" s="80">
        <v>6</v>
      </c>
      <c r="F748" s="87" t="s">
        <v>203</v>
      </c>
      <c r="G748" s="87">
        <v>2</v>
      </c>
      <c r="H748" s="80">
        <v>280</v>
      </c>
      <c r="I748" s="80">
        <v>0</v>
      </c>
      <c r="J748" s="80">
        <v>15</v>
      </c>
      <c r="K748" s="80">
        <v>0</v>
      </c>
      <c r="L748" s="80">
        <v>17</v>
      </c>
      <c r="M748" s="80">
        <v>0</v>
      </c>
      <c r="N748" s="80">
        <v>18</v>
      </c>
      <c r="P748" s="124">
        <f t="shared" si="75"/>
        <v>0</v>
      </c>
      <c r="Q748" s="124">
        <f t="shared" si="76"/>
        <v>2333.3333333333335</v>
      </c>
      <c r="R748" s="161">
        <f t="shared" si="77"/>
        <v>0</v>
      </c>
      <c r="S748" s="188"/>
      <c r="T748" s="81"/>
      <c r="U748" s="81"/>
      <c r="V748" s="81"/>
      <c r="Y748" s="87"/>
      <c r="Z748" s="361"/>
      <c r="AA748" s="124"/>
      <c r="AB748" s="124"/>
    </row>
    <row r="749" spans="1:29" s="80" customFormat="1">
      <c r="A749" s="77">
        <v>42926</v>
      </c>
      <c r="B749" s="78"/>
      <c r="C749" s="78"/>
      <c r="D749" s="80" t="s">
        <v>74</v>
      </c>
      <c r="E749" s="80">
        <v>7</v>
      </c>
      <c r="F749" s="87">
        <v>224</v>
      </c>
      <c r="G749" s="87" t="s">
        <v>355</v>
      </c>
      <c r="P749" s="124">
        <v>61</v>
      </c>
      <c r="Q749" s="124">
        <v>20</v>
      </c>
      <c r="R749" s="161">
        <f t="shared" si="77"/>
        <v>0.75308641975308643</v>
      </c>
      <c r="S749" s="189" t="str">
        <f>D749</f>
        <v>SN-10 Low</v>
      </c>
      <c r="T749" s="81"/>
      <c r="U749" s="81"/>
      <c r="V749" s="81"/>
      <c r="Y749" s="87" t="str">
        <f>D749</f>
        <v>SN-10 Low</v>
      </c>
      <c r="Z749" s="361">
        <f>SUMIFS($P$637:$P$700, $D$637:$D$700, Y749, $F$637:$F$700, "&lt;200") + SUMIFS($Q$637:$Q$700, $D$637:$D$700, Y749, $F$637:$F$700, "&lt;200")</f>
        <v>1130.5555555555554</v>
      </c>
      <c r="AA749" s="124">
        <f>SUM(P749:Q752)</f>
        <v>1034.6666666666665</v>
      </c>
      <c r="AB749" s="124">
        <f>SUMIFS(Collection!O:O, Collection!B:B, "*" &amp; 'Bucket Counts'!Y749 &amp; "*", Collection!A:A, "&lt;" &amp; 'Bucket Counts'!A749,Collection!A:A,  "&gt;=" &amp; 'Bucket Counts'!$A$637)</f>
        <v>0</v>
      </c>
      <c r="AC749" s="161">
        <f>AA749/(Z749+AB749)</f>
        <v>0.91518427518427514</v>
      </c>
    </row>
    <row r="750" spans="1:29" s="80" customFormat="1">
      <c r="A750" s="77">
        <v>42926</v>
      </c>
      <c r="B750" s="78"/>
      <c r="C750" s="78"/>
      <c r="D750" s="80" t="s">
        <v>74</v>
      </c>
      <c r="E750" s="80">
        <v>7</v>
      </c>
      <c r="F750" s="87">
        <v>180</v>
      </c>
      <c r="G750" s="87">
        <v>3</v>
      </c>
      <c r="H750" s="80">
        <v>275</v>
      </c>
      <c r="I750" s="80">
        <v>2</v>
      </c>
      <c r="J750" s="80">
        <v>2</v>
      </c>
      <c r="K750" s="80">
        <v>2</v>
      </c>
      <c r="L750" s="80">
        <v>2</v>
      </c>
      <c r="M750" s="80">
        <v>4</v>
      </c>
      <c r="N750" s="80">
        <v>1</v>
      </c>
      <c r="P750" s="124">
        <f t="shared" si="75"/>
        <v>244.44444444444443</v>
      </c>
      <c r="Q750" s="124">
        <f t="shared" si="76"/>
        <v>152.77777777777777</v>
      </c>
      <c r="R750" s="161">
        <f t="shared" si="77"/>
        <v>0.61538461538461542</v>
      </c>
      <c r="S750" s="187">
        <f>(SUM(P749:P752)/(SUM(P749:Q752)))</f>
        <v>0.31357388316151208</v>
      </c>
      <c r="T750" s="81"/>
      <c r="U750" s="81"/>
      <c r="V750" s="81"/>
      <c r="Y750" s="87"/>
      <c r="Z750" s="361"/>
      <c r="AA750" s="124"/>
      <c r="AB750" s="124"/>
    </row>
    <row r="751" spans="1:29" s="80" customFormat="1">
      <c r="A751" s="77">
        <v>42926</v>
      </c>
      <c r="B751" s="78"/>
      <c r="C751" s="78"/>
      <c r="D751" s="80" t="s">
        <v>74</v>
      </c>
      <c r="E751" s="80">
        <v>7</v>
      </c>
      <c r="F751" s="87">
        <v>100</v>
      </c>
      <c r="G751" s="87" t="s">
        <v>355</v>
      </c>
      <c r="P751" s="124">
        <v>19</v>
      </c>
      <c r="Q751" s="124">
        <v>18</v>
      </c>
      <c r="R751" s="161">
        <f t="shared" si="77"/>
        <v>0.51351351351351349</v>
      </c>
      <c r="S751" s="188"/>
      <c r="T751" s="81"/>
      <c r="U751" s="81"/>
      <c r="V751" s="81"/>
      <c r="Y751" s="87"/>
      <c r="Z751" s="361"/>
      <c r="AA751" s="124"/>
      <c r="AB751" s="124"/>
    </row>
    <row r="752" spans="1:29" s="80" customFormat="1">
      <c r="A752" s="77">
        <v>42926</v>
      </c>
      <c r="B752" s="78"/>
      <c r="C752" s="78"/>
      <c r="D752" s="80" t="s">
        <v>74</v>
      </c>
      <c r="E752" s="80">
        <v>7</v>
      </c>
      <c r="F752" s="87" t="s">
        <v>203</v>
      </c>
      <c r="G752" s="87">
        <v>3</v>
      </c>
      <c r="H752" s="80">
        <v>275</v>
      </c>
      <c r="I752" s="80">
        <v>0</v>
      </c>
      <c r="J752" s="80">
        <v>6</v>
      </c>
      <c r="K752" s="80">
        <v>0</v>
      </c>
      <c r="L752" s="80">
        <v>5</v>
      </c>
      <c r="M752" s="80">
        <v>0</v>
      </c>
      <c r="N752" s="80">
        <v>6</v>
      </c>
      <c r="P752" s="124">
        <f t="shared" si="75"/>
        <v>0</v>
      </c>
      <c r="Q752" s="124">
        <f t="shared" si="76"/>
        <v>519.44444444444446</v>
      </c>
      <c r="R752" s="161">
        <f t="shared" si="77"/>
        <v>0</v>
      </c>
      <c r="S752" s="188"/>
      <c r="T752" s="81"/>
      <c r="U752" s="81"/>
      <c r="V752" s="81"/>
      <c r="Y752" s="87"/>
      <c r="Z752" s="361"/>
      <c r="AA752" s="124"/>
      <c r="AB752" s="124"/>
    </row>
    <row r="753" spans="1:29" s="80" customFormat="1">
      <c r="A753" s="77">
        <v>42926</v>
      </c>
      <c r="B753" s="78"/>
      <c r="C753" s="78"/>
      <c r="D753" s="80" t="s">
        <v>21</v>
      </c>
      <c r="E753" s="80">
        <v>7</v>
      </c>
      <c r="F753" s="87">
        <v>224</v>
      </c>
      <c r="G753" s="87">
        <v>2</v>
      </c>
      <c r="H753" s="80">
        <v>400</v>
      </c>
      <c r="I753" s="80">
        <v>2</v>
      </c>
      <c r="J753" s="80">
        <v>0</v>
      </c>
      <c r="K753" s="80">
        <v>11</v>
      </c>
      <c r="L753" s="80">
        <v>0</v>
      </c>
      <c r="M753" s="80">
        <v>13</v>
      </c>
      <c r="N753" s="80">
        <v>0</v>
      </c>
      <c r="P753" s="124">
        <f t="shared" si="75"/>
        <v>1733.3333333333333</v>
      </c>
      <c r="Q753" s="124">
        <f t="shared" si="76"/>
        <v>0</v>
      </c>
      <c r="R753" s="161">
        <f t="shared" si="77"/>
        <v>1</v>
      </c>
      <c r="S753" s="189" t="str">
        <f>D753</f>
        <v>HL-6 Low</v>
      </c>
      <c r="T753" s="81"/>
      <c r="U753" s="81"/>
      <c r="V753" s="81"/>
      <c r="Y753" s="87" t="str">
        <f>D753</f>
        <v>HL-6 Low</v>
      </c>
      <c r="Z753" s="361">
        <f>SUMIFS($P$637:$P$700, $D$637:$D$700, Y753, $F$637:$F$700, "&lt;200") + SUMIFS($Q$637:$Q$700, $D$637:$D$700, Y753, $F$637:$F$700, "&lt;200")</f>
        <v>20533.333333333332</v>
      </c>
      <c r="AA753" s="124">
        <f>SUM(P753:Q756)</f>
        <v>15526.666666666666</v>
      </c>
      <c r="AB753" s="124">
        <f>SUMIFS(Collection!O:O, Collection!B:B, "*" &amp; 'Bucket Counts'!Y753 &amp; "*", Collection!A:A, "&lt;" &amp; 'Bucket Counts'!A753,Collection!A:A,  "&gt;=" &amp; 'Bucket Counts'!$A$637)</f>
        <v>0</v>
      </c>
      <c r="AC753" s="161">
        <f>AA753/(Z753+AB753)</f>
        <v>0.75616883116883116</v>
      </c>
    </row>
    <row r="754" spans="1:29" s="80" customFormat="1">
      <c r="A754" s="77">
        <v>42926</v>
      </c>
      <c r="B754" s="78"/>
      <c r="C754" s="78"/>
      <c r="D754" s="80" t="s">
        <v>21</v>
      </c>
      <c r="E754" s="80">
        <v>7</v>
      </c>
      <c r="F754" s="87">
        <v>180</v>
      </c>
      <c r="G754" s="87">
        <v>1</v>
      </c>
      <c r="H754" s="80">
        <v>300</v>
      </c>
      <c r="I754" s="80">
        <v>13</v>
      </c>
      <c r="J754" s="80">
        <v>4</v>
      </c>
      <c r="K754" s="80">
        <v>19</v>
      </c>
      <c r="L754" s="80">
        <v>3</v>
      </c>
      <c r="M754" s="80">
        <v>19</v>
      </c>
      <c r="N754" s="80">
        <v>3</v>
      </c>
      <c r="P754" s="124">
        <f t="shared" si="75"/>
        <v>5100</v>
      </c>
      <c r="Q754" s="124">
        <f t="shared" si="76"/>
        <v>1000</v>
      </c>
      <c r="R754" s="161">
        <f t="shared" si="77"/>
        <v>0.83606557377049184</v>
      </c>
      <c r="S754" s="187">
        <f>(SUM(P753:P756)/(SUM(P753:Q756)))</f>
        <v>0.48196650923142981</v>
      </c>
      <c r="T754" s="81"/>
      <c r="U754" s="81"/>
      <c r="V754" s="81"/>
      <c r="Y754" s="87"/>
      <c r="Z754" s="361"/>
      <c r="AA754" s="124"/>
      <c r="AB754" s="124"/>
    </row>
    <row r="755" spans="1:29" s="80" customFormat="1">
      <c r="A755" s="77">
        <v>42926</v>
      </c>
      <c r="B755" s="78"/>
      <c r="C755" s="78"/>
      <c r="D755" s="80" t="s">
        <v>21</v>
      </c>
      <c r="E755" s="80">
        <v>7</v>
      </c>
      <c r="F755" s="87">
        <v>100</v>
      </c>
      <c r="G755" s="87">
        <v>2</v>
      </c>
      <c r="H755" s="80">
        <v>300</v>
      </c>
      <c r="I755" s="80">
        <v>5</v>
      </c>
      <c r="J755" s="80">
        <v>11</v>
      </c>
      <c r="K755" s="80">
        <v>4</v>
      </c>
      <c r="L755" s="80">
        <v>6</v>
      </c>
      <c r="M755" s="80">
        <v>4</v>
      </c>
      <c r="N755" s="80">
        <v>4</v>
      </c>
      <c r="P755" s="124">
        <f t="shared" si="75"/>
        <v>650</v>
      </c>
      <c r="Q755" s="124">
        <f t="shared" si="76"/>
        <v>1050</v>
      </c>
      <c r="R755" s="161">
        <f t="shared" si="77"/>
        <v>0.38235294117647056</v>
      </c>
      <c r="S755" s="188"/>
      <c r="T755" s="81"/>
      <c r="U755" s="81"/>
      <c r="V755" s="81"/>
      <c r="Y755" s="87"/>
      <c r="Z755" s="361"/>
      <c r="AA755" s="124"/>
      <c r="AB755" s="124"/>
    </row>
    <row r="756" spans="1:29" s="80" customFormat="1">
      <c r="A756" s="77">
        <v>42926</v>
      </c>
      <c r="B756" s="78"/>
      <c r="C756" s="78"/>
      <c r="D756" s="80" t="s">
        <v>21</v>
      </c>
      <c r="E756" s="80">
        <v>7</v>
      </c>
      <c r="F756" s="87" t="s">
        <v>203</v>
      </c>
      <c r="G756" s="87">
        <v>2</v>
      </c>
      <c r="H756" s="80">
        <v>290</v>
      </c>
      <c r="I756" s="80">
        <v>0</v>
      </c>
      <c r="J756" s="80">
        <v>47</v>
      </c>
      <c r="K756" s="80">
        <v>0</v>
      </c>
      <c r="L756" s="80">
        <v>45</v>
      </c>
      <c r="M756" s="80">
        <v>0</v>
      </c>
      <c r="N756" s="80">
        <v>32</v>
      </c>
      <c r="P756" s="124">
        <f t="shared" si="75"/>
        <v>0</v>
      </c>
      <c r="Q756" s="124">
        <f t="shared" si="76"/>
        <v>5993.3333333333339</v>
      </c>
      <c r="R756" s="161">
        <f t="shared" si="77"/>
        <v>0</v>
      </c>
      <c r="S756" s="188"/>
      <c r="T756" s="81"/>
      <c r="U756" s="81"/>
      <c r="V756" s="81"/>
      <c r="Y756" s="87"/>
      <c r="Z756" s="361"/>
      <c r="AA756" s="124"/>
      <c r="AB756" s="124"/>
    </row>
    <row r="757" spans="1:29" s="80" customFormat="1">
      <c r="A757" s="77">
        <v>42926</v>
      </c>
      <c r="B757" s="78"/>
      <c r="C757" s="78"/>
      <c r="D757" s="80" t="s">
        <v>119</v>
      </c>
      <c r="E757" s="80">
        <v>8</v>
      </c>
      <c r="F757" s="87">
        <v>224</v>
      </c>
      <c r="G757" s="87">
        <v>2</v>
      </c>
      <c r="H757" s="80">
        <v>460</v>
      </c>
      <c r="I757" s="80">
        <v>6</v>
      </c>
      <c r="J757" s="80">
        <v>0</v>
      </c>
      <c r="K757" s="80">
        <v>4</v>
      </c>
      <c r="L757" s="80">
        <v>0</v>
      </c>
      <c r="M757" s="80">
        <v>5</v>
      </c>
      <c r="N757" s="80">
        <v>0</v>
      </c>
      <c r="P757" s="124">
        <f t="shared" si="75"/>
        <v>1150</v>
      </c>
      <c r="Q757" s="124">
        <f t="shared" si="76"/>
        <v>0</v>
      </c>
      <c r="R757" s="161">
        <f t="shared" si="77"/>
        <v>1</v>
      </c>
      <c r="S757" s="189" t="str">
        <f>D757</f>
        <v>HL-6 Ambient</v>
      </c>
      <c r="T757" s="81"/>
      <c r="U757" s="81"/>
      <c r="V757" s="81"/>
      <c r="Y757" s="87" t="str">
        <f>D757</f>
        <v>HL-6 Ambient</v>
      </c>
      <c r="Z757" s="361">
        <f>SUMIFS($P$637:$P$700, $D$637:$D$700, Y757, $F$637:$F$700, "&lt;200") + SUMIFS($Q$637:$Q$700, $D$637:$D$700, Y757, $F$637:$F$700, "&lt;200")</f>
        <v>3280.5555555555557</v>
      </c>
      <c r="AA757" s="124">
        <f>SUM(P757:Q760)</f>
        <v>2693.3333333333335</v>
      </c>
      <c r="AB757" s="124">
        <f>SUMIFS(Collection!O:O, Collection!B:B, "*" &amp; 'Bucket Counts'!Y757 &amp; "*", Collection!A:A, "&lt;" &amp; 'Bucket Counts'!A757,Collection!A:A,  "&gt;=" &amp; 'Bucket Counts'!$A$637)</f>
        <v>0</v>
      </c>
      <c r="AC757" s="161">
        <f>AA757/(Z757+AB757)</f>
        <v>0.82099915325994921</v>
      </c>
    </row>
    <row r="758" spans="1:29" s="80" customFormat="1">
      <c r="A758" s="77">
        <v>42926</v>
      </c>
      <c r="B758" s="78"/>
      <c r="C758" s="78"/>
      <c r="D758" s="80" t="s">
        <v>119</v>
      </c>
      <c r="E758" s="80">
        <v>8</v>
      </c>
      <c r="F758" s="87">
        <v>180</v>
      </c>
      <c r="G758" s="87">
        <v>2</v>
      </c>
      <c r="H758" s="80">
        <v>250</v>
      </c>
      <c r="I758" s="80">
        <v>10</v>
      </c>
      <c r="J758" s="80">
        <v>1</v>
      </c>
      <c r="K758" s="80">
        <v>6</v>
      </c>
      <c r="L758" s="80">
        <v>2</v>
      </c>
      <c r="M758" s="80">
        <v>4</v>
      </c>
      <c r="N758" s="80">
        <v>3</v>
      </c>
      <c r="P758" s="124">
        <f t="shared" si="75"/>
        <v>833.33333333333337</v>
      </c>
      <c r="Q758" s="124">
        <f t="shared" si="76"/>
        <v>250</v>
      </c>
      <c r="R758" s="161">
        <f t="shared" si="77"/>
        <v>0.76923076923076916</v>
      </c>
      <c r="S758" s="187">
        <f>(SUM(P757:P760)/(SUM(P757:Q760)))</f>
        <v>0.7902227722772277</v>
      </c>
      <c r="T758" s="81"/>
      <c r="Y758" s="87"/>
      <c r="Z758" s="361"/>
      <c r="AA758" s="124"/>
      <c r="AB758" s="124"/>
    </row>
    <row r="759" spans="1:29" s="80" customFormat="1">
      <c r="A759" s="77">
        <v>42926</v>
      </c>
      <c r="B759" s="78"/>
      <c r="C759" s="78"/>
      <c r="D759" s="80" t="s">
        <v>119</v>
      </c>
      <c r="E759" s="80">
        <v>8</v>
      </c>
      <c r="F759" s="87">
        <v>100</v>
      </c>
      <c r="G759" s="87">
        <v>2</v>
      </c>
      <c r="H759" s="80">
        <v>290</v>
      </c>
      <c r="I759" s="80">
        <v>0</v>
      </c>
      <c r="J759" s="80">
        <v>0</v>
      </c>
      <c r="K759" s="80">
        <v>2</v>
      </c>
      <c r="L759" s="80">
        <v>0</v>
      </c>
      <c r="M759" s="80">
        <v>1</v>
      </c>
      <c r="N759" s="80">
        <v>0</v>
      </c>
      <c r="P759" s="124">
        <f t="shared" si="75"/>
        <v>145</v>
      </c>
      <c r="Q759" s="124">
        <f t="shared" si="76"/>
        <v>0</v>
      </c>
      <c r="R759" s="161">
        <f t="shared" si="77"/>
        <v>1</v>
      </c>
      <c r="S759" s="188"/>
      <c r="T759" s="81"/>
      <c r="Y759" s="87"/>
      <c r="Z759" s="361"/>
      <c r="AA759" s="124"/>
      <c r="AB759" s="124"/>
    </row>
    <row r="760" spans="1:29" s="80" customFormat="1">
      <c r="A760" s="77">
        <v>42926</v>
      </c>
      <c r="B760" s="78"/>
      <c r="C760" s="78"/>
      <c r="D760" s="80" t="s">
        <v>119</v>
      </c>
      <c r="E760" s="80">
        <v>8</v>
      </c>
      <c r="F760" s="87" t="s">
        <v>203</v>
      </c>
      <c r="G760" s="87">
        <v>2</v>
      </c>
      <c r="H760" s="80">
        <v>270</v>
      </c>
      <c r="I760" s="80">
        <v>0</v>
      </c>
      <c r="J760" s="80">
        <v>2</v>
      </c>
      <c r="K760" s="80">
        <v>0</v>
      </c>
      <c r="L760" s="80">
        <v>4</v>
      </c>
      <c r="M760" s="80">
        <v>0</v>
      </c>
      <c r="N760" s="80">
        <v>1</v>
      </c>
      <c r="P760" s="124">
        <f t="shared" si="75"/>
        <v>0</v>
      </c>
      <c r="Q760" s="124">
        <f t="shared" si="76"/>
        <v>315</v>
      </c>
      <c r="R760" s="161">
        <f t="shared" si="77"/>
        <v>0</v>
      </c>
      <c r="S760" s="188"/>
      <c r="T760" s="81"/>
      <c r="Y760" s="87"/>
      <c r="Z760" s="361"/>
      <c r="AA760" s="124"/>
      <c r="AB760" s="124"/>
    </row>
    <row r="761" spans="1:29" s="80" customFormat="1">
      <c r="A761" s="77">
        <v>42926</v>
      </c>
      <c r="B761" s="78"/>
      <c r="C761" s="78"/>
      <c r="D761" s="79" t="s">
        <v>85</v>
      </c>
      <c r="E761" s="80">
        <v>8</v>
      </c>
      <c r="F761" s="87">
        <v>224</v>
      </c>
      <c r="G761" s="87" t="s">
        <v>355</v>
      </c>
      <c r="P761" s="124">
        <v>7</v>
      </c>
      <c r="Q761" s="124">
        <v>14</v>
      </c>
      <c r="R761" s="161">
        <f t="shared" si="77"/>
        <v>0.33333333333333331</v>
      </c>
      <c r="S761" s="189" t="str">
        <f>D761</f>
        <v>NF-6 Ambient</v>
      </c>
      <c r="T761" s="81"/>
      <c r="Y761" s="87" t="str">
        <f>D761</f>
        <v>NF-6 Ambient</v>
      </c>
      <c r="Z761" s="361">
        <f>SUMIFS($P$637:$P$700, $D$637:$D$700, Y761, $F$637:$F$700, "&lt;200") + SUMIFS($Q$637:$Q$700, $D$637:$D$700, Y761, $F$637:$F$700, "&lt;200")</f>
        <v>200</v>
      </c>
      <c r="AA761" s="124">
        <f>SUM(P761:Q764)</f>
        <v>186.88888888888889</v>
      </c>
      <c r="AB761" s="124">
        <f>SUMIFS(Collection!O:O, Collection!B:B, "*" &amp; 'Bucket Counts'!Y761 &amp; "*", Collection!A:A, "&lt;" &amp; 'Bucket Counts'!A761,Collection!A:A,  "&gt;=" &amp; 'Bucket Counts'!$A$637)</f>
        <v>0</v>
      </c>
      <c r="AC761" s="161">
        <f>AA761/(Z761+AB761)</f>
        <v>0.93444444444444441</v>
      </c>
    </row>
    <row r="762" spans="1:29" s="80" customFormat="1">
      <c r="A762" s="77">
        <v>42926</v>
      </c>
      <c r="B762" s="78"/>
      <c r="C762" s="78"/>
      <c r="D762" s="79" t="s">
        <v>85</v>
      </c>
      <c r="E762" s="80">
        <v>8</v>
      </c>
      <c r="F762" s="87">
        <v>180</v>
      </c>
      <c r="G762" s="87" t="s">
        <v>355</v>
      </c>
      <c r="P762" s="303">
        <v>13</v>
      </c>
      <c r="Q762" s="124">
        <v>29</v>
      </c>
      <c r="R762" s="161">
        <f t="shared" si="77"/>
        <v>0.30952380952380953</v>
      </c>
      <c r="S762" s="187">
        <f>(SUM(P761:P764)/(SUM(P761:Q764)))</f>
        <v>0.1070154577883472</v>
      </c>
      <c r="T762" s="81"/>
      <c r="W762" s="302" t="s">
        <v>358</v>
      </c>
      <c r="Y762" s="87"/>
      <c r="Z762" s="361"/>
      <c r="AA762" s="124"/>
      <c r="AB762" s="124"/>
    </row>
    <row r="763" spans="1:29" s="80" customFormat="1">
      <c r="A763" s="77">
        <v>42926</v>
      </c>
      <c r="B763" s="78"/>
      <c r="C763" s="78"/>
      <c r="D763" s="79" t="s">
        <v>85</v>
      </c>
      <c r="E763" s="80">
        <v>8</v>
      </c>
      <c r="F763" s="87">
        <v>100</v>
      </c>
      <c r="G763" s="87">
        <v>3</v>
      </c>
      <c r="H763" s="80">
        <v>275</v>
      </c>
      <c r="I763" s="80">
        <v>0</v>
      </c>
      <c r="J763" s="80">
        <v>1</v>
      </c>
      <c r="K763" s="80">
        <v>0</v>
      </c>
      <c r="L763" s="80">
        <v>0</v>
      </c>
      <c r="M763" s="80">
        <v>0</v>
      </c>
      <c r="N763" s="80">
        <v>0</v>
      </c>
      <c r="P763" s="124">
        <f t="shared" si="75"/>
        <v>0</v>
      </c>
      <c r="Q763" s="124">
        <f t="shared" si="76"/>
        <v>30.555555555555554</v>
      </c>
      <c r="R763" s="161">
        <f t="shared" si="77"/>
        <v>0</v>
      </c>
      <c r="S763" s="188"/>
      <c r="T763" s="81"/>
      <c r="W763" s="302" t="s">
        <v>359</v>
      </c>
      <c r="Y763" s="87"/>
      <c r="Z763" s="361"/>
      <c r="AA763" s="124"/>
      <c r="AB763" s="124"/>
    </row>
    <row r="764" spans="1:29" s="85" customFormat="1" ht="16" thickBot="1">
      <c r="A764" s="155">
        <v>42926</v>
      </c>
      <c r="B764" s="83"/>
      <c r="C764" s="83"/>
      <c r="D764" s="79" t="s">
        <v>85</v>
      </c>
      <c r="E764" s="80">
        <v>8</v>
      </c>
      <c r="F764" s="140" t="s">
        <v>203</v>
      </c>
      <c r="G764" s="140">
        <v>2</v>
      </c>
      <c r="H764" s="85">
        <v>280</v>
      </c>
      <c r="I764" s="85">
        <v>0</v>
      </c>
      <c r="J764" s="85">
        <v>0</v>
      </c>
      <c r="K764" s="85">
        <v>0</v>
      </c>
      <c r="L764" s="85">
        <v>1</v>
      </c>
      <c r="M764" s="85">
        <v>0</v>
      </c>
      <c r="N764" s="85">
        <v>1</v>
      </c>
      <c r="P764" s="124">
        <f t="shared" si="75"/>
        <v>0</v>
      </c>
      <c r="Q764" s="124">
        <f t="shared" si="76"/>
        <v>93.333333333333329</v>
      </c>
      <c r="R764" s="164">
        <f t="shared" si="77"/>
        <v>0</v>
      </c>
      <c r="S764" s="199"/>
      <c r="Y764" s="140"/>
      <c r="Z764" s="363"/>
      <c r="AA764" s="141"/>
      <c r="AB764" s="141"/>
    </row>
    <row r="765" spans="1:29" s="241" customFormat="1" ht="16" thickBot="1">
      <c r="A765" s="304">
        <v>42929</v>
      </c>
      <c r="B765" s="239"/>
      <c r="C765" s="239"/>
      <c r="D765" s="271" t="s">
        <v>83</v>
      </c>
      <c r="F765" s="242">
        <v>224</v>
      </c>
      <c r="G765" s="242" t="s">
        <v>355</v>
      </c>
      <c r="P765" s="120">
        <v>0</v>
      </c>
      <c r="Q765" s="120">
        <v>0</v>
      </c>
      <c r="R765" s="244" t="e">
        <f t="shared" si="77"/>
        <v>#DIV/0!</v>
      </c>
      <c r="S765" s="245" t="str">
        <f>D765</f>
        <v>NF-10 Low</v>
      </c>
      <c r="T765" s="246"/>
      <c r="U765" s="246"/>
      <c r="V765" s="246"/>
      <c r="Y765" s="89" t="str">
        <f>D765</f>
        <v>NF-10 Low</v>
      </c>
      <c r="Z765" s="351">
        <f>SUMIFS($P$701:$P$764, $D$701:$D$764, Y765, $F$701:$F$764, "&lt;200") + SUMIFS($Q$701:$Q$764, $D$701:$D$764, Y765, $F$701:$F$764, "&lt;200")</f>
        <v>16193.333333333332</v>
      </c>
      <c r="AA765" s="120">
        <f>SUM(P765:Q768)</f>
        <v>2982.2222222222222</v>
      </c>
      <c r="AB765" s="120">
        <f>SUMIFS(Collection!O:O, Collection!B:B, "*" &amp; 'Bucket Counts'!Y765 &amp; "*", Collection!A:A, "&lt;" &amp; 'Bucket Counts'!A765,Collection!A:A,  "&gt;=" &amp; 'Bucket Counts'!$A$701)</f>
        <v>0</v>
      </c>
      <c r="AC765" s="106">
        <f>AA765/(Z765+AB765)</f>
        <v>0.1841635789762591</v>
      </c>
    </row>
    <row r="766" spans="1:29" s="62" customFormat="1" ht="16" thickBot="1">
      <c r="A766" s="305">
        <v>42929</v>
      </c>
      <c r="B766" s="60"/>
      <c r="C766" s="60"/>
      <c r="D766" s="271" t="s">
        <v>83</v>
      </c>
      <c r="E766" s="137"/>
      <c r="F766" s="89">
        <v>180</v>
      </c>
      <c r="G766" s="89">
        <v>3</v>
      </c>
      <c r="H766" s="62">
        <v>250</v>
      </c>
      <c r="I766" s="62">
        <v>6</v>
      </c>
      <c r="J766" s="62">
        <v>0</v>
      </c>
      <c r="K766" s="62">
        <v>4</v>
      </c>
      <c r="L766" s="62">
        <v>0</v>
      </c>
      <c r="M766" s="89">
        <v>2</v>
      </c>
      <c r="N766" s="62">
        <v>0</v>
      </c>
      <c r="P766" s="120">
        <f t="shared" ref="P766:P772" si="78">(AVERAGE(I766,K766,M766)/G766)*H766</f>
        <v>333.33333333333331</v>
      </c>
      <c r="Q766" s="120">
        <f t="shared" ref="Q766:Q772" si="79">(AVERAGE(J766,L766,N766)/G766)*H766</f>
        <v>0</v>
      </c>
      <c r="R766" s="106">
        <f t="shared" si="77"/>
        <v>1</v>
      </c>
      <c r="S766" s="181">
        <f>(SUM(P765:P768)/(SUM(P765:Q768)))</f>
        <v>0.52980625931445602</v>
      </c>
      <c r="T766" s="65"/>
      <c r="U766" s="65"/>
      <c r="V766" s="65"/>
      <c r="Y766" s="89"/>
      <c r="Z766" s="357"/>
      <c r="AA766" s="120"/>
      <c r="AB766" s="120"/>
    </row>
    <row r="767" spans="1:29" s="62" customFormat="1" ht="16" thickBot="1">
      <c r="A767" s="88">
        <v>42929</v>
      </c>
      <c r="B767" s="60"/>
      <c r="C767" s="60"/>
      <c r="D767" s="271" t="s">
        <v>83</v>
      </c>
      <c r="E767" s="137"/>
      <c r="F767" s="89">
        <v>100</v>
      </c>
      <c r="G767" s="89">
        <v>3</v>
      </c>
      <c r="H767" s="62">
        <v>250</v>
      </c>
      <c r="I767" s="62">
        <v>14</v>
      </c>
      <c r="J767" s="62">
        <v>2</v>
      </c>
      <c r="K767" s="62">
        <v>12</v>
      </c>
      <c r="L767" s="62">
        <v>8</v>
      </c>
      <c r="M767" s="62">
        <v>16</v>
      </c>
      <c r="N767" s="62">
        <v>4</v>
      </c>
      <c r="P767" s="120">
        <f t="shared" si="78"/>
        <v>1166.6666666666667</v>
      </c>
      <c r="Q767" s="120">
        <f t="shared" si="79"/>
        <v>388.88888888888891</v>
      </c>
      <c r="R767" s="106">
        <f t="shared" si="77"/>
        <v>0.75</v>
      </c>
      <c r="S767" s="179"/>
      <c r="T767" s="65"/>
      <c r="U767" s="65"/>
      <c r="V767" s="65"/>
      <c r="Y767" s="89"/>
      <c r="Z767" s="357"/>
      <c r="AA767" s="120"/>
      <c r="AB767" s="120"/>
    </row>
    <row r="768" spans="1:29" s="62" customFormat="1">
      <c r="A768" s="88">
        <v>42929</v>
      </c>
      <c r="B768" s="60"/>
      <c r="C768" s="60"/>
      <c r="D768" s="271" t="s">
        <v>83</v>
      </c>
      <c r="E768" s="137"/>
      <c r="F768" s="89" t="s">
        <v>203</v>
      </c>
      <c r="G768" s="89">
        <v>2</v>
      </c>
      <c r="H768" s="62">
        <v>160</v>
      </c>
      <c r="I768" s="62">
        <v>1</v>
      </c>
      <c r="J768" s="62">
        <v>18</v>
      </c>
      <c r="K768" s="62">
        <v>2</v>
      </c>
      <c r="L768" s="62">
        <v>10</v>
      </c>
      <c r="M768" s="62">
        <v>0</v>
      </c>
      <c r="N768" s="62">
        <v>10</v>
      </c>
      <c r="P768" s="120">
        <f t="shared" si="78"/>
        <v>80</v>
      </c>
      <c r="Q768" s="120">
        <f t="shared" si="79"/>
        <v>1013.3333333333333</v>
      </c>
      <c r="R768" s="106">
        <f t="shared" si="77"/>
        <v>7.3170731707317083E-2</v>
      </c>
      <c r="S768" s="182"/>
      <c r="T768" s="65"/>
      <c r="U768" s="65"/>
      <c r="V768" s="65"/>
      <c r="Y768" s="89"/>
      <c r="Z768" s="357"/>
      <c r="AA768" s="120"/>
      <c r="AB768" s="120"/>
    </row>
    <row r="769" spans="1:29" s="62" customFormat="1">
      <c r="A769" s="88">
        <v>42929</v>
      </c>
      <c r="B769" s="60"/>
      <c r="C769" s="60"/>
      <c r="D769" s="62" t="s">
        <v>105</v>
      </c>
      <c r="E769" s="137"/>
      <c r="F769" s="89">
        <v>224</v>
      </c>
      <c r="G769" s="89">
        <v>3</v>
      </c>
      <c r="H769" s="62">
        <v>210</v>
      </c>
      <c r="I769" s="62">
        <v>2</v>
      </c>
      <c r="J769" s="62">
        <v>0</v>
      </c>
      <c r="K769" s="62">
        <v>1</v>
      </c>
      <c r="L769" s="62">
        <v>3</v>
      </c>
      <c r="M769" s="62">
        <v>1</v>
      </c>
      <c r="N769" s="62">
        <v>1</v>
      </c>
      <c r="P769" s="120">
        <f t="shared" si="78"/>
        <v>93.333333333333329</v>
      </c>
      <c r="Q769" s="120">
        <f t="shared" si="79"/>
        <v>93.333333333333329</v>
      </c>
      <c r="R769" s="106">
        <f t="shared" si="77"/>
        <v>0.5</v>
      </c>
      <c r="S769" s="183" t="str">
        <f>D769</f>
        <v>NF-6 Low</v>
      </c>
      <c r="T769" s="65"/>
      <c r="U769" s="65"/>
      <c r="V769" s="65"/>
      <c r="Y769" s="89" t="str">
        <f>D769</f>
        <v>NF-6 Low</v>
      </c>
      <c r="Z769" s="351">
        <f>SUMIFS($P$701:$P$764, $D$701:$D$764, Y769, $F$701:$F$764, "&lt;200") + SUMIFS($Q$701:$Q$764, $D$701:$D$764, Y769, $F$701:$F$764, "&lt;200")</f>
        <v>12916.666666666666</v>
      </c>
      <c r="AA769" s="120">
        <f>SUM(P769:Q772)</f>
        <v>5067.7777777777783</v>
      </c>
      <c r="AB769" s="120">
        <f>SUMIFS(Collection!O:O, Collection!B:B, "*" &amp; 'Bucket Counts'!Y769 &amp; "*", Collection!A:A, "&lt;" &amp; 'Bucket Counts'!A769,Collection!A:A,  "&gt;=" &amp; 'Bucket Counts'!$A$701)</f>
        <v>0</v>
      </c>
      <c r="AC769" s="106">
        <f>AA769/(Z769+AB769)</f>
        <v>0.39234408602150544</v>
      </c>
    </row>
    <row r="770" spans="1:29" s="62" customFormat="1">
      <c r="A770" s="88">
        <v>42929</v>
      </c>
      <c r="B770" s="60"/>
      <c r="C770" s="60"/>
      <c r="D770" s="62" t="s">
        <v>105</v>
      </c>
      <c r="E770" s="137"/>
      <c r="F770" s="89">
        <v>180</v>
      </c>
      <c r="G770" s="89">
        <v>3</v>
      </c>
      <c r="H770" s="62">
        <v>220</v>
      </c>
      <c r="I770" s="62">
        <v>9</v>
      </c>
      <c r="J770" s="62">
        <v>18</v>
      </c>
      <c r="K770" s="62">
        <v>7</v>
      </c>
      <c r="L770" s="62">
        <v>22</v>
      </c>
      <c r="M770" s="62">
        <v>9</v>
      </c>
      <c r="N770" s="62">
        <v>27</v>
      </c>
      <c r="P770" s="120">
        <f t="shared" si="78"/>
        <v>611.1111111111112</v>
      </c>
      <c r="Q770" s="120">
        <f t="shared" si="79"/>
        <v>1637.7777777777776</v>
      </c>
      <c r="R770" s="106">
        <f t="shared" si="77"/>
        <v>0.27173913043478265</v>
      </c>
      <c r="S770" s="181">
        <f>(SUM(P769:P772)/(SUM(P769:Q772)))</f>
        <v>0.13900460425345321</v>
      </c>
      <c r="T770" s="65"/>
      <c r="U770" s="65"/>
      <c r="V770" s="65"/>
      <c r="Y770" s="89"/>
      <c r="Z770" s="357"/>
      <c r="AA770" s="120"/>
      <c r="AB770" s="120"/>
    </row>
    <row r="771" spans="1:29" s="62" customFormat="1">
      <c r="A771" s="88">
        <v>42929</v>
      </c>
      <c r="B771" s="60"/>
      <c r="C771" s="60"/>
      <c r="D771" s="62" t="s">
        <v>105</v>
      </c>
      <c r="E771" s="137"/>
      <c r="F771" s="89">
        <v>100</v>
      </c>
      <c r="G771" s="89">
        <v>3</v>
      </c>
      <c r="H771" s="62">
        <v>230</v>
      </c>
      <c r="I771" s="62">
        <v>0</v>
      </c>
      <c r="J771" s="62">
        <v>0</v>
      </c>
      <c r="K771" s="62">
        <v>0</v>
      </c>
      <c r="L771" s="62">
        <v>0</v>
      </c>
      <c r="M771" s="62">
        <v>0</v>
      </c>
      <c r="N771" s="62">
        <v>1</v>
      </c>
      <c r="P771" s="120">
        <f t="shared" si="78"/>
        <v>0</v>
      </c>
      <c r="Q771" s="120">
        <f t="shared" si="79"/>
        <v>25.555555555555554</v>
      </c>
      <c r="R771" s="106">
        <f t="shared" si="77"/>
        <v>0</v>
      </c>
      <c r="S771" s="182"/>
      <c r="T771" s="65"/>
      <c r="U771" s="65"/>
      <c r="V771" s="65"/>
      <c r="Y771" s="89"/>
      <c r="Z771" s="357"/>
      <c r="AA771" s="120"/>
      <c r="AB771" s="120"/>
    </row>
    <row r="772" spans="1:29" s="62" customFormat="1">
      <c r="A772" s="88">
        <v>42929</v>
      </c>
      <c r="B772" s="60"/>
      <c r="C772" s="60"/>
      <c r="D772" s="62" t="s">
        <v>105</v>
      </c>
      <c r="E772" s="137"/>
      <c r="F772" s="89" t="s">
        <v>203</v>
      </c>
      <c r="G772" s="89">
        <v>2</v>
      </c>
      <c r="H772" s="62">
        <v>230</v>
      </c>
      <c r="I772" s="62">
        <v>0</v>
      </c>
      <c r="J772" s="62">
        <v>27</v>
      </c>
      <c r="K772" s="62">
        <v>0</v>
      </c>
      <c r="L772" s="62">
        <v>17</v>
      </c>
      <c r="M772" s="62">
        <v>0</v>
      </c>
      <c r="N772" s="62">
        <v>24</v>
      </c>
      <c r="P772" s="120">
        <f t="shared" si="78"/>
        <v>0</v>
      </c>
      <c r="Q772" s="120">
        <f t="shared" si="79"/>
        <v>2606.666666666667</v>
      </c>
      <c r="R772" s="106">
        <f t="shared" si="77"/>
        <v>0</v>
      </c>
      <c r="S772" s="182"/>
      <c r="T772" s="65"/>
      <c r="U772" s="65"/>
      <c r="V772" s="65"/>
      <c r="Y772" s="89"/>
      <c r="Z772" s="357"/>
      <c r="AA772" s="120"/>
      <c r="AB772" s="120"/>
    </row>
    <row r="773" spans="1:29" s="62" customFormat="1">
      <c r="A773" s="88">
        <v>42929</v>
      </c>
      <c r="B773" s="60"/>
      <c r="C773" s="60"/>
      <c r="D773" s="62" t="s">
        <v>86</v>
      </c>
      <c r="F773" s="89">
        <v>224</v>
      </c>
      <c r="G773" s="89" t="s">
        <v>355</v>
      </c>
      <c r="P773" s="120">
        <v>0</v>
      </c>
      <c r="Q773" s="120">
        <v>0</v>
      </c>
      <c r="R773" s="106" t="e">
        <f t="shared" si="77"/>
        <v>#DIV/0!</v>
      </c>
      <c r="S773" s="183" t="str">
        <f>D773</f>
        <v>SN-10 Ambient</v>
      </c>
      <c r="T773" s="65"/>
      <c r="U773" s="65"/>
      <c r="V773" s="65"/>
      <c r="Y773" s="89" t="str">
        <f>D773</f>
        <v>SN-10 Ambient</v>
      </c>
      <c r="Z773" s="351">
        <f>SUMIFS($P$701:$P$764, $D$701:$D$764, Y773, $F$701:$F$764, "&lt;200") + SUMIFS($Q$701:$Q$764, $D$701:$D$764, Y773, $F$701:$F$764, "&lt;200")</f>
        <v>88940.333333333328</v>
      </c>
      <c r="AA773" s="120">
        <f>SUM(P773:Q776)</f>
        <v>68736.111111111109</v>
      </c>
      <c r="AB773" s="120">
        <f>SUMIFS(Collection!O:O, Collection!B:B, "*" &amp; 'Bucket Counts'!Y773 &amp; "*", Collection!A:A, "&lt;" &amp; 'Bucket Counts'!A773,Collection!A:A,  "&gt;=" &amp; 'Bucket Counts'!$A$701)</f>
        <v>0</v>
      </c>
      <c r="AC773" s="106">
        <f>AA773/(Z773+AB773)</f>
        <v>0.77283397233850915</v>
      </c>
    </row>
    <row r="774" spans="1:29" s="62" customFormat="1">
      <c r="A774" s="88">
        <v>42929</v>
      </c>
      <c r="B774" s="60"/>
      <c r="C774" s="60"/>
      <c r="D774" s="62" t="s">
        <v>86</v>
      </c>
      <c r="F774" s="89">
        <v>180</v>
      </c>
      <c r="G774" s="89">
        <v>3</v>
      </c>
      <c r="H774" s="62">
        <v>250</v>
      </c>
      <c r="I774" s="62">
        <v>1</v>
      </c>
      <c r="J774" s="62">
        <v>0</v>
      </c>
      <c r="K774" s="62">
        <v>1</v>
      </c>
      <c r="L774" s="62">
        <v>1</v>
      </c>
      <c r="M774" s="62">
        <v>0</v>
      </c>
      <c r="N774" s="62">
        <v>1</v>
      </c>
      <c r="P774" s="120">
        <f t="shared" ref="P774:P791" si="80">(AVERAGE(I774,K774,M774)/G774)*H774</f>
        <v>55.55555555555555</v>
      </c>
      <c r="Q774" s="120">
        <f t="shared" ref="Q774:Q796" si="81">(AVERAGE(J774,L774,N774)/G774)*H774</f>
        <v>55.55555555555555</v>
      </c>
      <c r="R774" s="106">
        <f t="shared" si="77"/>
        <v>0.5</v>
      </c>
      <c r="S774" s="181">
        <f>(SUM(P773:P776)/(SUM(P773:Q776)))</f>
        <v>0.66748838149121037</v>
      </c>
      <c r="T774" s="65"/>
      <c r="U774" s="65"/>
      <c r="V774" s="65"/>
      <c r="Y774" s="89"/>
      <c r="Z774" s="357"/>
      <c r="AA774" s="120"/>
      <c r="AB774" s="120"/>
    </row>
    <row r="775" spans="1:29" s="62" customFormat="1">
      <c r="A775" s="88">
        <v>42929</v>
      </c>
      <c r="B775" s="60"/>
      <c r="C775" s="60"/>
      <c r="D775" s="62" t="s">
        <v>86</v>
      </c>
      <c r="F775" s="89">
        <v>100</v>
      </c>
      <c r="G775" s="89">
        <v>1</v>
      </c>
      <c r="H775" s="62">
        <v>450</v>
      </c>
      <c r="I775" s="62">
        <v>145</v>
      </c>
      <c r="J775" s="62">
        <v>13</v>
      </c>
      <c r="K775" s="62">
        <v>100</v>
      </c>
      <c r="L775" s="62">
        <v>10</v>
      </c>
      <c r="M775" s="62">
        <v>59</v>
      </c>
      <c r="N775" s="62">
        <v>6</v>
      </c>
      <c r="P775" s="120">
        <f t="shared" si="80"/>
        <v>45600</v>
      </c>
      <c r="Q775" s="120">
        <f t="shared" si="81"/>
        <v>4350</v>
      </c>
      <c r="R775" s="106">
        <f t="shared" si="77"/>
        <v>0.91291291291291288</v>
      </c>
      <c r="S775" s="182"/>
      <c r="T775" s="65"/>
      <c r="U775" s="65"/>
      <c r="V775" s="65"/>
      <c r="Y775" s="89"/>
      <c r="Z775" s="357"/>
      <c r="AA775" s="120"/>
      <c r="AB775" s="120"/>
    </row>
    <row r="776" spans="1:29" s="62" customFormat="1">
      <c r="A776" s="88">
        <v>42929</v>
      </c>
      <c r="B776" s="60"/>
      <c r="C776" s="60"/>
      <c r="D776" s="62" t="s">
        <v>86</v>
      </c>
      <c r="F776" s="89" t="s">
        <v>203</v>
      </c>
      <c r="G776" s="89">
        <v>1</v>
      </c>
      <c r="H776" s="249">
        <v>225</v>
      </c>
      <c r="I776" s="62">
        <v>1</v>
      </c>
      <c r="J776" s="62">
        <v>77</v>
      </c>
      <c r="K776" s="62">
        <v>2</v>
      </c>
      <c r="L776" s="62">
        <v>81</v>
      </c>
      <c r="M776" s="62">
        <v>0</v>
      </c>
      <c r="N776" s="62">
        <v>88</v>
      </c>
      <c r="P776" s="120">
        <f t="shared" si="80"/>
        <v>225</v>
      </c>
      <c r="Q776" s="120">
        <f t="shared" si="81"/>
        <v>18450</v>
      </c>
      <c r="R776" s="106">
        <f t="shared" si="77"/>
        <v>1.2048192771084338E-2</v>
      </c>
      <c r="S776" s="182"/>
      <c r="T776" s="65"/>
      <c r="U776" s="65"/>
      <c r="V776" s="65"/>
      <c r="Y776" s="89"/>
      <c r="Z776" s="357"/>
      <c r="AA776" s="120"/>
      <c r="AB776" s="120"/>
    </row>
    <row r="777" spans="1:29" s="62" customFormat="1">
      <c r="A777" s="88">
        <v>42929</v>
      </c>
      <c r="B777" s="60"/>
      <c r="C777" s="60"/>
      <c r="D777" s="61" t="s">
        <v>74</v>
      </c>
      <c r="F777" s="89">
        <v>224</v>
      </c>
      <c r="G777" s="89" t="s">
        <v>355</v>
      </c>
      <c r="H777" s="249"/>
      <c r="P777" s="120">
        <v>9</v>
      </c>
      <c r="Q777" s="120">
        <v>7</v>
      </c>
      <c r="R777" s="106">
        <f t="shared" si="77"/>
        <v>0.5625</v>
      </c>
      <c r="S777" s="183" t="str">
        <f>D777</f>
        <v>SN-10 Low</v>
      </c>
      <c r="T777" s="65"/>
      <c r="U777" s="65"/>
      <c r="V777" s="65"/>
      <c r="Y777" s="89" t="str">
        <f>D777</f>
        <v>SN-10 Low</v>
      </c>
      <c r="Z777" s="351">
        <f>SUMIFS($P$701:$P$764, $D$701:$D$764, Y777, $F$701:$F$764, "&lt;200") + SUMIFS($Q$701:$Q$764, $D$701:$D$764, Y777, $F$701:$F$764, "&lt;200")</f>
        <v>434.22222222222223</v>
      </c>
      <c r="AA777" s="120">
        <f>SUM(P777:Q780)</f>
        <v>118.77777777777777</v>
      </c>
      <c r="AB777" s="120">
        <f>SUMIFS(Collection!O:O, Collection!B:B, "*" &amp; 'Bucket Counts'!Y777 &amp; "*", Collection!A:A, "&lt;" &amp; 'Bucket Counts'!A777,Collection!A:A,  "&gt;=" &amp; 'Bucket Counts'!$A$701)</f>
        <v>0</v>
      </c>
      <c r="AC777" s="106">
        <f>AA777/(Z777+AB777)</f>
        <v>0.27354145342886382</v>
      </c>
    </row>
    <row r="778" spans="1:29" s="62" customFormat="1">
      <c r="A778" s="88">
        <v>42929</v>
      </c>
      <c r="B778" s="60"/>
      <c r="C778" s="60"/>
      <c r="D778" s="61" t="s">
        <v>74</v>
      </c>
      <c r="F778" s="89">
        <v>180</v>
      </c>
      <c r="G778" s="89">
        <v>3</v>
      </c>
      <c r="H778" s="249">
        <v>250</v>
      </c>
      <c r="I778" s="62">
        <v>0</v>
      </c>
      <c r="J778" s="62">
        <v>1</v>
      </c>
      <c r="K778" s="62">
        <v>0</v>
      </c>
      <c r="L778" s="62">
        <v>0</v>
      </c>
      <c r="M778" s="62">
        <v>0</v>
      </c>
      <c r="N778" s="62">
        <v>0</v>
      </c>
      <c r="P778" s="120">
        <f t="shared" si="80"/>
        <v>0</v>
      </c>
      <c r="Q778" s="120">
        <f t="shared" si="81"/>
        <v>27.777777777777775</v>
      </c>
      <c r="R778" s="106">
        <f t="shared" si="77"/>
        <v>0</v>
      </c>
      <c r="S778" s="181">
        <f>(SUM(P777:P780)/(SUM(P777:Q780)))</f>
        <v>7.5771749298409727E-2</v>
      </c>
      <c r="T778" s="65"/>
      <c r="U778" s="65"/>
      <c r="V778" s="65"/>
      <c r="Y778" s="89"/>
      <c r="Z778" s="357"/>
      <c r="AA778" s="120"/>
      <c r="AB778" s="120"/>
    </row>
    <row r="779" spans="1:29" s="62" customFormat="1">
      <c r="A779" s="88">
        <v>42929</v>
      </c>
      <c r="B779" s="60"/>
      <c r="C779" s="60"/>
      <c r="D779" s="61" t="s">
        <v>74</v>
      </c>
      <c r="F779" s="89">
        <v>100</v>
      </c>
      <c r="G779" s="89">
        <v>3</v>
      </c>
      <c r="H779" s="249">
        <v>225</v>
      </c>
      <c r="I779" s="62">
        <v>0</v>
      </c>
      <c r="J779" s="62">
        <v>0</v>
      </c>
      <c r="K779" s="62">
        <v>0</v>
      </c>
      <c r="L779" s="62">
        <v>1</v>
      </c>
      <c r="M779" s="62">
        <v>0</v>
      </c>
      <c r="N779" s="62">
        <v>2</v>
      </c>
      <c r="P779" s="120">
        <f t="shared" si="80"/>
        <v>0</v>
      </c>
      <c r="Q779" s="120">
        <f t="shared" si="81"/>
        <v>75</v>
      </c>
      <c r="R779" s="106">
        <f t="shared" si="77"/>
        <v>0</v>
      </c>
      <c r="S779" s="182"/>
      <c r="T779" s="65"/>
      <c r="U779" s="65"/>
      <c r="V779" s="65"/>
      <c r="Y779" s="89"/>
      <c r="Z779" s="357"/>
      <c r="AA779" s="120"/>
      <c r="AB779" s="120"/>
    </row>
    <row r="780" spans="1:29" s="62" customFormat="1">
      <c r="A780" s="88">
        <v>42929</v>
      </c>
      <c r="B780" s="60"/>
      <c r="C780" s="60"/>
      <c r="D780" s="61" t="s">
        <v>74</v>
      </c>
      <c r="F780" s="89" t="s">
        <v>203</v>
      </c>
      <c r="G780" s="306" t="s">
        <v>360</v>
      </c>
      <c r="H780" s="249"/>
      <c r="P780" s="307">
        <v>0</v>
      </c>
      <c r="Q780" s="307">
        <v>0</v>
      </c>
      <c r="R780" s="106" t="e">
        <f t="shared" si="77"/>
        <v>#DIV/0!</v>
      </c>
      <c r="S780" s="182"/>
      <c r="T780" s="65"/>
      <c r="U780" s="65"/>
      <c r="V780" s="65"/>
      <c r="Y780" s="89"/>
      <c r="Z780" s="357"/>
      <c r="AA780" s="120"/>
      <c r="AB780" s="120"/>
    </row>
    <row r="781" spans="1:29" s="62" customFormat="1">
      <c r="A781" s="88">
        <v>42929</v>
      </c>
      <c r="B781" s="60"/>
      <c r="C781" s="60"/>
      <c r="D781" s="62" t="s">
        <v>38</v>
      </c>
      <c r="F781" s="89">
        <v>224</v>
      </c>
      <c r="G781" s="89">
        <v>3</v>
      </c>
      <c r="H781" s="249">
        <v>225</v>
      </c>
      <c r="I781" s="62">
        <v>1</v>
      </c>
      <c r="J781" s="62">
        <v>0</v>
      </c>
      <c r="K781" s="62">
        <v>1</v>
      </c>
      <c r="L781" s="62">
        <v>0</v>
      </c>
      <c r="M781" s="62">
        <v>0</v>
      </c>
      <c r="N781" s="62">
        <v>0</v>
      </c>
      <c r="P781" s="120">
        <f t="shared" si="80"/>
        <v>50</v>
      </c>
      <c r="Q781" s="120">
        <f t="shared" si="81"/>
        <v>0</v>
      </c>
      <c r="R781" s="106">
        <f t="shared" si="77"/>
        <v>1</v>
      </c>
      <c r="S781" s="183" t="str">
        <f>D781</f>
        <v>K-6 Ambient</v>
      </c>
      <c r="T781" s="65"/>
      <c r="U781" s="65"/>
      <c r="V781" s="65"/>
      <c r="Y781" s="89" t="str">
        <f>D781</f>
        <v>K-6 Ambient</v>
      </c>
      <c r="Z781" s="351">
        <f>SUMIFS($P$701:$P$764, $D$701:$D$764, Y781, $F$701:$F$764, "&lt;200") + SUMIFS($Q$701:$Q$764, $D$701:$D$764, Y781, $F$701:$F$764, "&lt;200")</f>
        <v>8229.1666666666661</v>
      </c>
      <c r="AA781" s="120">
        <f>SUM(P781:Q784)</f>
        <v>8237.5</v>
      </c>
      <c r="AB781" s="120">
        <f>SUMIFS(Collection!O:O, Collection!B:B, "*" &amp; 'Bucket Counts'!Y781 &amp; "*", Collection!A:A, "&lt;" &amp; 'Bucket Counts'!A781,Collection!A:A,  "&gt;=" &amp; 'Bucket Counts'!$A$701)</f>
        <v>0</v>
      </c>
      <c r="AC781" s="106">
        <f>AA781/(Z781+AB781)</f>
        <v>1.0010126582278482</v>
      </c>
    </row>
    <row r="782" spans="1:29" s="62" customFormat="1">
      <c r="A782" s="88">
        <v>42929</v>
      </c>
      <c r="B782" s="60"/>
      <c r="C782" s="60"/>
      <c r="D782" s="62" t="s">
        <v>38</v>
      </c>
      <c r="F782" s="89">
        <v>180</v>
      </c>
      <c r="G782" s="89">
        <v>1</v>
      </c>
      <c r="H782" s="249">
        <v>275</v>
      </c>
      <c r="I782" s="62">
        <v>5</v>
      </c>
      <c r="J782" s="62">
        <v>7</v>
      </c>
      <c r="K782" s="62">
        <v>5</v>
      </c>
      <c r="L782" s="62">
        <v>2</v>
      </c>
      <c r="M782" s="62">
        <v>15</v>
      </c>
      <c r="N782" s="62">
        <v>7</v>
      </c>
      <c r="P782" s="120">
        <f t="shared" si="80"/>
        <v>2291.666666666667</v>
      </c>
      <c r="Q782" s="120">
        <f t="shared" si="81"/>
        <v>1466.6666666666665</v>
      </c>
      <c r="R782" s="106">
        <f t="shared" si="77"/>
        <v>0.60975609756097571</v>
      </c>
      <c r="S782" s="181">
        <f>(SUM(P781:P784)/(SUM(P781:Q784)))</f>
        <v>0.34344967121901876</v>
      </c>
      <c r="T782" s="65"/>
      <c r="U782" s="65"/>
      <c r="V782" s="65"/>
      <c r="Y782" s="89"/>
      <c r="Z782" s="357"/>
      <c r="AA782" s="120"/>
      <c r="AB782" s="120"/>
    </row>
    <row r="783" spans="1:29" s="62" customFormat="1">
      <c r="A783" s="88">
        <v>42929</v>
      </c>
      <c r="B783" s="60"/>
      <c r="C783" s="60"/>
      <c r="D783" s="62" t="s">
        <v>38</v>
      </c>
      <c r="F783" s="89">
        <v>100</v>
      </c>
      <c r="G783" s="89">
        <v>2</v>
      </c>
      <c r="H783" s="249">
        <v>225</v>
      </c>
      <c r="I783" s="62">
        <v>6</v>
      </c>
      <c r="J783" s="62">
        <v>1</v>
      </c>
      <c r="K783" s="62">
        <v>2</v>
      </c>
      <c r="L783" s="62">
        <v>1</v>
      </c>
      <c r="M783" s="62">
        <v>5</v>
      </c>
      <c r="N783" s="62">
        <v>0</v>
      </c>
      <c r="P783" s="120">
        <f t="shared" si="80"/>
        <v>487.49999999999994</v>
      </c>
      <c r="Q783" s="120">
        <f t="shared" si="81"/>
        <v>75</v>
      </c>
      <c r="R783" s="106">
        <f t="shared" si="77"/>
        <v>0.86666666666666659</v>
      </c>
      <c r="S783" s="182"/>
      <c r="T783" s="65"/>
      <c r="U783" s="65"/>
      <c r="V783" s="65"/>
      <c r="Y783" s="89"/>
      <c r="Z783" s="357"/>
      <c r="AA783" s="120"/>
      <c r="AB783" s="120"/>
    </row>
    <row r="784" spans="1:29" s="62" customFormat="1">
      <c r="A784" s="88">
        <v>42929</v>
      </c>
      <c r="B784" s="60"/>
      <c r="C784" s="60"/>
      <c r="D784" s="62" t="s">
        <v>38</v>
      </c>
      <c r="F784" s="89" t="s">
        <v>203</v>
      </c>
      <c r="G784" s="89">
        <v>1</v>
      </c>
      <c r="H784" s="249">
        <v>200</v>
      </c>
      <c r="I784" s="62">
        <v>0</v>
      </c>
      <c r="J784" s="62">
        <v>15</v>
      </c>
      <c r="K784" s="62">
        <v>0</v>
      </c>
      <c r="L784" s="62">
        <v>18</v>
      </c>
      <c r="M784" s="62">
        <v>0</v>
      </c>
      <c r="N784" s="62">
        <v>25</v>
      </c>
      <c r="P784" s="120">
        <f t="shared" si="80"/>
        <v>0</v>
      </c>
      <c r="Q784" s="120">
        <f t="shared" si="81"/>
        <v>3866.6666666666665</v>
      </c>
      <c r="R784" s="106">
        <f t="shared" si="77"/>
        <v>0</v>
      </c>
      <c r="S784" s="182"/>
      <c r="T784" s="65"/>
      <c r="U784" s="65"/>
      <c r="V784" s="65"/>
      <c r="Y784" s="89"/>
      <c r="Z784" s="357"/>
      <c r="AA784" s="120"/>
      <c r="AB784" s="120"/>
    </row>
    <row r="785" spans="1:29" s="62" customFormat="1">
      <c r="A785" s="88">
        <v>42929</v>
      </c>
      <c r="B785" s="60"/>
      <c r="C785" s="60"/>
      <c r="D785" s="272" t="s">
        <v>21</v>
      </c>
      <c r="F785" s="89">
        <v>224</v>
      </c>
      <c r="G785" s="89">
        <v>2</v>
      </c>
      <c r="H785" s="249">
        <v>220</v>
      </c>
      <c r="I785" s="62">
        <v>4</v>
      </c>
      <c r="J785" s="62">
        <v>1</v>
      </c>
      <c r="K785" s="62">
        <v>2</v>
      </c>
      <c r="L785" s="62">
        <v>0</v>
      </c>
      <c r="M785" s="62">
        <v>0</v>
      </c>
      <c r="N785" s="62">
        <v>0</v>
      </c>
      <c r="P785" s="120">
        <f t="shared" si="80"/>
        <v>220</v>
      </c>
      <c r="Q785" s="120">
        <f t="shared" si="81"/>
        <v>36.666666666666664</v>
      </c>
      <c r="R785" s="106">
        <f t="shared" si="77"/>
        <v>0.8571428571428571</v>
      </c>
      <c r="S785" s="183" t="str">
        <f>D785</f>
        <v>HL-6 Low</v>
      </c>
      <c r="T785" s="65"/>
      <c r="U785" s="65"/>
      <c r="V785" s="65"/>
      <c r="Y785" s="89" t="str">
        <f>D785</f>
        <v>HL-6 Low</v>
      </c>
      <c r="Z785" s="351">
        <f>SUMIFS($P$701:$P$764, $D$701:$D$764, Y785, $F$701:$F$764, "&lt;200") + SUMIFS($Q$701:$Q$764, $D$701:$D$764, Y785, $F$701:$F$764, "&lt;200")</f>
        <v>7800</v>
      </c>
      <c r="AA785" s="120">
        <f>SUM(P785:Q788)</f>
        <v>9373.3333333333339</v>
      </c>
      <c r="AB785" s="120">
        <f>SUMIFS(Collection!O:O, Collection!B:B, "*" &amp; 'Bucket Counts'!Y785 &amp; "*", Collection!A:A, "&lt;" &amp; 'Bucket Counts'!A785,Collection!A:A,  "&gt;=" &amp; 'Bucket Counts'!$A$701)</f>
        <v>0</v>
      </c>
      <c r="AC785" s="106">
        <f>AA785/(Z785+AB785)</f>
        <v>1.2017094017094019</v>
      </c>
    </row>
    <row r="786" spans="1:29" s="62" customFormat="1">
      <c r="A786" s="88">
        <v>42929</v>
      </c>
      <c r="B786" s="60"/>
      <c r="C786" s="60"/>
      <c r="D786" s="272" t="s">
        <v>21</v>
      </c>
      <c r="F786" s="89">
        <v>180</v>
      </c>
      <c r="G786" s="89">
        <v>1</v>
      </c>
      <c r="H786" s="249">
        <v>300</v>
      </c>
      <c r="I786" s="62">
        <v>14</v>
      </c>
      <c r="J786" s="62">
        <v>3</v>
      </c>
      <c r="K786" s="62">
        <v>13</v>
      </c>
      <c r="L786" s="62">
        <v>0</v>
      </c>
      <c r="M786" s="62">
        <v>15</v>
      </c>
      <c r="N786" s="62">
        <v>0</v>
      </c>
      <c r="P786" s="120">
        <f t="shared" si="80"/>
        <v>4200</v>
      </c>
      <c r="Q786" s="120">
        <f t="shared" si="81"/>
        <v>300</v>
      </c>
      <c r="R786" s="106">
        <f t="shared" si="77"/>
        <v>0.93333333333333335</v>
      </c>
      <c r="S786" s="181">
        <f>(SUM(P785:P788)/(SUM(P785:Q788)))</f>
        <v>0.51155761024182078</v>
      </c>
      <c r="T786" s="65"/>
      <c r="Y786" s="89"/>
      <c r="Z786" s="357"/>
      <c r="AA786" s="120"/>
      <c r="AB786" s="120"/>
    </row>
    <row r="787" spans="1:29" s="62" customFormat="1">
      <c r="A787" s="88">
        <v>42929</v>
      </c>
      <c r="B787" s="60"/>
      <c r="C787" s="60"/>
      <c r="D787" s="272" t="s">
        <v>21</v>
      </c>
      <c r="F787" s="89">
        <v>100</v>
      </c>
      <c r="G787" s="89">
        <v>2</v>
      </c>
      <c r="H787" s="249">
        <v>225</v>
      </c>
      <c r="I787" s="62">
        <v>5</v>
      </c>
      <c r="J787" s="62">
        <v>0</v>
      </c>
      <c r="K787" s="62">
        <v>4</v>
      </c>
      <c r="L787" s="62">
        <v>0</v>
      </c>
      <c r="M787" s="62">
        <v>1</v>
      </c>
      <c r="N787" s="62">
        <v>2</v>
      </c>
      <c r="P787" s="120">
        <f t="shared" si="80"/>
        <v>375</v>
      </c>
      <c r="Q787" s="120">
        <f t="shared" si="81"/>
        <v>75</v>
      </c>
      <c r="R787" s="106">
        <f t="shared" si="77"/>
        <v>0.83333333333333337</v>
      </c>
      <c r="S787" s="182"/>
      <c r="T787" s="65"/>
      <c r="Y787" s="89"/>
      <c r="Z787" s="357"/>
      <c r="AA787" s="120"/>
      <c r="AB787" s="120"/>
    </row>
    <row r="788" spans="1:29" s="62" customFormat="1">
      <c r="A788" s="88">
        <v>42929</v>
      </c>
      <c r="B788" s="60"/>
      <c r="C788" s="60"/>
      <c r="D788" s="272" t="s">
        <v>21</v>
      </c>
      <c r="F788" s="89" t="s">
        <v>203</v>
      </c>
      <c r="G788" s="89">
        <v>1</v>
      </c>
      <c r="H788" s="249">
        <v>250</v>
      </c>
      <c r="I788" s="62">
        <v>0</v>
      </c>
      <c r="J788" s="62">
        <v>17</v>
      </c>
      <c r="K788" s="62">
        <v>0</v>
      </c>
      <c r="L788" s="62">
        <v>19</v>
      </c>
      <c r="M788" s="62">
        <v>0</v>
      </c>
      <c r="N788" s="62">
        <v>14</v>
      </c>
      <c r="P788" s="120">
        <f t="shared" si="80"/>
        <v>0</v>
      </c>
      <c r="Q788" s="120">
        <f t="shared" si="81"/>
        <v>4166.666666666667</v>
      </c>
      <c r="R788" s="106">
        <f t="shared" si="77"/>
        <v>0</v>
      </c>
      <c r="S788" s="182"/>
      <c r="T788" s="65"/>
      <c r="Y788" s="89"/>
      <c r="Z788" s="357"/>
      <c r="AA788" s="120"/>
      <c r="AB788" s="120"/>
    </row>
    <row r="789" spans="1:29" s="62" customFormat="1">
      <c r="A789" s="88">
        <v>42929</v>
      </c>
      <c r="B789" s="60"/>
      <c r="C789" s="60"/>
      <c r="D789" s="61" t="s">
        <v>119</v>
      </c>
      <c r="F789" s="89">
        <v>224</v>
      </c>
      <c r="G789" s="89">
        <v>2</v>
      </c>
      <c r="H789" s="249">
        <v>225</v>
      </c>
      <c r="I789" s="62">
        <v>0</v>
      </c>
      <c r="J789" s="62">
        <v>1</v>
      </c>
      <c r="K789" s="62">
        <v>0</v>
      </c>
      <c r="L789" s="62">
        <v>0</v>
      </c>
      <c r="M789" s="62">
        <v>3</v>
      </c>
      <c r="N789" s="62">
        <v>0</v>
      </c>
      <c r="P789" s="120">
        <f t="shared" si="80"/>
        <v>112.5</v>
      </c>
      <c r="Q789" s="120">
        <f t="shared" si="81"/>
        <v>37.5</v>
      </c>
      <c r="R789" s="106">
        <f t="shared" si="77"/>
        <v>0.75</v>
      </c>
      <c r="S789" s="180" t="str">
        <f>D789</f>
        <v>HL-6 Ambient</v>
      </c>
      <c r="T789" s="65"/>
      <c r="Y789" s="89" t="str">
        <f>D789</f>
        <v>HL-6 Ambient</v>
      </c>
      <c r="Z789" s="351">
        <f>SUMIFS($P$701:$P$764, $D$701:$D$764, Y789, $F$701:$F$764, "&lt;200") + SUMIFS($Q$701:$Q$764, $D$701:$D$764, Y789, $F$701:$F$764, "&lt;200")</f>
        <v>1228.3333333333335</v>
      </c>
      <c r="AA789" s="120">
        <f>SUM(P789:Q792)</f>
        <v>1538.8888888888889</v>
      </c>
      <c r="AB789" s="120">
        <f>SUMIFS(Collection!O:O, Collection!B:B, "*" &amp; 'Bucket Counts'!Y789 &amp; "*", Collection!A:A, "&lt;" &amp; 'Bucket Counts'!A789,Collection!A:A,  "&gt;=" &amp; 'Bucket Counts'!$A$701)</f>
        <v>0</v>
      </c>
      <c r="AC789" s="106">
        <f>AA789/(Z789+AB789)</f>
        <v>1.2528267752148348</v>
      </c>
    </row>
    <row r="790" spans="1:29" s="62" customFormat="1">
      <c r="A790" s="88">
        <v>42929</v>
      </c>
      <c r="B790" s="60"/>
      <c r="C790" s="60"/>
      <c r="D790" s="61" t="s">
        <v>119</v>
      </c>
      <c r="F790" s="89">
        <v>180</v>
      </c>
      <c r="G790" s="89">
        <v>1</v>
      </c>
      <c r="H790" s="249">
        <v>250</v>
      </c>
      <c r="I790" s="62">
        <v>3</v>
      </c>
      <c r="J790" s="62">
        <v>0</v>
      </c>
      <c r="K790" s="62">
        <v>2</v>
      </c>
      <c r="L790" s="62">
        <v>1</v>
      </c>
      <c r="M790" s="62">
        <v>1</v>
      </c>
      <c r="N790" s="62">
        <v>1</v>
      </c>
      <c r="P790" s="120">
        <f t="shared" si="80"/>
        <v>500</v>
      </c>
      <c r="Q790" s="120">
        <f t="shared" si="81"/>
        <v>166.66666666666666</v>
      </c>
      <c r="R790" s="106">
        <f t="shared" si="77"/>
        <v>0.75</v>
      </c>
      <c r="S790" s="181">
        <f>(SUM(P789:P792)/(SUM(P789:Q792)))</f>
        <v>0.49440433212996393</v>
      </c>
      <c r="T790" s="65"/>
      <c r="Y790" s="89"/>
      <c r="Z790" s="357"/>
      <c r="AA790" s="120"/>
      <c r="AB790" s="120"/>
    </row>
    <row r="791" spans="1:29" s="62" customFormat="1">
      <c r="A791" s="88">
        <v>42929</v>
      </c>
      <c r="B791" s="60"/>
      <c r="C791" s="60"/>
      <c r="D791" s="61" t="s">
        <v>119</v>
      </c>
      <c r="F791" s="89">
        <v>100</v>
      </c>
      <c r="G791" s="89">
        <v>3</v>
      </c>
      <c r="H791" s="249">
        <v>220</v>
      </c>
      <c r="I791" s="62">
        <v>1</v>
      </c>
      <c r="J791" s="62">
        <v>0</v>
      </c>
      <c r="K791" s="62">
        <v>1</v>
      </c>
      <c r="L791" s="62">
        <v>0</v>
      </c>
      <c r="M791" s="62">
        <v>1</v>
      </c>
      <c r="N791" s="62">
        <v>2</v>
      </c>
      <c r="P791" s="120">
        <f t="shared" si="80"/>
        <v>73.333333333333329</v>
      </c>
      <c r="Q791" s="120">
        <f t="shared" si="81"/>
        <v>48.888888888888886</v>
      </c>
      <c r="R791" s="106">
        <f t="shared" si="77"/>
        <v>0.6</v>
      </c>
      <c r="S791" s="179"/>
      <c r="T791" s="65"/>
      <c r="Y791" s="89"/>
      <c r="Z791" s="357"/>
      <c r="AA791" s="120"/>
      <c r="AB791" s="120"/>
    </row>
    <row r="792" spans="1:29" s="62" customFormat="1">
      <c r="A792" s="88">
        <v>42929</v>
      </c>
      <c r="B792" s="60"/>
      <c r="C792" s="60"/>
      <c r="D792" s="61" t="s">
        <v>119</v>
      </c>
      <c r="F792" s="89" t="s">
        <v>203</v>
      </c>
      <c r="G792" s="89">
        <v>1</v>
      </c>
      <c r="H792" s="249">
        <v>225</v>
      </c>
      <c r="I792" s="62">
        <v>0</v>
      </c>
      <c r="J792" s="62">
        <v>2</v>
      </c>
      <c r="K792" s="62">
        <v>0</v>
      </c>
      <c r="L792" s="62">
        <v>3</v>
      </c>
      <c r="M792" s="62">
        <v>1</v>
      </c>
      <c r="N792" s="62">
        <v>2</v>
      </c>
      <c r="P792" s="120">
        <f>(AVERAGE(I792,K792,M792)/G792)*H792</f>
        <v>75</v>
      </c>
      <c r="Q792" s="120">
        <f t="shared" si="81"/>
        <v>525</v>
      </c>
      <c r="R792" s="106">
        <f t="shared" si="77"/>
        <v>0.125</v>
      </c>
      <c r="S792" s="182"/>
      <c r="T792" s="65"/>
      <c r="Y792" s="89"/>
      <c r="Z792" s="357"/>
      <c r="AA792" s="120"/>
      <c r="AB792" s="120"/>
    </row>
    <row r="793" spans="1:29" s="62" customFormat="1">
      <c r="A793" s="88">
        <v>42929</v>
      </c>
      <c r="B793" s="60"/>
      <c r="C793" s="60"/>
      <c r="D793" s="61" t="s">
        <v>87</v>
      </c>
      <c r="F793" s="89">
        <v>224</v>
      </c>
      <c r="G793" s="89">
        <v>3</v>
      </c>
      <c r="H793" s="249">
        <v>220</v>
      </c>
      <c r="I793" s="62">
        <v>0</v>
      </c>
      <c r="J793" s="62">
        <v>0</v>
      </c>
      <c r="K793" s="62">
        <v>2</v>
      </c>
      <c r="L793" s="62">
        <v>0</v>
      </c>
      <c r="M793" s="62">
        <v>0</v>
      </c>
      <c r="N793" s="62">
        <v>0</v>
      </c>
      <c r="P793" s="120">
        <f t="shared" ref="P793:P796" si="82">(AVERAGE(I793,K793,M793)/G793)*H793</f>
        <v>48.888888888888886</v>
      </c>
      <c r="Q793" s="120">
        <f t="shared" si="81"/>
        <v>0</v>
      </c>
      <c r="R793" s="106">
        <f t="shared" si="77"/>
        <v>1</v>
      </c>
      <c r="S793" s="183" t="str">
        <f>D793</f>
        <v>SN-6 Ambient</v>
      </c>
      <c r="T793" s="65"/>
      <c r="Y793" s="89" t="str">
        <f>D793</f>
        <v>SN-6 Ambient</v>
      </c>
      <c r="Z793" s="351">
        <f>SUMIFS($P$701:$P$764, $D$701:$D$764, Y793, $F$701:$F$764, "&lt;200") + SUMIFS($Q$701:$Q$764, $D$701:$D$764, Y793, $F$701:$F$764, "&lt;200")</f>
        <v>462.22222222222217</v>
      </c>
      <c r="AA793" s="120">
        <f>SUM(P793:Q796)</f>
        <v>728.88888888888891</v>
      </c>
      <c r="AB793" s="120">
        <f>SUMIFS(Collection!O:O, Collection!B:B, "*" &amp; 'Bucket Counts'!Y793 &amp; "*", Collection!A:A, "&lt;" &amp; 'Bucket Counts'!A793,Collection!A:A,  "&gt;=" &amp; 'Bucket Counts'!$A$701)</f>
        <v>0</v>
      </c>
      <c r="AC793" s="106">
        <f>AA793/(Z793+AB793)</f>
        <v>1.5769230769230771</v>
      </c>
    </row>
    <row r="794" spans="1:29" s="62" customFormat="1">
      <c r="A794" s="88">
        <v>42929</v>
      </c>
      <c r="B794" s="60"/>
      <c r="C794" s="60"/>
      <c r="D794" s="61" t="s">
        <v>87</v>
      </c>
      <c r="F794" s="89">
        <v>180</v>
      </c>
      <c r="G794" s="89">
        <v>3</v>
      </c>
      <c r="H794" s="249">
        <v>240</v>
      </c>
      <c r="I794" s="62">
        <v>3</v>
      </c>
      <c r="J794" s="62">
        <v>0</v>
      </c>
      <c r="K794" s="62">
        <v>0</v>
      </c>
      <c r="L794" s="62">
        <v>0</v>
      </c>
      <c r="M794" s="62">
        <v>3</v>
      </c>
      <c r="N794" s="62">
        <v>0</v>
      </c>
      <c r="P794" s="120">
        <f t="shared" si="82"/>
        <v>160</v>
      </c>
      <c r="Q794" s="120">
        <f t="shared" si="81"/>
        <v>0</v>
      </c>
      <c r="R794" s="106">
        <f t="shared" si="77"/>
        <v>1</v>
      </c>
      <c r="S794" s="181">
        <f>(SUM(P793:P796)/(SUM(P793:Q796)))</f>
        <v>0.28658536585365851</v>
      </c>
      <c r="T794" s="65"/>
      <c r="Y794" s="89"/>
      <c r="Z794" s="357"/>
      <c r="AA794" s="120"/>
      <c r="AB794" s="120"/>
    </row>
    <row r="795" spans="1:29" s="62" customFormat="1">
      <c r="A795" s="88">
        <v>42929</v>
      </c>
      <c r="B795" s="60"/>
      <c r="C795" s="60"/>
      <c r="D795" s="61" t="s">
        <v>87</v>
      </c>
      <c r="F795" s="89">
        <v>100</v>
      </c>
      <c r="G795" s="89">
        <v>3</v>
      </c>
      <c r="H795" s="249">
        <v>220</v>
      </c>
      <c r="I795" s="62">
        <v>0</v>
      </c>
      <c r="J795" s="62">
        <v>0</v>
      </c>
      <c r="K795" s="62">
        <v>0</v>
      </c>
      <c r="L795" s="62">
        <v>0</v>
      </c>
      <c r="M795" s="62">
        <v>0</v>
      </c>
      <c r="N795" s="62">
        <v>0</v>
      </c>
      <c r="P795" s="120">
        <f t="shared" si="82"/>
        <v>0</v>
      </c>
      <c r="Q795" s="120">
        <f t="shared" si="81"/>
        <v>0</v>
      </c>
      <c r="R795" s="106" t="e">
        <f t="shared" si="77"/>
        <v>#DIV/0!</v>
      </c>
      <c r="S795" s="182"/>
      <c r="T795" s="65"/>
      <c r="Y795" s="89"/>
      <c r="Z795" s="357"/>
      <c r="AA795" s="120"/>
      <c r="AB795" s="120"/>
    </row>
    <row r="796" spans="1:29" s="62" customFormat="1">
      <c r="A796" s="88">
        <v>42929</v>
      </c>
      <c r="B796" s="60"/>
      <c r="C796" s="60"/>
      <c r="D796" s="61" t="s">
        <v>87</v>
      </c>
      <c r="F796" s="89" t="s">
        <v>203</v>
      </c>
      <c r="G796" s="89">
        <v>1</v>
      </c>
      <c r="H796" s="249">
        <v>260</v>
      </c>
      <c r="I796" s="62">
        <v>0</v>
      </c>
      <c r="J796" s="62">
        <v>1</v>
      </c>
      <c r="K796" s="62">
        <v>0</v>
      </c>
      <c r="L796" s="62">
        <v>4</v>
      </c>
      <c r="M796" s="62">
        <v>0</v>
      </c>
      <c r="N796" s="62">
        <v>1</v>
      </c>
      <c r="P796" s="120">
        <f t="shared" si="82"/>
        <v>0</v>
      </c>
      <c r="Q796" s="120">
        <f t="shared" si="81"/>
        <v>520</v>
      </c>
      <c r="R796" s="106">
        <f t="shared" si="77"/>
        <v>0</v>
      </c>
      <c r="S796" s="182"/>
      <c r="T796" s="65"/>
      <c r="Y796" s="89"/>
      <c r="Z796" s="357"/>
      <c r="AA796" s="120"/>
      <c r="AB796" s="120"/>
    </row>
    <row r="797" spans="1:29" s="62" customFormat="1">
      <c r="A797" s="88">
        <v>42929</v>
      </c>
      <c r="B797" s="60"/>
      <c r="C797" s="60"/>
      <c r="D797" s="62" t="s">
        <v>20</v>
      </c>
      <c r="F797" s="89">
        <v>224</v>
      </c>
      <c r="G797" s="89" t="s">
        <v>355</v>
      </c>
      <c r="H797" s="249"/>
      <c r="P797" s="120">
        <v>24</v>
      </c>
      <c r="Q797" s="120">
        <v>8</v>
      </c>
      <c r="R797" s="106">
        <f t="shared" si="77"/>
        <v>0.75</v>
      </c>
      <c r="S797" s="183" t="str">
        <f>D797</f>
        <v>K-10 Low</v>
      </c>
      <c r="Y797" s="89" t="str">
        <f>D797</f>
        <v>K-10 Low</v>
      </c>
      <c r="Z797" s="351">
        <f>SUMIFS($P$701:$P$764, $D$701:$D$764, Y797, $F$701:$F$764, "&lt;200") + SUMIFS($Q$701:$Q$764, $D$701:$D$764, Y797, $F$701:$F$764, "&lt;200")</f>
        <v>1466.6666666666665</v>
      </c>
      <c r="AA797" s="120">
        <f>SUM(P797:Q800)</f>
        <v>810.33333333333326</v>
      </c>
      <c r="AB797" s="120">
        <f>SUMIFS(Collection!O:O, Collection!B:B, "*" &amp; 'Bucket Counts'!Y797 &amp; "*", Collection!A:A, "&lt;" &amp; 'Bucket Counts'!A797,Collection!A:A,  "&gt;=" &amp; 'Bucket Counts'!$A$701)</f>
        <v>0</v>
      </c>
      <c r="AC797" s="106">
        <f>AA797/(Z797+AB797)</f>
        <v>0.55249999999999999</v>
      </c>
    </row>
    <row r="798" spans="1:29" s="62" customFormat="1">
      <c r="A798" s="88">
        <v>42929</v>
      </c>
      <c r="B798" s="60"/>
      <c r="C798" s="60"/>
      <c r="D798" s="62" t="s">
        <v>20</v>
      </c>
      <c r="F798" s="89">
        <v>180</v>
      </c>
      <c r="G798" s="89">
        <v>3</v>
      </c>
      <c r="H798" s="249">
        <v>240</v>
      </c>
      <c r="I798" s="62">
        <v>5</v>
      </c>
      <c r="J798" s="62">
        <v>1</v>
      </c>
      <c r="K798" s="62">
        <v>3</v>
      </c>
      <c r="L798" s="62">
        <v>0</v>
      </c>
      <c r="M798" s="62">
        <v>3</v>
      </c>
      <c r="N798" s="62">
        <v>0</v>
      </c>
      <c r="P798" s="120">
        <f t="shared" ref="P798:P805" si="83">(AVERAGE(I798,K798,M798)/G798)*H798</f>
        <v>293.33333333333331</v>
      </c>
      <c r="Q798" s="120">
        <f t="shared" ref="Q798:Q809" si="84">(AVERAGE(J798,L798,N798)/G798)*H798</f>
        <v>26.666666666666664</v>
      </c>
      <c r="R798" s="106">
        <f t="shared" si="77"/>
        <v>0.91666666666666663</v>
      </c>
      <c r="S798" s="181">
        <f>(SUM(P797:P800)/(SUM(P797:Q800)))</f>
        <v>0.49444672974084741</v>
      </c>
      <c r="Y798" s="89"/>
      <c r="Z798" s="357"/>
      <c r="AA798" s="120"/>
      <c r="AB798" s="120"/>
    </row>
    <row r="799" spans="1:29" s="62" customFormat="1">
      <c r="A799" s="88">
        <v>42929</v>
      </c>
      <c r="B799" s="60"/>
      <c r="C799" s="60"/>
      <c r="D799" s="62" t="s">
        <v>20</v>
      </c>
      <c r="F799" s="89">
        <v>100</v>
      </c>
      <c r="G799" s="89">
        <v>2</v>
      </c>
      <c r="H799" s="249">
        <v>250</v>
      </c>
      <c r="I799" s="62">
        <v>0</v>
      </c>
      <c r="J799" s="62">
        <v>1</v>
      </c>
      <c r="K799" s="62">
        <v>0</v>
      </c>
      <c r="L799" s="62">
        <v>0</v>
      </c>
      <c r="M799" s="62">
        <v>0</v>
      </c>
      <c r="N799" s="62">
        <v>1</v>
      </c>
      <c r="P799" s="120">
        <f t="shared" si="83"/>
        <v>0</v>
      </c>
      <c r="Q799" s="120">
        <f t="shared" si="84"/>
        <v>83.333333333333329</v>
      </c>
      <c r="R799" s="106">
        <f t="shared" si="77"/>
        <v>0</v>
      </c>
      <c r="S799" s="182"/>
      <c r="Y799" s="89"/>
      <c r="Z799" s="357"/>
      <c r="AA799" s="120"/>
      <c r="AB799" s="120"/>
    </row>
    <row r="800" spans="1:29" s="62" customFormat="1">
      <c r="A800" s="88">
        <v>42929</v>
      </c>
      <c r="B800" s="60"/>
      <c r="C800" s="60"/>
      <c r="D800" s="62" t="s">
        <v>20</v>
      </c>
      <c r="F800" s="89" t="s">
        <v>203</v>
      </c>
      <c r="G800" s="89">
        <v>2</v>
      </c>
      <c r="H800" s="62">
        <v>250</v>
      </c>
      <c r="I800" s="62">
        <v>2</v>
      </c>
      <c r="J800" s="62">
        <v>3</v>
      </c>
      <c r="K800" s="62">
        <v>0</v>
      </c>
      <c r="L800" s="62">
        <v>4</v>
      </c>
      <c r="M800" s="62">
        <v>0</v>
      </c>
      <c r="N800" s="62">
        <v>0</v>
      </c>
      <c r="P800" s="120">
        <f t="shared" si="83"/>
        <v>83.333333333333329</v>
      </c>
      <c r="Q800" s="120">
        <f t="shared" si="84"/>
        <v>291.66666666666669</v>
      </c>
      <c r="R800" s="106">
        <f t="shared" si="77"/>
        <v>0.22222222222222221</v>
      </c>
      <c r="S800" s="182"/>
      <c r="Y800" s="89"/>
      <c r="Z800" s="357"/>
      <c r="AA800" s="120"/>
      <c r="AB800" s="120"/>
    </row>
    <row r="801" spans="1:29" s="62" customFormat="1">
      <c r="A801" s="88">
        <v>42929</v>
      </c>
      <c r="B801" s="60"/>
      <c r="C801" s="60"/>
      <c r="D801" s="62" t="s">
        <v>84</v>
      </c>
      <c r="F801" s="89">
        <v>224</v>
      </c>
      <c r="G801" s="89" t="s">
        <v>355</v>
      </c>
      <c r="P801" s="120">
        <v>1</v>
      </c>
      <c r="Q801" s="120">
        <v>0</v>
      </c>
      <c r="R801" s="106">
        <f t="shared" si="77"/>
        <v>1</v>
      </c>
      <c r="S801" s="183" t="str">
        <f>D801</f>
        <v>NF-10 Ambient</v>
      </c>
      <c r="T801" s="65"/>
      <c r="U801" s="65"/>
      <c r="V801" s="65"/>
      <c r="Y801" s="89" t="str">
        <f>D801</f>
        <v>NF-10 Ambient</v>
      </c>
      <c r="Z801" s="351">
        <f>SUMIFS($P$701:$P$764, $D$701:$D$764, Y801, $F$701:$F$764, "&lt;200") + SUMIFS($Q$701:$Q$764, $D$701:$D$764, Y801, $F$701:$F$764, "&lt;200")</f>
        <v>391.11111111111109</v>
      </c>
      <c r="AA801" s="120">
        <f>SUM(P801:Q804)</f>
        <v>264</v>
      </c>
      <c r="AB801" s="120">
        <f>SUMIFS(Collection!O:O, Collection!B:B, "*" &amp; 'Bucket Counts'!Y801 &amp; "*", Collection!A:A, "&lt;" &amp; 'Bucket Counts'!A801,Collection!A:A,  "&gt;=" &amp; 'Bucket Counts'!$A$701)</f>
        <v>0</v>
      </c>
      <c r="AC801" s="106">
        <f>AA801/(Z801+AB801)</f>
        <v>0.67500000000000004</v>
      </c>
    </row>
    <row r="802" spans="1:29" s="62" customFormat="1">
      <c r="A802" s="88">
        <v>42929</v>
      </c>
      <c r="B802" s="60"/>
      <c r="C802" s="60"/>
      <c r="D802" s="62" t="s">
        <v>84</v>
      </c>
      <c r="F802" s="89">
        <v>180</v>
      </c>
      <c r="G802" s="89" t="s">
        <v>355</v>
      </c>
      <c r="P802" s="120">
        <v>45</v>
      </c>
      <c r="Q802" s="120">
        <v>18</v>
      </c>
      <c r="R802" s="106">
        <f t="shared" si="77"/>
        <v>0.7142857142857143</v>
      </c>
      <c r="S802" s="181">
        <f>(SUM(P801:P804)/(SUM(P801:Q804)))</f>
        <v>0.17424242424242425</v>
      </c>
      <c r="T802" s="65"/>
      <c r="U802" s="65"/>
      <c r="V802" s="65"/>
      <c r="Y802" s="89"/>
      <c r="Z802" s="357"/>
      <c r="AA802" s="120"/>
      <c r="AB802" s="120"/>
    </row>
    <row r="803" spans="1:29" s="62" customFormat="1">
      <c r="A803" s="88">
        <v>42929</v>
      </c>
      <c r="B803" s="60"/>
      <c r="C803" s="60"/>
      <c r="D803" s="62" t="s">
        <v>84</v>
      </c>
      <c r="F803" s="89">
        <v>100</v>
      </c>
      <c r="G803" s="89">
        <v>3</v>
      </c>
      <c r="H803" s="62">
        <v>230</v>
      </c>
      <c r="I803" s="62">
        <v>0</v>
      </c>
      <c r="J803" s="62">
        <v>0</v>
      </c>
      <c r="K803" s="62">
        <v>0</v>
      </c>
      <c r="L803" s="62">
        <v>0</v>
      </c>
      <c r="M803" s="62">
        <v>0</v>
      </c>
      <c r="N803" s="62">
        <v>0</v>
      </c>
      <c r="P803" s="120">
        <f t="shared" si="83"/>
        <v>0</v>
      </c>
      <c r="Q803" s="120">
        <f t="shared" si="84"/>
        <v>0</v>
      </c>
      <c r="R803" s="106" t="e">
        <f t="shared" si="77"/>
        <v>#DIV/0!</v>
      </c>
      <c r="S803" s="182"/>
      <c r="T803" s="65"/>
      <c r="U803" s="65"/>
      <c r="V803" s="65"/>
      <c r="Y803" s="89"/>
      <c r="Z803" s="357"/>
      <c r="AA803" s="120"/>
      <c r="AB803" s="120"/>
    </row>
    <row r="804" spans="1:29" s="62" customFormat="1">
      <c r="A804" s="88">
        <v>42929</v>
      </c>
      <c r="B804" s="60"/>
      <c r="C804" s="60"/>
      <c r="D804" s="62" t="s">
        <v>84</v>
      </c>
      <c r="F804" s="89" t="s">
        <v>203</v>
      </c>
      <c r="G804" s="89">
        <v>2</v>
      </c>
      <c r="H804" s="62">
        <v>240</v>
      </c>
      <c r="I804" s="62">
        <v>0</v>
      </c>
      <c r="J804" s="62">
        <v>1</v>
      </c>
      <c r="K804" s="62">
        <v>0</v>
      </c>
      <c r="L804" s="62">
        <v>3</v>
      </c>
      <c r="M804" s="62">
        <v>0</v>
      </c>
      <c r="N804" s="62">
        <v>1</v>
      </c>
      <c r="P804" s="120">
        <f t="shared" si="83"/>
        <v>0</v>
      </c>
      <c r="Q804" s="120">
        <f t="shared" si="84"/>
        <v>200</v>
      </c>
      <c r="R804" s="106">
        <f t="shared" ref="R804:R867" si="85">P804/(P804+Q804)</f>
        <v>0</v>
      </c>
      <c r="S804" s="182"/>
      <c r="T804" s="65"/>
      <c r="U804" s="65"/>
      <c r="V804" s="65"/>
      <c r="Y804" s="89"/>
      <c r="Z804" s="357"/>
      <c r="AA804" s="120"/>
      <c r="AB804" s="120"/>
    </row>
    <row r="805" spans="1:29" s="62" customFormat="1">
      <c r="A805" s="88">
        <v>42929</v>
      </c>
      <c r="B805" s="60"/>
      <c r="C805" s="60"/>
      <c r="D805" s="62" t="s">
        <v>17</v>
      </c>
      <c r="F805" s="89">
        <v>224</v>
      </c>
      <c r="G805" s="89">
        <v>3</v>
      </c>
      <c r="H805" s="62">
        <v>225</v>
      </c>
      <c r="I805" s="62">
        <v>1</v>
      </c>
      <c r="J805" s="62">
        <v>0</v>
      </c>
      <c r="K805" s="62">
        <v>0</v>
      </c>
      <c r="L805" s="62">
        <v>1</v>
      </c>
      <c r="M805" s="62">
        <v>0</v>
      </c>
      <c r="N805" s="62">
        <v>1</v>
      </c>
      <c r="P805" s="120">
        <f t="shared" si="83"/>
        <v>25</v>
      </c>
      <c r="Q805" s="120">
        <f t="shared" si="84"/>
        <v>50</v>
      </c>
      <c r="R805" s="106">
        <f t="shared" si="85"/>
        <v>0.33333333333333331</v>
      </c>
      <c r="S805" s="183" t="str">
        <f>D805</f>
        <v>K-10 Ambient</v>
      </c>
      <c r="T805" s="65"/>
      <c r="U805" s="65"/>
      <c r="V805" s="65"/>
      <c r="Y805" s="89" t="str">
        <f>D805</f>
        <v>K-10 Ambient</v>
      </c>
      <c r="Z805" s="351">
        <f>SUMIFS($P$701:$P$764, $D$701:$D$764, Y805, $F$701:$F$764, "&lt;200") + SUMIFS($Q$701:$Q$764, $D$701:$D$764, Y805, $F$701:$F$764, "&lt;200")</f>
        <v>1894.4444444444443</v>
      </c>
      <c r="AA805" s="120">
        <f>SUM(P805:Q808)</f>
        <v>581.66666666666674</v>
      </c>
      <c r="AB805" s="120">
        <f>SUMIFS(Collection!O:O, Collection!B:B, "*" &amp; 'Bucket Counts'!Y805 &amp; "*", Collection!A:A, "&lt;" &amp; 'Bucket Counts'!A805,Collection!A:A,  "&gt;=" &amp; 'Bucket Counts'!$A$701)</f>
        <v>0</v>
      </c>
      <c r="AC805" s="106">
        <f>AA805/(Z805+AB805)</f>
        <v>0.30703812316715551</v>
      </c>
    </row>
    <row r="806" spans="1:29" s="62" customFormat="1">
      <c r="A806" s="88">
        <v>42929</v>
      </c>
      <c r="B806" s="60"/>
      <c r="C806" s="60"/>
      <c r="D806" s="62" t="s">
        <v>17</v>
      </c>
      <c r="F806" s="89">
        <v>180</v>
      </c>
      <c r="G806" s="89">
        <v>3</v>
      </c>
      <c r="H806" s="62">
        <v>240</v>
      </c>
      <c r="I806" s="62">
        <v>3</v>
      </c>
      <c r="J806" s="62">
        <v>2</v>
      </c>
      <c r="K806" s="62">
        <v>7</v>
      </c>
      <c r="L806" s="62">
        <v>2</v>
      </c>
      <c r="M806" s="62">
        <v>3</v>
      </c>
      <c r="N806" s="62">
        <v>0</v>
      </c>
      <c r="P806" s="120">
        <f>(AVERAGE(I806,K806,M806)/G806)*H806</f>
        <v>346.66666666666669</v>
      </c>
      <c r="Q806" s="120">
        <f t="shared" si="84"/>
        <v>106.66666666666666</v>
      </c>
      <c r="R806" s="106">
        <f t="shared" si="85"/>
        <v>0.76470588235294112</v>
      </c>
      <c r="S806" s="181">
        <f>(SUM(P805:P808)/(SUM(P805:Q808)))</f>
        <v>0.63896848137535811</v>
      </c>
      <c r="T806" s="65"/>
      <c r="U806" s="65"/>
      <c r="V806" s="65"/>
      <c r="Y806" s="89"/>
      <c r="Z806" s="357"/>
      <c r="AA806" s="120"/>
      <c r="AB806" s="120"/>
    </row>
    <row r="807" spans="1:29" s="62" customFormat="1">
      <c r="A807" s="88">
        <v>42929</v>
      </c>
      <c r="B807" s="60"/>
      <c r="C807" s="60"/>
      <c r="D807" s="62" t="s">
        <v>17</v>
      </c>
      <c r="F807" s="89">
        <v>100</v>
      </c>
      <c r="G807" s="89">
        <v>3</v>
      </c>
      <c r="H807" s="62">
        <v>240</v>
      </c>
      <c r="I807" s="62">
        <v>0</v>
      </c>
      <c r="J807" s="62">
        <v>0</v>
      </c>
      <c r="K807" s="62">
        <v>0</v>
      </c>
      <c r="L807" s="62">
        <v>1</v>
      </c>
      <c r="M807" s="62">
        <v>0</v>
      </c>
      <c r="N807" s="62">
        <v>1</v>
      </c>
      <c r="P807" s="120">
        <f t="shared" ref="P807" si="86">(AVERAGE(I807,K807,M807)/G807)*H807</f>
        <v>0</v>
      </c>
      <c r="Q807" s="120">
        <f t="shared" si="84"/>
        <v>53.333333333333329</v>
      </c>
      <c r="R807" s="106">
        <f t="shared" si="85"/>
        <v>0</v>
      </c>
      <c r="S807" s="182"/>
      <c r="T807" s="65"/>
      <c r="U807" s="65"/>
      <c r="V807" s="65"/>
      <c r="Y807" s="89"/>
      <c r="Z807" s="357"/>
      <c r="AA807" s="120"/>
      <c r="AB807" s="120"/>
    </row>
    <row r="808" spans="1:29" s="62" customFormat="1">
      <c r="A808" s="88">
        <v>42929</v>
      </c>
      <c r="B808" s="60"/>
      <c r="C808" s="60"/>
      <c r="D808" s="62" t="s">
        <v>17</v>
      </c>
      <c r="F808" s="89" t="s">
        <v>203</v>
      </c>
      <c r="G808" s="89"/>
      <c r="P808" s="120">
        <v>0</v>
      </c>
      <c r="Q808" s="120">
        <v>0</v>
      </c>
      <c r="R808" s="106" t="e">
        <f t="shared" si="85"/>
        <v>#DIV/0!</v>
      </c>
      <c r="S808" s="182"/>
      <c r="T808" s="65"/>
      <c r="U808" s="65"/>
      <c r="V808" s="65"/>
      <c r="Y808" s="89"/>
      <c r="Z808" s="357"/>
      <c r="AA808" s="120"/>
      <c r="AB808" s="120"/>
    </row>
    <row r="809" spans="1:29" s="62" customFormat="1">
      <c r="A809" s="88">
        <v>42929</v>
      </c>
      <c r="B809" s="60"/>
      <c r="C809" s="60"/>
      <c r="D809" s="62" t="s">
        <v>88</v>
      </c>
      <c r="F809" s="89">
        <v>224</v>
      </c>
      <c r="G809" s="89">
        <v>2</v>
      </c>
      <c r="H809" s="62">
        <v>225</v>
      </c>
      <c r="I809" s="62">
        <v>0</v>
      </c>
      <c r="J809" s="62">
        <v>0</v>
      </c>
      <c r="K809" s="62">
        <v>1</v>
      </c>
      <c r="L809" s="62">
        <v>0</v>
      </c>
      <c r="M809" s="62">
        <v>1</v>
      </c>
      <c r="N809" s="62">
        <v>0</v>
      </c>
      <c r="P809" s="120">
        <f t="shared" ref="P809" si="87">(AVERAGE(I809,K809,M809)/G809)*H809</f>
        <v>75</v>
      </c>
      <c r="Q809" s="120">
        <f t="shared" si="84"/>
        <v>0</v>
      </c>
      <c r="R809" s="106">
        <f t="shared" si="85"/>
        <v>1</v>
      </c>
      <c r="S809" s="183" t="str">
        <f>D809</f>
        <v>HL-10 Ambient</v>
      </c>
      <c r="T809" s="65"/>
      <c r="U809" s="65"/>
      <c r="V809" s="65"/>
      <c r="Y809" s="89" t="str">
        <f>D809</f>
        <v>HL-10 Ambient</v>
      </c>
      <c r="Z809" s="351">
        <f>SUMIFS($P$701:$P$764, $D$701:$D$764, Y809, $F$701:$F$764, "&lt;200") + SUMIFS($Q$701:$Q$764, $D$701:$D$764, Y809, $F$701:$F$764, "&lt;200")</f>
        <v>51333.333333333328</v>
      </c>
      <c r="AA809" s="120">
        <f>SUM(P809:Q812)</f>
        <v>27376.666666666664</v>
      </c>
      <c r="AB809" s="120">
        <f>SUMIFS(Collection!O:O, Collection!B:B, "*" &amp; 'Bucket Counts'!Y809 &amp; "*", Collection!A:A, "&lt;" &amp; 'Bucket Counts'!A809,Collection!A:A,  "&gt;=" &amp; 'Bucket Counts'!$A$701)</f>
        <v>0</v>
      </c>
      <c r="AC809" s="106">
        <f>AA809/(Z809+AB809)</f>
        <v>0.53331168831168829</v>
      </c>
    </row>
    <row r="810" spans="1:29" s="62" customFormat="1">
      <c r="A810" s="88">
        <v>42929</v>
      </c>
      <c r="B810" s="60"/>
      <c r="C810" s="60"/>
      <c r="D810" s="62" t="s">
        <v>88</v>
      </c>
      <c r="F810" s="89">
        <v>180</v>
      </c>
      <c r="G810" s="89">
        <v>1</v>
      </c>
      <c r="H810" s="62">
        <v>240</v>
      </c>
      <c r="I810" s="62">
        <v>12</v>
      </c>
      <c r="J810" s="62">
        <v>0</v>
      </c>
      <c r="K810" s="62">
        <v>18</v>
      </c>
      <c r="L810" s="62">
        <v>0</v>
      </c>
      <c r="M810" s="62">
        <v>18</v>
      </c>
      <c r="N810" s="62">
        <v>0</v>
      </c>
      <c r="P810" s="120">
        <f t="shared" ref="P810:P813" si="88">(AVERAGE(I810,K810,M810)/G810)*H810</f>
        <v>3840</v>
      </c>
      <c r="Q810" s="120">
        <f t="shared" ref="Q810:Q813" si="89">(AVERAGE(J810,L810,N810)/G810)*H810</f>
        <v>0</v>
      </c>
      <c r="R810" s="106">
        <f t="shared" si="85"/>
        <v>1</v>
      </c>
      <c r="S810" s="181">
        <f>(SUM(P809:P812)/(SUM(P809:Q812)))</f>
        <v>0.6038597345671497</v>
      </c>
      <c r="T810" s="65"/>
      <c r="U810" s="65"/>
      <c r="V810" s="65"/>
      <c r="Y810" s="89"/>
      <c r="Z810" s="357"/>
      <c r="AA810" s="120"/>
      <c r="AB810" s="120"/>
    </row>
    <row r="811" spans="1:29" s="62" customFormat="1">
      <c r="A811" s="88">
        <v>42929</v>
      </c>
      <c r="B811" s="60"/>
      <c r="C811" s="60"/>
      <c r="D811" s="62" t="s">
        <v>88</v>
      </c>
      <c r="F811" s="89">
        <v>100</v>
      </c>
      <c r="G811" s="89">
        <v>1</v>
      </c>
      <c r="H811" s="62">
        <v>475</v>
      </c>
      <c r="I811" s="62">
        <v>26</v>
      </c>
      <c r="J811" s="62">
        <v>2</v>
      </c>
      <c r="K811" s="62">
        <v>15</v>
      </c>
      <c r="L811" s="62">
        <v>2</v>
      </c>
      <c r="M811" s="62">
        <v>25</v>
      </c>
      <c r="N811" s="62">
        <v>1</v>
      </c>
      <c r="P811" s="120">
        <f t="shared" si="88"/>
        <v>10450</v>
      </c>
      <c r="Q811" s="120">
        <f t="shared" si="89"/>
        <v>791.66666666666674</v>
      </c>
      <c r="R811" s="106">
        <f t="shared" si="85"/>
        <v>0.92957746478873249</v>
      </c>
      <c r="S811" s="182"/>
      <c r="T811" s="65"/>
      <c r="U811" s="65"/>
      <c r="V811" s="65"/>
      <c r="Y811" s="89"/>
      <c r="Z811" s="357"/>
      <c r="AA811" s="120"/>
      <c r="AB811" s="120"/>
    </row>
    <row r="812" spans="1:29" s="62" customFormat="1">
      <c r="A812" s="88">
        <v>42929</v>
      </c>
      <c r="B812" s="60"/>
      <c r="C812" s="60"/>
      <c r="D812" s="62" t="s">
        <v>88</v>
      </c>
      <c r="F812" s="89" t="s">
        <v>203</v>
      </c>
      <c r="G812" s="89">
        <v>1</v>
      </c>
      <c r="H812" s="62">
        <v>260</v>
      </c>
      <c r="I812" s="62">
        <v>10</v>
      </c>
      <c r="J812" s="62">
        <v>33</v>
      </c>
      <c r="K812" s="62">
        <v>5</v>
      </c>
      <c r="L812" s="62">
        <v>33</v>
      </c>
      <c r="M812" s="62">
        <v>10</v>
      </c>
      <c r="N812" s="62">
        <v>50</v>
      </c>
      <c r="P812" s="120">
        <f t="shared" si="88"/>
        <v>2166.666666666667</v>
      </c>
      <c r="Q812" s="120">
        <f t="shared" si="89"/>
        <v>10053.333333333332</v>
      </c>
      <c r="R812" s="106">
        <f t="shared" si="85"/>
        <v>0.17730496453900713</v>
      </c>
      <c r="S812" s="182"/>
      <c r="T812" s="65"/>
      <c r="U812" s="65"/>
      <c r="V812" s="65"/>
      <c r="Y812" s="89"/>
      <c r="Z812" s="357"/>
      <c r="AA812" s="120"/>
      <c r="AB812" s="120"/>
    </row>
    <row r="813" spans="1:29" s="62" customFormat="1">
      <c r="A813" s="88">
        <v>42929</v>
      </c>
      <c r="B813" s="60"/>
      <c r="C813" s="60"/>
      <c r="D813" s="62" t="s">
        <v>46</v>
      </c>
      <c r="F813" s="89">
        <v>224</v>
      </c>
      <c r="G813" s="89">
        <v>3</v>
      </c>
      <c r="H813" s="62">
        <v>250</v>
      </c>
      <c r="I813" s="62">
        <v>0</v>
      </c>
      <c r="J813" s="62">
        <v>0</v>
      </c>
      <c r="K813" s="62">
        <v>0</v>
      </c>
      <c r="L813" s="62">
        <v>1</v>
      </c>
      <c r="M813" s="62">
        <v>1</v>
      </c>
      <c r="N813" s="62">
        <v>1</v>
      </c>
      <c r="P813" s="120">
        <f t="shared" si="88"/>
        <v>27.777777777777775</v>
      </c>
      <c r="Q813" s="120">
        <f t="shared" si="89"/>
        <v>55.55555555555555</v>
      </c>
      <c r="R813" s="106">
        <f t="shared" si="85"/>
        <v>0.33333333333333331</v>
      </c>
      <c r="S813" s="183" t="str">
        <f>D813</f>
        <v>K-6 Low</v>
      </c>
      <c r="T813" s="65"/>
      <c r="U813" s="65"/>
      <c r="V813" s="65"/>
      <c r="Y813" s="89" t="str">
        <f>D813</f>
        <v>K-6 Low</v>
      </c>
      <c r="Z813" s="351">
        <f>SUMIFS($P$701:$P$764, $D$701:$D$764, Y813, $F$701:$F$764, "&lt;200") + SUMIFS($Q$701:$Q$764, $D$701:$D$764, Y813, $F$701:$F$764, "&lt;200")</f>
        <v>3800.8333333333335</v>
      </c>
      <c r="AA813" s="120">
        <f>SUM(P813:Q816)</f>
        <v>4148.3333333333339</v>
      </c>
      <c r="AB813" s="120">
        <f>SUMIFS(Collection!O:O, Collection!B:B, "*" &amp; 'Bucket Counts'!Y813 &amp; "*", Collection!A:A, "&lt;" &amp; 'Bucket Counts'!A813,Collection!A:A,  "&gt;=" &amp; 'Bucket Counts'!$A$701)</f>
        <v>0</v>
      </c>
      <c r="AC813" s="106">
        <f>AA813/(Z813+AB813)</f>
        <v>1.091427318570489</v>
      </c>
    </row>
    <row r="814" spans="1:29" s="62" customFormat="1">
      <c r="A814" s="88">
        <v>42929</v>
      </c>
      <c r="B814" s="60"/>
      <c r="C814" s="60"/>
      <c r="D814" s="62" t="s">
        <v>46</v>
      </c>
      <c r="F814" s="89">
        <v>180</v>
      </c>
      <c r="G814" s="89">
        <v>3</v>
      </c>
      <c r="H814" s="62">
        <v>240</v>
      </c>
      <c r="I814" s="62">
        <v>4</v>
      </c>
      <c r="J814" s="62">
        <v>9</v>
      </c>
      <c r="K814" s="62">
        <v>0</v>
      </c>
      <c r="L814" s="62">
        <v>3</v>
      </c>
      <c r="M814" s="62">
        <v>8</v>
      </c>
      <c r="N814" s="62">
        <v>5</v>
      </c>
      <c r="P814" s="120">
        <f t="shared" ref="P814:P821" si="90">(AVERAGE(I814,K814,M814)/G814)*H814</f>
        <v>320</v>
      </c>
      <c r="Q814" s="120">
        <f t="shared" ref="Q814:Q821" si="91">(AVERAGE(J814,L814,N814)/G814)*H814</f>
        <v>453.33333333333337</v>
      </c>
      <c r="R814" s="106">
        <f t="shared" si="85"/>
        <v>0.41379310344827586</v>
      </c>
      <c r="S814" s="181">
        <f>(SUM(P813:P816)/(SUM(P813:Q816)))</f>
        <v>9.6692111959287508E-2</v>
      </c>
      <c r="T814" s="65"/>
      <c r="U814" s="65"/>
      <c r="V814" s="65"/>
      <c r="Y814" s="89"/>
      <c r="Z814" s="357"/>
      <c r="AA814" s="120"/>
      <c r="AB814" s="120"/>
    </row>
    <row r="815" spans="1:29" s="62" customFormat="1">
      <c r="A815" s="88">
        <v>42929</v>
      </c>
      <c r="B815" s="60"/>
      <c r="C815" s="60"/>
      <c r="D815" s="62" t="s">
        <v>46</v>
      </c>
      <c r="F815" s="89">
        <v>100</v>
      </c>
      <c r="G815" s="89">
        <v>3</v>
      </c>
      <c r="H815" s="62">
        <v>240</v>
      </c>
      <c r="I815" s="62">
        <v>0</v>
      </c>
      <c r="J815" s="62">
        <v>5</v>
      </c>
      <c r="K815" s="62">
        <v>2</v>
      </c>
      <c r="L815" s="62">
        <v>3</v>
      </c>
      <c r="M815" s="62">
        <v>0</v>
      </c>
      <c r="N815" s="62">
        <v>0</v>
      </c>
      <c r="P815" s="120">
        <f t="shared" si="90"/>
        <v>53.333333333333329</v>
      </c>
      <c r="Q815" s="120">
        <f t="shared" si="91"/>
        <v>213.33333333333331</v>
      </c>
      <c r="R815" s="106">
        <f t="shared" si="85"/>
        <v>0.2</v>
      </c>
      <c r="S815" s="182"/>
      <c r="T815" s="65"/>
      <c r="U815" s="65"/>
      <c r="V815" s="65"/>
      <c r="Y815" s="89"/>
      <c r="Z815" s="357"/>
      <c r="AA815" s="120"/>
      <c r="AB815" s="120"/>
    </row>
    <row r="816" spans="1:29" s="62" customFormat="1">
      <c r="A816" s="88">
        <v>42929</v>
      </c>
      <c r="B816" s="60"/>
      <c r="C816" s="60"/>
      <c r="D816" s="62" t="s">
        <v>46</v>
      </c>
      <c r="F816" s="89" t="s">
        <v>203</v>
      </c>
      <c r="G816" s="89">
        <v>2</v>
      </c>
      <c r="H816" s="62">
        <v>275</v>
      </c>
      <c r="I816" s="62">
        <v>0</v>
      </c>
      <c r="J816" s="62">
        <v>30</v>
      </c>
      <c r="K816" s="62">
        <v>0</v>
      </c>
      <c r="L816" s="62">
        <v>19</v>
      </c>
      <c r="M816" s="62">
        <v>0</v>
      </c>
      <c r="N816" s="62">
        <v>17</v>
      </c>
      <c r="P816" s="120">
        <f t="shared" si="90"/>
        <v>0</v>
      </c>
      <c r="Q816" s="120">
        <f t="shared" si="91"/>
        <v>3025</v>
      </c>
      <c r="R816" s="106">
        <f t="shared" si="85"/>
        <v>0</v>
      </c>
      <c r="S816" s="182"/>
      <c r="T816" s="65"/>
      <c r="U816" s="65"/>
      <c r="V816" s="65"/>
      <c r="Y816" s="89"/>
      <c r="Z816" s="357"/>
      <c r="AA816" s="120"/>
      <c r="AB816" s="120"/>
    </row>
    <row r="817" spans="1:29" s="62" customFormat="1">
      <c r="A817" s="88">
        <v>42929</v>
      </c>
      <c r="B817" s="60"/>
      <c r="C817" s="60"/>
      <c r="D817" s="62" t="s">
        <v>109</v>
      </c>
      <c r="F817" s="89">
        <v>224</v>
      </c>
      <c r="G817" s="89">
        <v>3</v>
      </c>
      <c r="H817" s="62">
        <v>250</v>
      </c>
      <c r="I817" s="62">
        <v>4</v>
      </c>
      <c r="J817" s="62">
        <v>0</v>
      </c>
      <c r="K817" s="62">
        <v>6</v>
      </c>
      <c r="L817" s="62">
        <v>0</v>
      </c>
      <c r="M817" s="62">
        <v>2</v>
      </c>
      <c r="N817" s="62">
        <v>1</v>
      </c>
      <c r="P817" s="120">
        <f t="shared" si="90"/>
        <v>333.33333333333331</v>
      </c>
      <c r="Q817" s="120">
        <f t="shared" si="91"/>
        <v>27.777777777777775</v>
      </c>
      <c r="R817" s="106">
        <f t="shared" si="85"/>
        <v>0.92307692307692313</v>
      </c>
      <c r="S817" s="183" t="str">
        <f>D817</f>
        <v>HL-10 Low</v>
      </c>
      <c r="T817" s="65"/>
      <c r="U817" s="65"/>
      <c r="V817" s="65"/>
      <c r="Y817" s="89" t="str">
        <f>D817</f>
        <v>HL-10 Low</v>
      </c>
      <c r="Z817" s="351">
        <f>SUMIFS($P$701:$P$764, $D$701:$D$764, Y817, $F$701:$F$764, "&lt;200") + SUMIFS($Q$701:$Q$764, $D$701:$D$764, Y817, $F$701:$F$764, "&lt;200")</f>
        <v>20760.000000000004</v>
      </c>
      <c r="AA817" s="120">
        <f>SUM(P817:Q820)</f>
        <v>12797.777777777779</v>
      </c>
      <c r="AB817" s="120">
        <f>SUMIFS(Collection!O:O, Collection!B:B, "*" &amp; 'Bucket Counts'!Y817 &amp; "*", Collection!A:A, "&lt;" &amp; 'Bucket Counts'!A817,Collection!A:A,  "&gt;=" &amp; 'Bucket Counts'!$A$701)</f>
        <v>0</v>
      </c>
      <c r="AC817" s="106">
        <f>AA817/(Z817+AB817)</f>
        <v>0.61646328409334183</v>
      </c>
    </row>
    <row r="818" spans="1:29" s="62" customFormat="1">
      <c r="A818" s="88">
        <v>42929</v>
      </c>
      <c r="B818" s="60"/>
      <c r="C818" s="60"/>
      <c r="D818" s="62" t="s">
        <v>109</v>
      </c>
      <c r="F818" s="89">
        <v>180</v>
      </c>
      <c r="G818" s="89">
        <v>1</v>
      </c>
      <c r="H818" s="62">
        <v>500</v>
      </c>
      <c r="I818" s="62">
        <v>13</v>
      </c>
      <c r="J818" s="62">
        <v>0</v>
      </c>
      <c r="K818" s="62">
        <v>17</v>
      </c>
      <c r="L818" s="62">
        <v>0</v>
      </c>
      <c r="M818" s="62">
        <v>20</v>
      </c>
      <c r="N818" s="62">
        <v>0</v>
      </c>
      <c r="P818" s="120">
        <f t="shared" si="90"/>
        <v>8333.3333333333339</v>
      </c>
      <c r="Q818" s="120">
        <f t="shared" si="91"/>
        <v>0</v>
      </c>
      <c r="R818" s="106">
        <f t="shared" si="85"/>
        <v>1</v>
      </c>
      <c r="S818" s="181">
        <f>(SUM(P817:P820)/(SUM(P817:Q820)))</f>
        <v>0.85171036638305264</v>
      </c>
      <c r="T818" s="65"/>
      <c r="U818" s="65"/>
      <c r="V818" s="65"/>
      <c r="Y818" s="89"/>
      <c r="Z818" s="357"/>
      <c r="AA818" s="120"/>
      <c r="AB818" s="120"/>
    </row>
    <row r="819" spans="1:29" s="62" customFormat="1">
      <c r="A819" s="88">
        <v>42929</v>
      </c>
      <c r="B819" s="60"/>
      <c r="C819" s="60"/>
      <c r="D819" s="62" t="s">
        <v>109</v>
      </c>
      <c r="F819" s="89">
        <v>100</v>
      </c>
      <c r="G819" s="89">
        <v>2</v>
      </c>
      <c r="H819" s="62">
        <v>300</v>
      </c>
      <c r="I819" s="62">
        <v>17</v>
      </c>
      <c r="J819" s="62">
        <v>1</v>
      </c>
      <c r="K819" s="62">
        <v>9</v>
      </c>
      <c r="L819" s="62">
        <v>6</v>
      </c>
      <c r="M819" s="62">
        <v>8</v>
      </c>
      <c r="N819" s="62">
        <v>8</v>
      </c>
      <c r="P819" s="120">
        <f t="shared" si="90"/>
        <v>1700</v>
      </c>
      <c r="Q819" s="120">
        <f t="shared" si="91"/>
        <v>750</v>
      </c>
      <c r="R819" s="106">
        <f t="shared" si="85"/>
        <v>0.69387755102040816</v>
      </c>
      <c r="S819" s="182"/>
      <c r="T819" s="65"/>
      <c r="U819" s="65"/>
      <c r="V819" s="65"/>
      <c r="Y819" s="89"/>
      <c r="Z819" s="357"/>
      <c r="AA819" s="120"/>
      <c r="AB819" s="120"/>
    </row>
    <row r="820" spans="1:29" s="62" customFormat="1" ht="16" thickBot="1">
      <c r="A820" s="88">
        <v>42929</v>
      </c>
      <c r="B820" s="60"/>
      <c r="C820" s="60"/>
      <c r="D820" s="62" t="s">
        <v>109</v>
      </c>
      <c r="F820" s="89" t="s">
        <v>203</v>
      </c>
      <c r="G820" s="89">
        <v>2</v>
      </c>
      <c r="H820" s="62">
        <v>320</v>
      </c>
      <c r="I820" s="62">
        <v>1</v>
      </c>
      <c r="J820" s="62">
        <v>11</v>
      </c>
      <c r="K820" s="62">
        <v>2</v>
      </c>
      <c r="L820" s="62">
        <v>5</v>
      </c>
      <c r="M820" s="62">
        <v>7</v>
      </c>
      <c r="N820" s="62">
        <v>5</v>
      </c>
      <c r="P820" s="120">
        <f t="shared" si="90"/>
        <v>533.33333333333337</v>
      </c>
      <c r="Q820" s="120">
        <f t="shared" si="91"/>
        <v>1120</v>
      </c>
      <c r="R820" s="106">
        <f t="shared" si="85"/>
        <v>0.32258064516129031</v>
      </c>
      <c r="S820" s="182"/>
      <c r="T820" s="65"/>
      <c r="U820" s="65"/>
      <c r="V820" s="65"/>
      <c r="Y820" s="89"/>
      <c r="Z820" s="357"/>
      <c r="AA820" s="120"/>
      <c r="AB820" s="120"/>
    </row>
    <row r="821" spans="1:29" s="263" customFormat="1">
      <c r="A821" s="72">
        <v>42933</v>
      </c>
      <c r="B821" s="262"/>
      <c r="C821" s="262"/>
      <c r="D821" s="74" t="s">
        <v>105</v>
      </c>
      <c r="E821" s="146"/>
      <c r="F821" s="264">
        <v>224</v>
      </c>
      <c r="G821" s="86">
        <v>3</v>
      </c>
      <c r="H821" s="263">
        <v>250</v>
      </c>
      <c r="I821" s="80">
        <v>0</v>
      </c>
      <c r="J821" s="80">
        <v>0</v>
      </c>
      <c r="K821" s="80">
        <v>2</v>
      </c>
      <c r="L821" s="80">
        <v>0</v>
      </c>
      <c r="M821" s="87">
        <v>2</v>
      </c>
      <c r="N821" s="80">
        <v>0</v>
      </c>
      <c r="P821" s="124">
        <f t="shared" si="90"/>
        <v>111.1111111111111</v>
      </c>
      <c r="Q821" s="124">
        <f t="shared" si="91"/>
        <v>0</v>
      </c>
      <c r="R821" s="266">
        <f t="shared" si="85"/>
        <v>1</v>
      </c>
      <c r="S821" s="267" t="str">
        <f>D821</f>
        <v>NF-6 Low</v>
      </c>
      <c r="T821" s="268"/>
      <c r="U821" s="268"/>
      <c r="V821" s="268"/>
      <c r="Y821" s="87" t="str">
        <f>D821</f>
        <v>NF-6 Low</v>
      </c>
      <c r="Z821" s="352">
        <f>SUMIFS($P$765:$P$820, $D$765:$D$820, Y821, $F$765:$F$820, "&lt;200") + SUMIFS($Q$765:$Q$820, $D$765:$D$820, Y821, $F$765:$F$820, "&lt;200")</f>
        <v>2274.4444444444443</v>
      </c>
      <c r="AA821" s="124">
        <f>SUM(P821:Q824)</f>
        <v>1161.1111111111113</v>
      </c>
      <c r="AB821" s="124">
        <f>SUMIFS(Collection!O:O, Collection!B:B, "*" &amp; 'Bucket Counts'!Y821 &amp; "*", Collection!A:A, "&lt;" &amp; 'Bucket Counts'!A821,Collection!A:A,  "&gt;=" &amp; 'Bucket Counts'!$A$765)</f>
        <v>0</v>
      </c>
      <c r="AC821" s="161">
        <f>AA821/(Z821+AB821)</f>
        <v>0.5105031753786029</v>
      </c>
    </row>
    <row r="822" spans="1:29" s="80" customFormat="1">
      <c r="A822" s="77">
        <v>42933</v>
      </c>
      <c r="B822" s="78"/>
      <c r="C822" s="78"/>
      <c r="D822" s="79" t="s">
        <v>105</v>
      </c>
      <c r="E822" s="146"/>
      <c r="F822" s="87">
        <v>180</v>
      </c>
      <c r="G822" s="87">
        <v>2</v>
      </c>
      <c r="H822" s="80">
        <v>325</v>
      </c>
      <c r="I822" s="157">
        <v>2</v>
      </c>
      <c r="J822" s="157">
        <v>1</v>
      </c>
      <c r="K822" s="157">
        <v>1</v>
      </c>
      <c r="L822" s="157">
        <v>0</v>
      </c>
      <c r="M822" s="157">
        <v>4</v>
      </c>
      <c r="N822" s="157">
        <v>0</v>
      </c>
      <c r="P822" s="303">
        <f t="shared" ref="P822:P828" si="92">(AVERAGE(I822,K822,M822)/G822)*H822</f>
        <v>379.16666666666669</v>
      </c>
      <c r="Q822" s="124">
        <f t="shared" ref="Q822:Q828" si="93">(AVERAGE(J822,L822,N822)/G822)*H822</f>
        <v>54.166666666666664</v>
      </c>
      <c r="R822" s="161">
        <f t="shared" si="85"/>
        <v>0.875</v>
      </c>
      <c r="S822" s="185">
        <f>(SUM(P821:P824)/(SUM(P821:Q824)))</f>
        <v>0.4222488038277511</v>
      </c>
      <c r="T822" s="81"/>
      <c r="U822" s="81"/>
      <c r="V822" s="81"/>
      <c r="W822" s="302"/>
      <c r="Y822" s="87"/>
      <c r="Z822" s="361"/>
      <c r="AA822" s="124"/>
      <c r="AB822" s="124"/>
    </row>
    <row r="823" spans="1:29" s="157" customFormat="1">
      <c r="A823" s="77">
        <v>42933</v>
      </c>
      <c r="B823" s="156"/>
      <c r="C823" s="156"/>
      <c r="D823" s="79" t="s">
        <v>105</v>
      </c>
      <c r="E823" s="146"/>
      <c r="F823" s="158">
        <v>100</v>
      </c>
      <c r="G823" s="87">
        <v>3</v>
      </c>
      <c r="H823" s="157">
        <v>300</v>
      </c>
      <c r="I823" s="157">
        <v>0</v>
      </c>
      <c r="J823" s="157">
        <v>1</v>
      </c>
      <c r="K823" s="157">
        <v>0</v>
      </c>
      <c r="L823" s="157">
        <v>0</v>
      </c>
      <c r="M823" s="157">
        <v>0</v>
      </c>
      <c r="N823" s="157">
        <v>0</v>
      </c>
      <c r="P823" s="124">
        <f t="shared" si="92"/>
        <v>0</v>
      </c>
      <c r="Q823" s="124">
        <f t="shared" si="93"/>
        <v>33.333333333333329</v>
      </c>
      <c r="R823" s="162">
        <f t="shared" si="85"/>
        <v>0</v>
      </c>
      <c r="S823" s="187"/>
      <c r="T823" s="269"/>
      <c r="U823" s="269"/>
      <c r="V823" s="269"/>
      <c r="W823" s="302"/>
      <c r="Y823" s="158"/>
      <c r="Z823" s="362"/>
      <c r="AA823" s="159"/>
      <c r="AB823" s="159"/>
    </row>
    <row r="824" spans="1:29" s="80" customFormat="1">
      <c r="A824" s="77">
        <v>42933</v>
      </c>
      <c r="B824" s="78"/>
      <c r="C824" s="78"/>
      <c r="D824" s="79" t="s">
        <v>105</v>
      </c>
      <c r="E824" s="146"/>
      <c r="F824" s="87" t="s">
        <v>203</v>
      </c>
      <c r="G824" s="87">
        <v>2</v>
      </c>
      <c r="H824" s="80">
        <v>250</v>
      </c>
      <c r="I824" s="80">
        <v>0</v>
      </c>
      <c r="J824" s="80">
        <v>4</v>
      </c>
      <c r="K824" s="80">
        <v>0</v>
      </c>
      <c r="L824" s="80">
        <v>4</v>
      </c>
      <c r="M824" s="80">
        <v>0</v>
      </c>
      <c r="N824" s="80">
        <v>6</v>
      </c>
      <c r="P824" s="124">
        <f t="shared" si="92"/>
        <v>0</v>
      </c>
      <c r="Q824" s="124">
        <f t="shared" si="93"/>
        <v>583.33333333333337</v>
      </c>
      <c r="R824" s="161">
        <f t="shared" si="85"/>
        <v>0</v>
      </c>
      <c r="S824" s="188"/>
      <c r="T824" s="81"/>
      <c r="U824" s="81"/>
      <c r="V824" s="81"/>
      <c r="Y824" s="87"/>
      <c r="Z824" s="361"/>
      <c r="AA824" s="124"/>
      <c r="AB824" s="124"/>
    </row>
    <row r="825" spans="1:29" s="80" customFormat="1">
      <c r="A825" s="77">
        <v>42933</v>
      </c>
      <c r="B825" s="78"/>
      <c r="C825" s="78"/>
      <c r="D825" s="80" t="s">
        <v>83</v>
      </c>
      <c r="E825" s="146"/>
      <c r="F825" s="87">
        <v>224</v>
      </c>
      <c r="G825" s="87">
        <v>3</v>
      </c>
      <c r="H825" s="80">
        <v>350</v>
      </c>
      <c r="I825" s="80">
        <v>0</v>
      </c>
      <c r="J825" s="80">
        <v>0</v>
      </c>
      <c r="K825" s="80">
        <v>0</v>
      </c>
      <c r="L825" s="80">
        <v>0</v>
      </c>
      <c r="M825" s="80">
        <v>0</v>
      </c>
      <c r="N825" s="80">
        <v>0</v>
      </c>
      <c r="P825" s="124">
        <f t="shared" si="92"/>
        <v>0</v>
      </c>
      <c r="Q825" s="124">
        <f t="shared" si="93"/>
        <v>0</v>
      </c>
      <c r="R825" s="161" t="e">
        <f t="shared" si="85"/>
        <v>#DIV/0!</v>
      </c>
      <c r="S825" s="189" t="str">
        <f>D825</f>
        <v>NF-10 Low</v>
      </c>
      <c r="T825" s="81"/>
      <c r="U825" s="81"/>
      <c r="V825" s="81"/>
      <c r="Y825" s="87" t="str">
        <f>D825</f>
        <v>NF-10 Low</v>
      </c>
      <c r="Z825" s="352">
        <f>SUMIFS($P$765:$P$820, $D$765:$D$820, Y825, $F$765:$F$820, "&lt;200") + SUMIFS($Q$765:$Q$820, $D$765:$D$820, Y825, $F$765:$F$820, "&lt;200")</f>
        <v>1888.8888888888889</v>
      </c>
      <c r="AA825" s="124">
        <f>SUM(P825:Q828)</f>
        <v>1117.2222222222222</v>
      </c>
      <c r="AB825" s="124">
        <f>SUMIFS(Collection!O:O, Collection!B:B, "*" &amp; 'Bucket Counts'!Y825 &amp; "*", Collection!A:A, "&lt;" &amp; 'Bucket Counts'!A825,Collection!A:A,  "&gt;=" &amp; 'Bucket Counts'!$A$765)</f>
        <v>0</v>
      </c>
      <c r="AC825" s="161">
        <f>AA825/(Z825+AB825)</f>
        <v>0.59147058823529408</v>
      </c>
    </row>
    <row r="826" spans="1:29" s="80" customFormat="1">
      <c r="A826" s="77">
        <v>42933</v>
      </c>
      <c r="B826" s="78"/>
      <c r="C826" s="78"/>
      <c r="D826" s="80" t="s">
        <v>83</v>
      </c>
      <c r="E826" s="146"/>
      <c r="F826" s="87">
        <v>180</v>
      </c>
      <c r="G826" s="87">
        <v>3</v>
      </c>
      <c r="H826" s="80">
        <v>325</v>
      </c>
      <c r="I826" s="80">
        <v>4</v>
      </c>
      <c r="J826" s="80">
        <v>0</v>
      </c>
      <c r="K826" s="80">
        <v>5</v>
      </c>
      <c r="L826" s="80">
        <v>3</v>
      </c>
      <c r="M826" s="80">
        <v>3</v>
      </c>
      <c r="N826" s="80">
        <v>0</v>
      </c>
      <c r="P826" s="124">
        <f t="shared" si="92"/>
        <v>433.33333333333331</v>
      </c>
      <c r="Q826" s="124">
        <f t="shared" si="93"/>
        <v>108.33333333333333</v>
      </c>
      <c r="R826" s="161">
        <f t="shared" si="85"/>
        <v>0.8</v>
      </c>
      <c r="S826" s="187">
        <f>(SUM(P825:P828)/(SUM(P825:Q828)))</f>
        <v>0.64644455494778719</v>
      </c>
      <c r="T826" s="81"/>
      <c r="U826" s="81"/>
      <c r="V826" s="81"/>
      <c r="Y826" s="87"/>
      <c r="Z826" s="361"/>
      <c r="AA826" s="124"/>
      <c r="AB826" s="124"/>
    </row>
    <row r="827" spans="1:29" s="80" customFormat="1">
      <c r="A827" s="77">
        <v>42933</v>
      </c>
      <c r="B827" s="78"/>
      <c r="C827" s="78"/>
      <c r="D827" s="80" t="s">
        <v>83</v>
      </c>
      <c r="E827" s="146"/>
      <c r="F827" s="87">
        <v>100</v>
      </c>
      <c r="G827" s="87">
        <v>3</v>
      </c>
      <c r="H827" s="80">
        <v>325</v>
      </c>
      <c r="I827" s="80">
        <v>1</v>
      </c>
      <c r="J827" s="80">
        <v>0</v>
      </c>
      <c r="K827" s="80">
        <v>4</v>
      </c>
      <c r="L827" s="80">
        <v>2</v>
      </c>
      <c r="M827" s="80">
        <v>3</v>
      </c>
      <c r="N827" s="80">
        <v>2</v>
      </c>
      <c r="P827" s="124">
        <f t="shared" si="92"/>
        <v>288.88888888888886</v>
      </c>
      <c r="Q827" s="124">
        <f t="shared" si="93"/>
        <v>144.44444444444443</v>
      </c>
      <c r="R827" s="161">
        <f t="shared" si="85"/>
        <v>0.66666666666666674</v>
      </c>
      <c r="S827" s="188"/>
      <c r="T827" s="81"/>
      <c r="U827" s="81"/>
      <c r="V827" s="81"/>
      <c r="Y827" s="87"/>
      <c r="Z827" s="361"/>
      <c r="AA827" s="124"/>
      <c r="AB827" s="124"/>
    </row>
    <row r="828" spans="1:29" s="80" customFormat="1">
      <c r="A828" s="77">
        <v>42933</v>
      </c>
      <c r="B828" s="78"/>
      <c r="C828" s="78"/>
      <c r="D828" s="80" t="s">
        <v>83</v>
      </c>
      <c r="E828" s="146"/>
      <c r="F828" s="87" t="s">
        <v>203</v>
      </c>
      <c r="G828" s="87">
        <v>3</v>
      </c>
      <c r="H828" s="80">
        <v>320</v>
      </c>
      <c r="I828" s="80">
        <v>0</v>
      </c>
      <c r="J828" s="80">
        <v>1</v>
      </c>
      <c r="K828" s="80">
        <v>0</v>
      </c>
      <c r="L828" s="80">
        <v>0</v>
      </c>
      <c r="M828" s="80">
        <v>0</v>
      </c>
      <c r="N828" s="80">
        <v>3</v>
      </c>
      <c r="P828" s="124">
        <f t="shared" si="92"/>
        <v>0</v>
      </c>
      <c r="Q828" s="124">
        <f t="shared" si="93"/>
        <v>142.22222222222223</v>
      </c>
      <c r="R828" s="161">
        <f t="shared" si="85"/>
        <v>0</v>
      </c>
      <c r="S828" s="188"/>
      <c r="T828" s="81"/>
      <c r="U828" s="81"/>
      <c r="V828" s="81"/>
      <c r="Y828" s="87"/>
      <c r="Z828" s="361"/>
      <c r="AA828" s="124"/>
      <c r="AB828" s="124"/>
    </row>
    <row r="829" spans="1:29" s="80" customFormat="1">
      <c r="A829" s="77">
        <v>42933</v>
      </c>
      <c r="B829" s="78"/>
      <c r="C829" s="78"/>
      <c r="D829" s="80" t="s">
        <v>74</v>
      </c>
      <c r="F829" s="87">
        <v>224</v>
      </c>
      <c r="G829" s="87" t="s">
        <v>355</v>
      </c>
      <c r="P829" s="124">
        <v>1</v>
      </c>
      <c r="Q829" s="124">
        <v>2</v>
      </c>
      <c r="R829" s="161" t="e">
        <f>#REF!/(#REF!+#REF!)</f>
        <v>#REF!</v>
      </c>
      <c r="S829" s="189" t="str">
        <f>D829</f>
        <v>SN-10 Low</v>
      </c>
      <c r="T829" s="81"/>
      <c r="U829" s="81"/>
      <c r="V829" s="81"/>
      <c r="Y829" s="87" t="str">
        <f>D829</f>
        <v>SN-10 Low</v>
      </c>
      <c r="Z829" s="352">
        <f>SUMIFS($P$765:$P$820, $D$765:$D$820, Y829, $F$765:$F$820, "&lt;200") + SUMIFS($Q$765:$Q$820, $D$765:$D$820, Y829, $F$765:$F$820, "&lt;200")</f>
        <v>102.77777777777777</v>
      </c>
      <c r="AA829" s="124">
        <f>SUM(P829:Q832)</f>
        <v>178.55555555555554</v>
      </c>
      <c r="AB829" s="124">
        <f>SUMIFS(Collection!O:O, Collection!B:B, "*" &amp; 'Bucket Counts'!Y829 &amp; "*", Collection!A:A, "&lt;" &amp; 'Bucket Counts'!A829,Collection!A:A,  "&gt;=" &amp; 'Bucket Counts'!$A$765)</f>
        <v>0</v>
      </c>
      <c r="AC829" s="161">
        <f>AA829/(Z829+AB829)</f>
        <v>1.7372972972972973</v>
      </c>
    </row>
    <row r="830" spans="1:29" s="80" customFormat="1">
      <c r="A830" s="77">
        <v>42933</v>
      </c>
      <c r="B830" s="78"/>
      <c r="C830" s="78"/>
      <c r="D830" s="80" t="s">
        <v>74</v>
      </c>
      <c r="F830" s="87">
        <v>180</v>
      </c>
      <c r="G830" s="80">
        <v>3</v>
      </c>
      <c r="H830" s="229">
        <v>330</v>
      </c>
      <c r="I830" s="80">
        <v>0</v>
      </c>
      <c r="J830" s="80">
        <v>0</v>
      </c>
      <c r="K830" s="80">
        <v>1</v>
      </c>
      <c r="L830" s="80">
        <v>0</v>
      </c>
      <c r="M830" s="80">
        <v>0</v>
      </c>
      <c r="N830" s="80">
        <v>1</v>
      </c>
      <c r="P830" s="303">
        <f t="shared" ref="P830:P832" si="94">(AVERAGE(I830,K830,M830)/G830)*H830</f>
        <v>36.666666666666664</v>
      </c>
      <c r="Q830" s="124">
        <f t="shared" ref="Q830:Q832" si="95">(AVERAGE(J830,L830,N830)/G830)*H830</f>
        <v>36.666666666666664</v>
      </c>
      <c r="R830" s="161">
        <f>P829/(P829+Q829)</f>
        <v>0.33333333333333331</v>
      </c>
      <c r="S830" s="187">
        <f>(SUM(P829:P832)/(SUM(P829:Q832)))</f>
        <v>0.21095208462974488</v>
      </c>
      <c r="T830" s="81"/>
      <c r="U830" s="81"/>
      <c r="V830" s="81"/>
      <c r="Y830" s="87"/>
      <c r="Z830" s="361"/>
      <c r="AA830" s="124"/>
      <c r="AB830" s="124"/>
    </row>
    <row r="831" spans="1:29" s="80" customFormat="1">
      <c r="A831" s="77">
        <v>42933</v>
      </c>
      <c r="B831" s="78"/>
      <c r="C831" s="78"/>
      <c r="D831" s="80" t="s">
        <v>74</v>
      </c>
      <c r="F831" s="87">
        <v>100</v>
      </c>
      <c r="G831" s="87">
        <v>3</v>
      </c>
      <c r="H831" s="229">
        <v>350</v>
      </c>
      <c r="I831" s="80">
        <v>0</v>
      </c>
      <c r="J831" s="80">
        <v>0</v>
      </c>
      <c r="K831" s="80">
        <v>0</v>
      </c>
      <c r="L831" s="80">
        <v>0</v>
      </c>
      <c r="M831" s="80">
        <v>0</v>
      </c>
      <c r="N831" s="80">
        <v>0</v>
      </c>
      <c r="P831" s="124">
        <f t="shared" si="94"/>
        <v>0</v>
      </c>
      <c r="Q831" s="124">
        <f t="shared" si="95"/>
        <v>0</v>
      </c>
      <c r="R831" s="161" t="e">
        <f t="shared" si="85"/>
        <v>#DIV/0!</v>
      </c>
      <c r="S831" s="188"/>
      <c r="T831" s="81"/>
      <c r="U831" s="81"/>
      <c r="V831" s="81"/>
      <c r="Y831" s="87"/>
      <c r="Z831" s="361"/>
      <c r="AA831" s="124"/>
      <c r="AB831" s="124"/>
    </row>
    <row r="832" spans="1:29" s="80" customFormat="1">
      <c r="A832" s="77">
        <v>42933</v>
      </c>
      <c r="B832" s="78"/>
      <c r="C832" s="78"/>
      <c r="D832" s="80" t="s">
        <v>74</v>
      </c>
      <c r="F832" s="87" t="s">
        <v>203</v>
      </c>
      <c r="G832" s="87">
        <v>3</v>
      </c>
      <c r="H832" s="229">
        <v>460</v>
      </c>
      <c r="I832" s="80">
        <v>0</v>
      </c>
      <c r="J832" s="80">
        <v>0</v>
      </c>
      <c r="K832" s="80">
        <v>0</v>
      </c>
      <c r="L832" s="80">
        <v>0</v>
      </c>
      <c r="M832" s="80">
        <v>0</v>
      </c>
      <c r="N832" s="80">
        <v>2</v>
      </c>
      <c r="P832" s="124">
        <f t="shared" si="94"/>
        <v>0</v>
      </c>
      <c r="Q832" s="124">
        <f t="shared" si="95"/>
        <v>102.22222222222221</v>
      </c>
      <c r="R832" s="161">
        <f t="shared" si="85"/>
        <v>0</v>
      </c>
      <c r="S832" s="188"/>
      <c r="T832" s="81"/>
      <c r="U832" s="81"/>
      <c r="V832" s="81"/>
      <c r="Y832" s="87"/>
      <c r="Z832" s="361"/>
      <c r="AA832" s="124"/>
      <c r="AB832" s="124"/>
    </row>
    <row r="833" spans="1:29" s="80" customFormat="1">
      <c r="A833" s="77">
        <v>42933</v>
      </c>
      <c r="B833" s="78"/>
      <c r="C833" s="78"/>
      <c r="D833" s="79" t="s">
        <v>86</v>
      </c>
      <c r="F833" s="87">
        <v>224</v>
      </c>
      <c r="G833" s="87" t="s">
        <v>355</v>
      </c>
      <c r="H833" s="229"/>
      <c r="P833" s="124">
        <v>10</v>
      </c>
      <c r="Q833" s="124">
        <v>0</v>
      </c>
      <c r="R833" s="161" t="e">
        <f>#REF!/(#REF!+#REF!)</f>
        <v>#REF!</v>
      </c>
      <c r="S833" s="189" t="str">
        <f>D833</f>
        <v>SN-10 Ambient</v>
      </c>
      <c r="T833" s="81"/>
      <c r="U833" s="81"/>
      <c r="V833" s="81"/>
      <c r="Y833" s="87" t="str">
        <f>D833</f>
        <v>SN-10 Ambient</v>
      </c>
      <c r="Z833" s="352">
        <f>SUMIFS($P$765:$P$820, $D$765:$D$820, Y833, $F$765:$F$820, "&lt;200") + SUMIFS($Q$765:$Q$820, $D$765:$D$820, Y833, $F$765:$F$820, "&lt;200")</f>
        <v>50061.111111111109</v>
      </c>
      <c r="AA833" s="124">
        <f>SUM(P833:Q836)</f>
        <v>50430</v>
      </c>
      <c r="AB833" s="124">
        <f>SUMIFS(Collection!O:O, Collection!B:B, "*" &amp; 'Bucket Counts'!Y833 &amp; "*", Collection!A:A, "&lt;" &amp; 'Bucket Counts'!A833,Collection!A:A,  "&gt;=" &amp; 'Bucket Counts'!$A$765)</f>
        <v>0</v>
      </c>
      <c r="AC833" s="161">
        <f>AA833/(Z833+AB833)</f>
        <v>1.0073687715014983</v>
      </c>
    </row>
    <row r="834" spans="1:29" s="80" customFormat="1">
      <c r="A834" s="77">
        <v>42933</v>
      </c>
      <c r="B834" s="78"/>
      <c r="C834" s="78"/>
      <c r="D834" s="79" t="s">
        <v>86</v>
      </c>
      <c r="F834" s="87">
        <v>180</v>
      </c>
      <c r="G834" s="80">
        <v>1</v>
      </c>
      <c r="H834" s="229">
        <v>340</v>
      </c>
      <c r="I834" s="80">
        <v>85</v>
      </c>
      <c r="J834" s="80">
        <v>0</v>
      </c>
      <c r="K834" s="80">
        <v>70</v>
      </c>
      <c r="L834" s="80">
        <v>0</v>
      </c>
      <c r="M834" s="80">
        <v>58</v>
      </c>
      <c r="N834" s="80">
        <v>0</v>
      </c>
      <c r="P834" s="124">
        <f t="shared" ref="P834:P838" si="96">(AVERAGE(I834,K834,M834)/G834)*H834</f>
        <v>24140</v>
      </c>
      <c r="Q834" s="124">
        <f t="shared" ref="Q834:Q838" si="97">(AVERAGE(J834,L834,N834)/G834)*H834</f>
        <v>0</v>
      </c>
      <c r="R834" s="161">
        <f>P833/(P833+Q833)</f>
        <v>1</v>
      </c>
      <c r="S834" s="187">
        <f>(SUM(P833:P836)/(SUM(P833:Q836)))</f>
        <v>0.73673078194196584</v>
      </c>
      <c r="T834" s="81"/>
      <c r="U834" s="81"/>
      <c r="V834" s="81"/>
      <c r="Y834" s="87"/>
      <c r="Z834" s="361"/>
      <c r="AA834" s="124"/>
      <c r="AB834" s="124"/>
    </row>
    <row r="835" spans="1:29" s="80" customFormat="1">
      <c r="A835" s="77">
        <v>42933</v>
      </c>
      <c r="B835" s="78"/>
      <c r="C835" s="78"/>
      <c r="D835" s="79" t="s">
        <v>86</v>
      </c>
      <c r="F835" s="87">
        <v>100</v>
      </c>
      <c r="G835" s="87">
        <v>1</v>
      </c>
      <c r="H835" s="229">
        <v>350</v>
      </c>
      <c r="I835" s="80">
        <v>7</v>
      </c>
      <c r="J835" s="80">
        <v>50</v>
      </c>
      <c r="K835" s="80">
        <v>45</v>
      </c>
      <c r="L835" s="80">
        <v>8</v>
      </c>
      <c r="M835" s="80">
        <v>59</v>
      </c>
      <c r="N835" s="80">
        <v>11</v>
      </c>
      <c r="P835" s="124">
        <f t="shared" si="96"/>
        <v>12950</v>
      </c>
      <c r="Q835" s="124">
        <f t="shared" si="97"/>
        <v>8050</v>
      </c>
      <c r="R835" s="161">
        <f t="shared" si="85"/>
        <v>0.6166666666666667</v>
      </c>
      <c r="S835" s="188"/>
      <c r="T835" s="81"/>
      <c r="U835" s="81"/>
      <c r="V835" s="81"/>
      <c r="Y835" s="87"/>
      <c r="Z835" s="361"/>
      <c r="AA835" s="124"/>
      <c r="AB835" s="124"/>
    </row>
    <row r="836" spans="1:29" s="80" customFormat="1">
      <c r="A836" s="77">
        <v>42933</v>
      </c>
      <c r="B836" s="78"/>
      <c r="C836" s="78"/>
      <c r="D836" s="79" t="s">
        <v>86</v>
      </c>
      <c r="F836" s="87" t="s">
        <v>203</v>
      </c>
      <c r="G836" s="87">
        <v>2</v>
      </c>
      <c r="H836" s="229">
        <v>320</v>
      </c>
      <c r="I836" s="80">
        <v>1</v>
      </c>
      <c r="J836" s="80">
        <v>33</v>
      </c>
      <c r="K836" s="80">
        <v>0</v>
      </c>
      <c r="L836" s="80">
        <v>30</v>
      </c>
      <c r="M836" s="80">
        <v>0</v>
      </c>
      <c r="N836" s="80">
        <v>35</v>
      </c>
      <c r="P836" s="124">
        <f t="shared" si="96"/>
        <v>53.333333333333329</v>
      </c>
      <c r="Q836" s="124">
        <f t="shared" si="97"/>
        <v>5226.6666666666661</v>
      </c>
      <c r="R836" s="161">
        <f t="shared" si="85"/>
        <v>1.0101010101010102E-2</v>
      </c>
      <c r="S836" s="188"/>
      <c r="T836" s="81"/>
      <c r="U836" s="81"/>
      <c r="V836" s="81"/>
      <c r="Y836" s="87"/>
      <c r="Z836" s="361"/>
      <c r="AA836" s="124"/>
      <c r="AB836" s="124"/>
    </row>
    <row r="837" spans="1:29" s="80" customFormat="1">
      <c r="A837" s="77">
        <v>42933</v>
      </c>
      <c r="B837" s="78"/>
      <c r="C837" s="78"/>
      <c r="D837" s="80" t="s">
        <v>38</v>
      </c>
      <c r="F837" s="87">
        <v>224</v>
      </c>
      <c r="G837" s="87">
        <v>3</v>
      </c>
      <c r="H837" s="229">
        <v>290</v>
      </c>
      <c r="I837" s="80">
        <v>4</v>
      </c>
      <c r="J837" s="80">
        <v>0</v>
      </c>
      <c r="K837" s="80">
        <v>0</v>
      </c>
      <c r="L837" s="80">
        <v>0</v>
      </c>
      <c r="M837" s="80">
        <v>1</v>
      </c>
      <c r="N837" s="80">
        <v>0</v>
      </c>
      <c r="P837" s="124">
        <f t="shared" si="96"/>
        <v>161.11111111111111</v>
      </c>
      <c r="Q837" s="124">
        <f t="shared" si="97"/>
        <v>0</v>
      </c>
      <c r="R837" s="161">
        <f t="shared" si="85"/>
        <v>1</v>
      </c>
      <c r="S837" s="189" t="str">
        <f>D837</f>
        <v>K-6 Ambient</v>
      </c>
      <c r="T837" s="81"/>
      <c r="U837" s="81"/>
      <c r="V837" s="81"/>
      <c r="Y837" s="87" t="str">
        <f>D837</f>
        <v>K-6 Ambient</v>
      </c>
      <c r="Z837" s="352">
        <f>SUMIFS($P$765:$P$820, $D$765:$D$820, Y837, $F$765:$F$820, "&lt;200") + SUMIFS($Q$765:$Q$820, $D$765:$D$820, Y837, $F$765:$F$820, "&lt;200")</f>
        <v>4320.8333333333339</v>
      </c>
      <c r="AA837" s="124">
        <f>SUM(P837:Q840)</f>
        <v>995.33333333333348</v>
      </c>
      <c r="AB837" s="124">
        <f>SUMIFS(Collection!O:O, Collection!B:B, "*" &amp; 'Bucket Counts'!Y837 &amp; "*", Collection!A:A, "&lt;" &amp; 'Bucket Counts'!A837,Collection!A:A,  "&gt;=" &amp; 'Bucket Counts'!$A$765)</f>
        <v>0</v>
      </c>
      <c r="AC837" s="161">
        <f>AA837/(Z837+AB837)</f>
        <v>0.23035679845708776</v>
      </c>
    </row>
    <row r="838" spans="1:29" s="80" customFormat="1">
      <c r="A838" s="77">
        <v>42933</v>
      </c>
      <c r="B838" s="78"/>
      <c r="C838" s="78"/>
      <c r="D838" s="80" t="s">
        <v>38</v>
      </c>
      <c r="F838" s="87">
        <v>180</v>
      </c>
      <c r="G838" s="87">
        <v>3</v>
      </c>
      <c r="H838" s="229">
        <v>300</v>
      </c>
      <c r="I838" s="80">
        <v>1</v>
      </c>
      <c r="J838" s="80">
        <v>1</v>
      </c>
      <c r="K838" s="80">
        <v>3</v>
      </c>
      <c r="L838" s="80">
        <v>0</v>
      </c>
      <c r="M838" s="80">
        <v>6</v>
      </c>
      <c r="N838" s="80">
        <v>0</v>
      </c>
      <c r="P838" s="124">
        <f t="shared" si="96"/>
        <v>333.33333333333337</v>
      </c>
      <c r="Q838" s="124">
        <f t="shared" si="97"/>
        <v>33.333333333333329</v>
      </c>
      <c r="R838" s="161">
        <f t="shared" si="85"/>
        <v>0.90909090909090917</v>
      </c>
      <c r="S838" s="187">
        <f>(SUM(P837:P840)/(SUM(P837:Q840)))</f>
        <v>0.65293592319714211</v>
      </c>
      <c r="T838" s="81"/>
      <c r="U838" s="81"/>
      <c r="V838" s="81"/>
      <c r="Y838" s="87"/>
      <c r="Z838" s="361"/>
      <c r="AA838" s="124"/>
      <c r="AB838" s="124"/>
    </row>
    <row r="839" spans="1:29" s="80" customFormat="1">
      <c r="A839" s="77">
        <v>42933</v>
      </c>
      <c r="B839" s="78"/>
      <c r="C839" s="78"/>
      <c r="D839" s="80" t="s">
        <v>38</v>
      </c>
      <c r="F839" s="87">
        <v>100</v>
      </c>
      <c r="G839" s="87" t="s">
        <v>355</v>
      </c>
      <c r="H839" s="229"/>
      <c r="P839" s="124">
        <v>31</v>
      </c>
      <c r="Q839" s="124">
        <v>1</v>
      </c>
      <c r="R839" s="161">
        <f t="shared" si="85"/>
        <v>0.96875</v>
      </c>
      <c r="S839" s="188"/>
      <c r="T839" s="81"/>
      <c r="U839" s="81"/>
      <c r="V839" s="81"/>
      <c r="Y839" s="87"/>
      <c r="Z839" s="361"/>
      <c r="AA839" s="124"/>
      <c r="AB839" s="124"/>
    </row>
    <row r="840" spans="1:29" s="80" customFormat="1">
      <c r="A840" s="77">
        <v>42933</v>
      </c>
      <c r="B840" s="78"/>
      <c r="C840" s="78"/>
      <c r="D840" s="80" t="s">
        <v>38</v>
      </c>
      <c r="F840" s="87" t="s">
        <v>203</v>
      </c>
      <c r="G840" s="87">
        <v>3</v>
      </c>
      <c r="H840" s="229">
        <v>280</v>
      </c>
      <c r="I840" s="80">
        <v>0</v>
      </c>
      <c r="J840" s="80">
        <v>6</v>
      </c>
      <c r="K840" s="80">
        <v>1</v>
      </c>
      <c r="L840" s="80">
        <v>0</v>
      </c>
      <c r="M840" s="80">
        <v>3</v>
      </c>
      <c r="N840" s="80">
        <v>4</v>
      </c>
      <c r="P840" s="124">
        <f t="shared" ref="P840:P848" si="98">(AVERAGE(I840,K840,M840)/G840)*H840</f>
        <v>124.44444444444444</v>
      </c>
      <c r="Q840" s="124">
        <f t="shared" ref="Q840:Q848" si="99">(AVERAGE(J840,L840,N840)/G840)*H840</f>
        <v>311.11111111111114</v>
      </c>
      <c r="R840" s="161">
        <f t="shared" si="85"/>
        <v>0.2857142857142857</v>
      </c>
      <c r="S840" s="188"/>
      <c r="T840" s="81"/>
      <c r="U840" s="81"/>
      <c r="V840" s="81"/>
      <c r="Y840" s="87"/>
      <c r="Z840" s="361"/>
      <c r="AA840" s="124"/>
      <c r="AB840" s="124"/>
    </row>
    <row r="841" spans="1:29" s="80" customFormat="1">
      <c r="A841" s="77">
        <v>42933</v>
      </c>
      <c r="B841" s="78"/>
      <c r="C841" s="78"/>
      <c r="D841" s="80" t="s">
        <v>119</v>
      </c>
      <c r="F841" s="87">
        <v>224</v>
      </c>
      <c r="G841" s="87">
        <v>3</v>
      </c>
      <c r="H841" s="229">
        <v>300</v>
      </c>
      <c r="I841" s="80">
        <v>1</v>
      </c>
      <c r="J841" s="80">
        <v>0</v>
      </c>
      <c r="K841" s="80">
        <v>2</v>
      </c>
      <c r="L841" s="80">
        <v>1</v>
      </c>
      <c r="M841" s="80">
        <v>0</v>
      </c>
      <c r="N841" s="80">
        <v>0</v>
      </c>
      <c r="P841" s="124">
        <f t="shared" si="98"/>
        <v>100</v>
      </c>
      <c r="Q841" s="124">
        <f t="shared" si="99"/>
        <v>33.333333333333329</v>
      </c>
      <c r="R841" s="161">
        <f t="shared" si="85"/>
        <v>0.75000000000000011</v>
      </c>
      <c r="S841" s="189" t="str">
        <f>D841</f>
        <v>HL-6 Ambient</v>
      </c>
      <c r="T841" s="81"/>
      <c r="U841" s="81"/>
      <c r="V841" s="81"/>
      <c r="Y841" s="87" t="str">
        <f>D841</f>
        <v>HL-6 Ambient</v>
      </c>
      <c r="Z841" s="352">
        <f>SUMIFS($P$765:$P$820, $D$765:$D$820, Y841, $F$765:$F$820, "&lt;200") + SUMIFS($Q$765:$Q$820, $D$765:$D$820, Y841, $F$765:$F$820, "&lt;200")</f>
        <v>788.88888888888891</v>
      </c>
      <c r="AA841" s="124">
        <f>SUM(P841:Q844)</f>
        <v>768.33333333333337</v>
      </c>
      <c r="AB841" s="124">
        <f>SUMIFS(Collection!O:O, Collection!B:B, "*" &amp; 'Bucket Counts'!Y841 &amp; "*", Collection!A:A, "&lt;" &amp; 'Bucket Counts'!A841,Collection!A:A,  "&gt;=" &amp; 'Bucket Counts'!$A$765)</f>
        <v>0</v>
      </c>
      <c r="AC841" s="161">
        <f>AA841/(Z841+AB841)</f>
        <v>0.97394366197183102</v>
      </c>
    </row>
    <row r="842" spans="1:29" s="80" customFormat="1">
      <c r="A842" s="77">
        <v>42933</v>
      </c>
      <c r="B842" s="78"/>
      <c r="C842" s="78"/>
      <c r="D842" s="80" t="s">
        <v>119</v>
      </c>
      <c r="F842" s="87">
        <v>180</v>
      </c>
      <c r="G842" s="87">
        <v>3</v>
      </c>
      <c r="H842" s="229">
        <v>375</v>
      </c>
      <c r="I842" s="80">
        <v>1</v>
      </c>
      <c r="J842" s="80">
        <v>0</v>
      </c>
      <c r="K842" s="80">
        <v>1</v>
      </c>
      <c r="L842" s="80">
        <v>0</v>
      </c>
      <c r="M842" s="80">
        <v>4</v>
      </c>
      <c r="N842" s="80">
        <v>0</v>
      </c>
      <c r="P842" s="303">
        <f t="shared" si="98"/>
        <v>250</v>
      </c>
      <c r="Q842" s="124">
        <f t="shared" si="99"/>
        <v>0</v>
      </c>
      <c r="R842" s="161">
        <f t="shared" si="85"/>
        <v>1</v>
      </c>
      <c r="S842" s="187">
        <f>(SUM(P841:P844)/(SUM(P841:Q844)))</f>
        <v>0.74909616775126531</v>
      </c>
      <c r="T842" s="81"/>
      <c r="Y842" s="87"/>
      <c r="Z842" s="361"/>
      <c r="AA842" s="124"/>
      <c r="AB842" s="124"/>
    </row>
    <row r="843" spans="1:29" s="80" customFormat="1">
      <c r="A843" s="77">
        <v>42933</v>
      </c>
      <c r="B843" s="78"/>
      <c r="C843" s="78"/>
      <c r="D843" s="80" t="s">
        <v>119</v>
      </c>
      <c r="F843" s="87">
        <v>100</v>
      </c>
      <c r="G843" s="87">
        <v>3</v>
      </c>
      <c r="H843" s="80">
        <v>275</v>
      </c>
      <c r="I843" s="80">
        <v>0</v>
      </c>
      <c r="J843" s="80">
        <v>1</v>
      </c>
      <c r="K843" s="80">
        <v>0</v>
      </c>
      <c r="L843" s="80">
        <v>0</v>
      </c>
      <c r="M843" s="80">
        <v>0</v>
      </c>
      <c r="N843" s="80">
        <v>0</v>
      </c>
      <c r="P843" s="124">
        <f t="shared" si="98"/>
        <v>0</v>
      </c>
      <c r="Q843" s="124">
        <f t="shared" si="99"/>
        <v>30.555555555555554</v>
      </c>
      <c r="R843" s="161">
        <f t="shared" si="85"/>
        <v>0</v>
      </c>
      <c r="S843" s="188"/>
      <c r="T843" s="81"/>
      <c r="Y843" s="87"/>
      <c r="Z843" s="361"/>
      <c r="AA843" s="124"/>
      <c r="AB843" s="124"/>
    </row>
    <row r="844" spans="1:29" s="80" customFormat="1">
      <c r="A844" s="77">
        <v>42933</v>
      </c>
      <c r="B844" s="78"/>
      <c r="C844" s="78"/>
      <c r="D844" s="80" t="s">
        <v>119</v>
      </c>
      <c r="F844" s="87" t="s">
        <v>203</v>
      </c>
      <c r="G844" s="87">
        <v>3</v>
      </c>
      <c r="H844" s="80">
        <v>290</v>
      </c>
      <c r="I844" s="80">
        <v>1</v>
      </c>
      <c r="J844" s="80">
        <v>3</v>
      </c>
      <c r="K844" s="80">
        <v>4</v>
      </c>
      <c r="L844" s="80">
        <v>0</v>
      </c>
      <c r="M844" s="80">
        <v>2</v>
      </c>
      <c r="N844" s="80">
        <v>1</v>
      </c>
      <c r="P844" s="124">
        <f t="shared" si="98"/>
        <v>225.55555555555557</v>
      </c>
      <c r="Q844" s="124">
        <f t="shared" si="99"/>
        <v>128.88888888888889</v>
      </c>
      <c r="R844" s="161">
        <f t="shared" si="85"/>
        <v>0.63636363636363635</v>
      </c>
      <c r="S844" s="188"/>
      <c r="T844" s="81"/>
      <c r="Y844" s="87"/>
      <c r="Z844" s="361"/>
      <c r="AA844" s="124"/>
      <c r="AB844" s="124"/>
    </row>
    <row r="845" spans="1:29" s="80" customFormat="1">
      <c r="A845" s="77">
        <v>42933</v>
      </c>
      <c r="B845" s="78"/>
      <c r="C845" s="78"/>
      <c r="D845" s="79" t="s">
        <v>21</v>
      </c>
      <c r="F845" s="87">
        <v>224</v>
      </c>
      <c r="G845" s="87">
        <v>3</v>
      </c>
      <c r="H845" s="80">
        <v>350</v>
      </c>
      <c r="I845" s="80">
        <v>0</v>
      </c>
      <c r="J845" s="80">
        <v>0</v>
      </c>
      <c r="K845" s="80">
        <v>0</v>
      </c>
      <c r="L845" s="80">
        <v>0</v>
      </c>
      <c r="M845" s="80">
        <v>2</v>
      </c>
      <c r="N845" s="80">
        <v>1</v>
      </c>
      <c r="P845" s="124">
        <f t="shared" si="98"/>
        <v>77.777777777777771</v>
      </c>
      <c r="Q845" s="124">
        <f t="shared" si="99"/>
        <v>38.888888888888886</v>
      </c>
      <c r="R845" s="161">
        <f t="shared" si="85"/>
        <v>0.66666666666666663</v>
      </c>
      <c r="S845" s="186" t="str">
        <f>D845</f>
        <v>HL-6 Low</v>
      </c>
      <c r="T845" s="81"/>
      <c r="Y845" s="87" t="str">
        <f>D845</f>
        <v>HL-6 Low</v>
      </c>
      <c r="Z845" s="352">
        <f>SUMIFS($P$765:$P$820, $D$765:$D$820, Y845, $F$765:$F$820, "&lt;200") + SUMIFS($Q$765:$Q$820, $D$765:$D$820, Y845, $F$765:$F$820, "&lt;200")</f>
        <v>4950</v>
      </c>
      <c r="AA845" s="124">
        <f>SUM(P845:Q848)</f>
        <v>2427.2222222222222</v>
      </c>
      <c r="AB845" s="124">
        <f>SUMIFS(Collection!O:O, Collection!B:B, "*" &amp; 'Bucket Counts'!Y845 &amp; "*", Collection!A:A, "&lt;" &amp; 'Bucket Counts'!A845,Collection!A:A,  "&gt;=" &amp; 'Bucket Counts'!$A$765)</f>
        <v>0</v>
      </c>
      <c r="AC845" s="161">
        <f>AA845/(Z845+AB845)</f>
        <v>0.49034792368125701</v>
      </c>
    </row>
    <row r="846" spans="1:29" s="80" customFormat="1">
      <c r="A846" s="77">
        <v>42933</v>
      </c>
      <c r="B846" s="78"/>
      <c r="C846" s="78"/>
      <c r="D846" s="79" t="s">
        <v>21</v>
      </c>
      <c r="F846" s="87">
        <v>180</v>
      </c>
      <c r="G846" s="87">
        <v>3</v>
      </c>
      <c r="H846" s="80">
        <v>340</v>
      </c>
      <c r="I846" s="80">
        <v>7</v>
      </c>
      <c r="J846" s="80">
        <v>1</v>
      </c>
      <c r="K846" s="80">
        <v>12</v>
      </c>
      <c r="L846" s="80">
        <v>2</v>
      </c>
      <c r="M846" s="80">
        <v>5</v>
      </c>
      <c r="N846" s="80">
        <v>1</v>
      </c>
      <c r="P846" s="124">
        <f t="shared" si="98"/>
        <v>906.66666666666663</v>
      </c>
      <c r="Q846" s="124">
        <f t="shared" si="99"/>
        <v>151.11111111111111</v>
      </c>
      <c r="R846" s="161">
        <f t="shared" si="85"/>
        <v>0.8571428571428571</v>
      </c>
      <c r="S846" s="187">
        <f>(SUM(P845:P848)/(SUM(P845:Q848)))</f>
        <v>0.46898603799496452</v>
      </c>
      <c r="T846" s="81"/>
      <c r="Y846" s="87"/>
      <c r="Z846" s="361"/>
      <c r="AA846" s="124"/>
      <c r="AB846" s="124"/>
    </row>
    <row r="847" spans="1:29" s="80" customFormat="1">
      <c r="A847" s="77">
        <v>42933</v>
      </c>
      <c r="B847" s="78"/>
      <c r="C847" s="78"/>
      <c r="D847" s="79" t="s">
        <v>21</v>
      </c>
      <c r="F847" s="87">
        <v>100</v>
      </c>
      <c r="G847" s="87">
        <v>3</v>
      </c>
      <c r="H847" s="228">
        <v>440</v>
      </c>
      <c r="I847" s="80">
        <v>0</v>
      </c>
      <c r="J847" s="80">
        <v>0</v>
      </c>
      <c r="K847" s="80">
        <v>0</v>
      </c>
      <c r="L847" s="80">
        <v>1</v>
      </c>
      <c r="M847" s="80">
        <v>1</v>
      </c>
      <c r="N847" s="80">
        <v>0</v>
      </c>
      <c r="P847" s="124">
        <f t="shared" si="98"/>
        <v>48.888888888888886</v>
      </c>
      <c r="Q847" s="124">
        <f t="shared" si="99"/>
        <v>48.888888888888886</v>
      </c>
      <c r="R847" s="161">
        <f t="shared" si="85"/>
        <v>0.5</v>
      </c>
      <c r="S847" s="185"/>
      <c r="T847" s="81"/>
      <c r="Y847" s="87"/>
      <c r="Z847" s="361"/>
      <c r="AA847" s="124"/>
      <c r="AB847" s="124"/>
    </row>
    <row r="848" spans="1:29" s="80" customFormat="1">
      <c r="A848" s="77">
        <v>42933</v>
      </c>
      <c r="B848" s="78"/>
      <c r="C848" s="78"/>
      <c r="D848" s="79" t="s">
        <v>21</v>
      </c>
      <c r="F848" s="87" t="s">
        <v>203</v>
      </c>
      <c r="G848" s="87">
        <v>3</v>
      </c>
      <c r="H848" s="228">
        <v>315</v>
      </c>
      <c r="I848" s="80">
        <v>0</v>
      </c>
      <c r="J848" s="80">
        <v>12</v>
      </c>
      <c r="K848" s="80">
        <v>0</v>
      </c>
      <c r="L848" s="80">
        <v>10</v>
      </c>
      <c r="M848" s="80">
        <v>3</v>
      </c>
      <c r="N848" s="80">
        <v>8</v>
      </c>
      <c r="P848" s="124">
        <f t="shared" si="98"/>
        <v>105</v>
      </c>
      <c r="Q848" s="124">
        <f t="shared" si="99"/>
        <v>1050</v>
      </c>
      <c r="R848" s="161">
        <f t="shared" si="85"/>
        <v>9.0909090909090912E-2</v>
      </c>
      <c r="S848" s="188"/>
      <c r="T848" s="81"/>
      <c r="Y848" s="87"/>
      <c r="Z848" s="361"/>
      <c r="AA848" s="124"/>
      <c r="AB848" s="124"/>
    </row>
    <row r="849" spans="1:29" s="80" customFormat="1">
      <c r="A849" s="77">
        <v>42933</v>
      </c>
      <c r="B849" s="78"/>
      <c r="C849" s="78"/>
      <c r="D849" s="79" t="s">
        <v>20</v>
      </c>
      <c r="F849" s="87">
        <v>224</v>
      </c>
      <c r="G849" s="87" t="s">
        <v>355</v>
      </c>
      <c r="P849" s="124">
        <v>6</v>
      </c>
      <c r="Q849" s="124">
        <v>0</v>
      </c>
      <c r="R849" s="161">
        <f t="shared" si="85"/>
        <v>1</v>
      </c>
      <c r="S849" s="189" t="str">
        <f>D849</f>
        <v>K-10 Low</v>
      </c>
      <c r="T849" s="81"/>
      <c r="Y849" s="87" t="str">
        <f>D849</f>
        <v>K-10 Low</v>
      </c>
      <c r="Z849" s="352">
        <f>SUMIFS($P$765:$P$820, $D$765:$D$820, Y849, $F$765:$F$820, "&lt;200") + SUMIFS($Q$765:$Q$820, $D$765:$D$820, Y849, $F$765:$F$820, "&lt;200")</f>
        <v>403.33333333333331</v>
      </c>
      <c r="AA849" s="124">
        <f>SUM(P849:Q852)</f>
        <v>226</v>
      </c>
      <c r="AB849" s="124">
        <f>SUMIFS(Collection!O:O, Collection!B:B, "*" &amp; 'Bucket Counts'!Y849 &amp; "*", Collection!A:A, "&lt;" &amp; 'Bucket Counts'!A849,Collection!A:A,  "&gt;=" &amp; 'Bucket Counts'!$A$765)</f>
        <v>0</v>
      </c>
      <c r="AC849" s="161">
        <f>AA849/(Z849+AB849)</f>
        <v>0.56033057851239676</v>
      </c>
    </row>
    <row r="850" spans="1:29" s="80" customFormat="1">
      <c r="A850" s="77">
        <v>42933</v>
      </c>
      <c r="B850" s="78"/>
      <c r="C850" s="78"/>
      <c r="D850" s="79" t="s">
        <v>20</v>
      </c>
      <c r="F850" s="87">
        <v>180</v>
      </c>
      <c r="G850" s="87">
        <v>3</v>
      </c>
      <c r="H850" s="80">
        <v>310</v>
      </c>
      <c r="I850" s="80">
        <v>0</v>
      </c>
      <c r="J850" s="80">
        <v>0</v>
      </c>
      <c r="K850" s="80">
        <v>2</v>
      </c>
      <c r="L850" s="80">
        <v>0</v>
      </c>
      <c r="M850" s="80">
        <v>1</v>
      </c>
      <c r="N850" s="80">
        <v>0</v>
      </c>
      <c r="P850" s="124">
        <f t="shared" ref="P850:P854" si="100">(AVERAGE(I850,K850,M850)/G850)*H850</f>
        <v>103.33333333333333</v>
      </c>
      <c r="Q850" s="124">
        <f t="shared" ref="Q850:Q854" si="101">(AVERAGE(J850,L850,N850)/G850)*H850</f>
        <v>0</v>
      </c>
      <c r="R850" s="161">
        <f t="shared" si="85"/>
        <v>1</v>
      </c>
      <c r="S850" s="187">
        <f>(SUM(P849:P852)/(SUM(P849:Q852)))</f>
        <v>0.631268436578171</v>
      </c>
      <c r="T850" s="81"/>
      <c r="Y850" s="87"/>
      <c r="Z850" s="361"/>
      <c r="AA850" s="124"/>
      <c r="AB850" s="124"/>
    </row>
    <row r="851" spans="1:29" s="80" customFormat="1">
      <c r="A851" s="77">
        <v>42933</v>
      </c>
      <c r="B851" s="78"/>
      <c r="C851" s="78"/>
      <c r="D851" s="79" t="s">
        <v>20</v>
      </c>
      <c r="F851" s="87">
        <v>100</v>
      </c>
      <c r="G851" s="87">
        <v>3</v>
      </c>
      <c r="H851" s="228">
        <v>300</v>
      </c>
      <c r="I851" s="80">
        <v>0</v>
      </c>
      <c r="J851" s="80">
        <v>0</v>
      </c>
      <c r="K851" s="80">
        <v>0</v>
      </c>
      <c r="L851" s="80">
        <v>0</v>
      </c>
      <c r="M851" s="80">
        <v>1</v>
      </c>
      <c r="N851" s="80">
        <v>0</v>
      </c>
      <c r="P851" s="124">
        <f t="shared" si="100"/>
        <v>33.333333333333329</v>
      </c>
      <c r="Q851" s="124">
        <f t="shared" si="101"/>
        <v>0</v>
      </c>
      <c r="R851" s="161">
        <f t="shared" si="85"/>
        <v>1</v>
      </c>
      <c r="S851" s="188"/>
      <c r="T851" s="81"/>
      <c r="Y851" s="87"/>
      <c r="Z851" s="361"/>
      <c r="AA851" s="124"/>
      <c r="AB851" s="124"/>
    </row>
    <row r="852" spans="1:29" s="80" customFormat="1">
      <c r="A852" s="77">
        <v>42933</v>
      </c>
      <c r="B852" s="78"/>
      <c r="C852" s="78"/>
      <c r="D852" s="79" t="s">
        <v>20</v>
      </c>
      <c r="F852" s="87" t="s">
        <v>203</v>
      </c>
      <c r="G852" s="87">
        <v>3</v>
      </c>
      <c r="H852" s="228">
        <v>250</v>
      </c>
      <c r="I852" s="80">
        <v>0</v>
      </c>
      <c r="J852" s="80">
        <v>2</v>
      </c>
      <c r="K852" s="80">
        <v>0</v>
      </c>
      <c r="L852" s="80">
        <v>1</v>
      </c>
      <c r="M852" s="80">
        <v>0</v>
      </c>
      <c r="N852" s="80">
        <v>0</v>
      </c>
      <c r="P852" s="124">
        <f t="shared" si="100"/>
        <v>0</v>
      </c>
      <c r="Q852" s="124">
        <f t="shared" si="101"/>
        <v>83.333333333333329</v>
      </c>
      <c r="R852" s="161">
        <f t="shared" si="85"/>
        <v>0</v>
      </c>
      <c r="S852" s="188"/>
      <c r="T852" s="81"/>
      <c r="Y852" s="87"/>
      <c r="Z852" s="361"/>
      <c r="AA852" s="124"/>
      <c r="AB852" s="124"/>
    </row>
    <row r="853" spans="1:29" s="80" customFormat="1">
      <c r="A853" s="77">
        <v>42933</v>
      </c>
      <c r="B853" s="78"/>
      <c r="C853" s="78"/>
      <c r="D853" s="80" t="s">
        <v>87</v>
      </c>
      <c r="F853" s="87">
        <v>224</v>
      </c>
      <c r="G853" s="87">
        <v>3</v>
      </c>
      <c r="H853" s="80">
        <v>250</v>
      </c>
      <c r="I853" s="80">
        <v>0</v>
      </c>
      <c r="J853" s="80">
        <v>0</v>
      </c>
      <c r="K853" s="80">
        <v>1</v>
      </c>
      <c r="L853" s="80">
        <v>0</v>
      </c>
      <c r="M853" s="80">
        <v>0</v>
      </c>
      <c r="N853" s="80">
        <v>0</v>
      </c>
      <c r="P853" s="124">
        <f t="shared" si="100"/>
        <v>27.777777777777775</v>
      </c>
      <c r="Q853" s="124">
        <f t="shared" si="101"/>
        <v>0</v>
      </c>
      <c r="R853" s="161">
        <f t="shared" si="85"/>
        <v>1</v>
      </c>
      <c r="S853" s="189" t="str">
        <f>D853</f>
        <v>SN-6 Ambient</v>
      </c>
      <c r="Y853" s="87" t="str">
        <f>D853</f>
        <v>SN-6 Ambient</v>
      </c>
      <c r="Z853" s="352">
        <f>SUMIFS($P$765:$P$820, $D$765:$D$820, Y853, $F$765:$F$820, "&lt;200") + SUMIFS($Q$765:$Q$820, $D$765:$D$820, Y853, $F$765:$F$820, "&lt;200")</f>
        <v>160</v>
      </c>
      <c r="AA853" s="124">
        <f>SUM(P853:Q856)</f>
        <v>118.88888888888887</v>
      </c>
      <c r="AB853" s="124">
        <f>SUMIFS(Collection!O:O, Collection!B:B, "*" &amp; 'Bucket Counts'!Y853 &amp; "*", Collection!A:A, "&lt;" &amp; 'Bucket Counts'!A853,Collection!A:A,  "&gt;=" &amp; 'Bucket Counts'!$A$765)</f>
        <v>0</v>
      </c>
      <c r="AC853" s="161">
        <f>AA853/(Z853+AB853)</f>
        <v>0.74305555555555547</v>
      </c>
    </row>
    <row r="854" spans="1:29" s="80" customFormat="1">
      <c r="A854" s="77">
        <v>42933</v>
      </c>
      <c r="B854" s="78"/>
      <c r="C854" s="78"/>
      <c r="D854" s="80" t="s">
        <v>87</v>
      </c>
      <c r="F854" s="87">
        <v>180</v>
      </c>
      <c r="G854" s="87">
        <v>3</v>
      </c>
      <c r="H854" s="80">
        <v>260</v>
      </c>
      <c r="I854" s="80">
        <v>1</v>
      </c>
      <c r="J854" s="80">
        <v>0</v>
      </c>
      <c r="K854" s="80">
        <v>0</v>
      </c>
      <c r="L854" s="80">
        <v>0</v>
      </c>
      <c r="M854" s="80">
        <v>1</v>
      </c>
      <c r="N854" s="80">
        <v>0</v>
      </c>
      <c r="P854" s="124">
        <f t="shared" si="100"/>
        <v>57.777777777777771</v>
      </c>
      <c r="Q854" s="124">
        <f t="shared" si="101"/>
        <v>0</v>
      </c>
      <c r="R854" s="161">
        <f t="shared" si="85"/>
        <v>1</v>
      </c>
      <c r="S854" s="187">
        <f>(SUM(P853:P856)/(SUM(P853:Q856)))</f>
        <v>0.71962616822429903</v>
      </c>
      <c r="Y854" s="87"/>
      <c r="Z854" s="361"/>
      <c r="AA854" s="124"/>
      <c r="AB854" s="124"/>
    </row>
    <row r="855" spans="1:29" s="80" customFormat="1">
      <c r="A855" s="77">
        <v>42933</v>
      </c>
      <c r="B855" s="78"/>
      <c r="C855" s="78"/>
      <c r="D855" s="80" t="s">
        <v>87</v>
      </c>
      <c r="F855" s="87">
        <v>100</v>
      </c>
      <c r="G855" s="87" t="s">
        <v>355</v>
      </c>
      <c r="P855" s="124">
        <v>0</v>
      </c>
      <c r="Q855" s="124">
        <v>0</v>
      </c>
      <c r="R855" s="161" t="e">
        <f t="shared" si="85"/>
        <v>#DIV/0!</v>
      </c>
      <c r="S855" s="188"/>
      <c r="Y855" s="87"/>
      <c r="Z855" s="361"/>
      <c r="AA855" s="124"/>
      <c r="AB855" s="124"/>
    </row>
    <row r="856" spans="1:29" s="80" customFormat="1">
      <c r="A856" s="77">
        <v>42933</v>
      </c>
      <c r="B856" s="78"/>
      <c r="C856" s="78"/>
      <c r="D856" s="80" t="s">
        <v>87</v>
      </c>
      <c r="F856" s="87" t="s">
        <v>203</v>
      </c>
      <c r="G856" s="87">
        <v>3</v>
      </c>
      <c r="H856" s="80">
        <v>300</v>
      </c>
      <c r="I856" s="80">
        <v>0</v>
      </c>
      <c r="J856" s="80">
        <v>1</v>
      </c>
      <c r="K856" s="80">
        <v>0</v>
      </c>
      <c r="L856" s="80">
        <v>0</v>
      </c>
      <c r="M856" s="80">
        <v>0</v>
      </c>
      <c r="N856" s="80">
        <v>0</v>
      </c>
      <c r="P856" s="124">
        <f t="shared" ref="P856:P860" si="102">(AVERAGE(I856,K856,M856)/G856)*H856</f>
        <v>0</v>
      </c>
      <c r="Q856" s="124">
        <f t="shared" ref="Q856:Q860" si="103">(AVERAGE(J856,L856,N856)/G856)*H856</f>
        <v>33.333333333333329</v>
      </c>
      <c r="R856" s="161">
        <f t="shared" si="85"/>
        <v>0</v>
      </c>
      <c r="S856" s="188"/>
      <c r="Y856" s="87"/>
      <c r="Z856" s="361"/>
      <c r="AA856" s="124"/>
      <c r="AB856" s="124"/>
    </row>
    <row r="857" spans="1:29" s="80" customFormat="1">
      <c r="A857" s="77">
        <v>42933</v>
      </c>
      <c r="B857" s="78"/>
      <c r="C857" s="78"/>
      <c r="D857" s="80" t="s">
        <v>84</v>
      </c>
      <c r="F857" s="87">
        <v>224</v>
      </c>
      <c r="G857" s="87">
        <v>3</v>
      </c>
      <c r="H857" s="80">
        <v>250</v>
      </c>
      <c r="I857" s="80">
        <v>0</v>
      </c>
      <c r="J857" s="80">
        <v>0</v>
      </c>
      <c r="K857" s="80">
        <v>0</v>
      </c>
      <c r="L857" s="80">
        <v>0</v>
      </c>
      <c r="M857" s="80">
        <v>1</v>
      </c>
      <c r="N857" s="80">
        <v>0</v>
      </c>
      <c r="P857" s="346">
        <f t="shared" si="102"/>
        <v>27.777777777777775</v>
      </c>
      <c r="Q857" s="124">
        <f t="shared" si="103"/>
        <v>0</v>
      </c>
      <c r="R857" s="161">
        <f t="shared" si="85"/>
        <v>1</v>
      </c>
      <c r="S857" s="189" t="str">
        <f>D857</f>
        <v>NF-10 Ambient</v>
      </c>
      <c r="T857" s="81"/>
      <c r="U857" s="81"/>
      <c r="V857" s="81"/>
      <c r="W857" s="80" t="s">
        <v>363</v>
      </c>
      <c r="Y857" s="87" t="str">
        <f>D857</f>
        <v>NF-10 Ambient</v>
      </c>
      <c r="Z857" s="352">
        <f>SUMIFS($P$765:$P$820, $D$765:$D$820, Y857, $F$765:$F$820, "&lt;200") + SUMIFS($Q$765:$Q$820, $D$765:$D$820, Y857, $F$765:$F$820, "&lt;200")</f>
        <v>63</v>
      </c>
      <c r="AA857" s="124">
        <f>SUM(P857:Q860)</f>
        <v>465.55555555555554</v>
      </c>
      <c r="AB857" s="124">
        <f>SUMIFS(Collection!O:O, Collection!B:B, "*" &amp; 'Bucket Counts'!Y857 &amp; "*", Collection!A:A, "&lt;" &amp; 'Bucket Counts'!A857,Collection!A:A,  "&gt;=" &amp; 'Bucket Counts'!$A$765)</f>
        <v>0</v>
      </c>
      <c r="AC857" s="161">
        <f>AA857/(Z857+AB857)</f>
        <v>7.3897707231040561</v>
      </c>
    </row>
    <row r="858" spans="1:29" s="80" customFormat="1">
      <c r="A858" s="77">
        <v>42933</v>
      </c>
      <c r="B858" s="78"/>
      <c r="C858" s="78"/>
      <c r="D858" s="80" t="s">
        <v>84</v>
      </c>
      <c r="F858" s="87">
        <v>180</v>
      </c>
      <c r="G858" s="87">
        <v>3</v>
      </c>
      <c r="H858" s="80">
        <v>250</v>
      </c>
      <c r="I858" s="80">
        <v>1</v>
      </c>
      <c r="J858" s="80">
        <v>0</v>
      </c>
      <c r="K858" s="80">
        <v>0</v>
      </c>
      <c r="L858" s="80">
        <v>0</v>
      </c>
      <c r="M858" s="80">
        <v>1</v>
      </c>
      <c r="N858" s="80">
        <v>0</v>
      </c>
      <c r="P858" s="124">
        <f t="shared" si="102"/>
        <v>55.55555555555555</v>
      </c>
      <c r="Q858" s="124">
        <f t="shared" si="103"/>
        <v>0</v>
      </c>
      <c r="R858" s="161">
        <f t="shared" si="85"/>
        <v>1</v>
      </c>
      <c r="S858" s="187">
        <f>(SUM(P857:P860)/(SUM(P857:Q860)))</f>
        <v>0.30668257756563244</v>
      </c>
      <c r="T858" s="81"/>
      <c r="U858" s="81"/>
      <c r="V858" s="81"/>
      <c r="Y858" s="87"/>
      <c r="Z858" s="361"/>
      <c r="AA858" s="124"/>
      <c r="AB858" s="124"/>
    </row>
    <row r="859" spans="1:29" s="80" customFormat="1">
      <c r="A859" s="77">
        <v>42933</v>
      </c>
      <c r="B859" s="78"/>
      <c r="C859" s="78"/>
      <c r="D859" s="80" t="s">
        <v>84</v>
      </c>
      <c r="F859" s="87">
        <v>100</v>
      </c>
      <c r="G859" s="87">
        <v>3</v>
      </c>
      <c r="H859" s="80">
        <v>275</v>
      </c>
      <c r="I859" s="80">
        <v>0</v>
      </c>
      <c r="J859" s="80">
        <v>1</v>
      </c>
      <c r="K859" s="80">
        <v>0</v>
      </c>
      <c r="L859" s="80">
        <v>2</v>
      </c>
      <c r="M859" s="80">
        <v>1</v>
      </c>
      <c r="N859" s="80">
        <v>0</v>
      </c>
      <c r="P859" s="124">
        <f t="shared" si="102"/>
        <v>30.555555555555554</v>
      </c>
      <c r="Q859" s="124">
        <f t="shared" si="103"/>
        <v>91.666666666666657</v>
      </c>
      <c r="R859" s="161">
        <f t="shared" si="85"/>
        <v>0.25</v>
      </c>
      <c r="S859" s="188"/>
      <c r="T859" s="81"/>
      <c r="U859" s="81"/>
      <c r="V859" s="81"/>
      <c r="Y859" s="87"/>
      <c r="Z859" s="361"/>
      <c r="AA859" s="124"/>
      <c r="AB859" s="124"/>
    </row>
    <row r="860" spans="1:29" s="80" customFormat="1">
      <c r="A860" s="77">
        <v>42933</v>
      </c>
      <c r="B860" s="78"/>
      <c r="C860" s="78"/>
      <c r="D860" s="80" t="s">
        <v>84</v>
      </c>
      <c r="F860" s="87" t="s">
        <v>203</v>
      </c>
      <c r="G860" s="87">
        <v>3</v>
      </c>
      <c r="H860" s="80">
        <v>260</v>
      </c>
      <c r="I860" s="80">
        <v>0</v>
      </c>
      <c r="J860" s="80">
        <v>5</v>
      </c>
      <c r="K860" s="80">
        <v>0</v>
      </c>
      <c r="L860" s="80">
        <v>1</v>
      </c>
      <c r="M860" s="80">
        <v>1</v>
      </c>
      <c r="N860" s="80">
        <v>2</v>
      </c>
      <c r="P860" s="124">
        <f t="shared" si="102"/>
        <v>28.888888888888886</v>
      </c>
      <c r="Q860" s="124">
        <f t="shared" si="103"/>
        <v>231.11111111111109</v>
      </c>
      <c r="R860" s="161">
        <f t="shared" si="85"/>
        <v>0.1111111111111111</v>
      </c>
      <c r="S860" s="188"/>
      <c r="T860" s="81"/>
      <c r="U860" s="81"/>
      <c r="V860" s="81"/>
      <c r="Y860" s="87"/>
      <c r="Z860" s="361"/>
      <c r="AA860" s="124"/>
      <c r="AB860" s="124"/>
    </row>
    <row r="861" spans="1:29" s="80" customFormat="1">
      <c r="A861" s="77">
        <v>42933</v>
      </c>
      <c r="B861" s="78"/>
      <c r="C861" s="78"/>
      <c r="D861" s="80" t="s">
        <v>17</v>
      </c>
      <c r="F861" s="87">
        <v>224</v>
      </c>
      <c r="G861" s="87" t="s">
        <v>355</v>
      </c>
      <c r="P861" s="124">
        <v>3</v>
      </c>
      <c r="Q861" s="124">
        <v>0</v>
      </c>
      <c r="R861" s="161">
        <f t="shared" si="85"/>
        <v>1</v>
      </c>
      <c r="S861" s="189" t="str">
        <f>D861</f>
        <v>K-10 Ambient</v>
      </c>
      <c r="T861" s="81"/>
      <c r="U861" s="81"/>
      <c r="V861" s="81"/>
      <c r="Y861" s="87" t="str">
        <f>D861</f>
        <v>K-10 Ambient</v>
      </c>
      <c r="Z861" s="352">
        <f>SUMIFS($P$765:$P$820, $D$765:$D$820, Y861, $F$765:$F$820, "&lt;200") + SUMIFS($Q$765:$Q$820, $D$765:$D$820, Y861, $F$765:$F$820, "&lt;200")</f>
        <v>506.66666666666669</v>
      </c>
      <c r="AA861" s="124">
        <f>SUM(P861:Q864)</f>
        <v>91.888888888888886</v>
      </c>
      <c r="AB861" s="124">
        <f>SUMIFS(Collection!O:O, Collection!B:B, "*" &amp; 'Bucket Counts'!Y861 &amp; "*", Collection!A:A, "&lt;" &amp; 'Bucket Counts'!A861,Collection!A:A,  "&gt;=" &amp; 'Bucket Counts'!$A$765)</f>
        <v>0</v>
      </c>
      <c r="AC861" s="161">
        <f>AA861/(Z861+AB861)</f>
        <v>0.181359649122807</v>
      </c>
    </row>
    <row r="862" spans="1:29" s="80" customFormat="1">
      <c r="A862" s="77">
        <v>42933</v>
      </c>
      <c r="B862" s="78"/>
      <c r="C862" s="78"/>
      <c r="D862" s="80" t="s">
        <v>17</v>
      </c>
      <c r="F862" s="87">
        <v>180</v>
      </c>
      <c r="G862" s="87">
        <v>3</v>
      </c>
      <c r="H862" s="80">
        <v>250</v>
      </c>
      <c r="I862" s="80">
        <v>0</v>
      </c>
      <c r="J862" s="80">
        <v>0</v>
      </c>
      <c r="K862" s="80">
        <v>0</v>
      </c>
      <c r="L862" s="80">
        <v>0</v>
      </c>
      <c r="M862" s="80">
        <v>1</v>
      </c>
      <c r="N862" s="80">
        <v>0</v>
      </c>
      <c r="P862" s="303">
        <f t="shared" ref="P862" si="104">(AVERAGE(I862,K862,M862)/G862)*H862</f>
        <v>27.777777777777775</v>
      </c>
      <c r="Q862" s="124">
        <f t="shared" ref="Q862" si="105">(AVERAGE(J862,L862,N862)/G862)*H862</f>
        <v>0</v>
      </c>
      <c r="R862" s="161">
        <f t="shared" si="85"/>
        <v>1</v>
      </c>
      <c r="S862" s="187">
        <f>(SUM(P861:P864)/(SUM(P861:Q864)))</f>
        <v>0.33494558645707373</v>
      </c>
      <c r="T862" s="81"/>
      <c r="U862" s="81"/>
      <c r="V862" s="81"/>
      <c r="Y862" s="87"/>
      <c r="Z862" s="361"/>
      <c r="AA862" s="124"/>
      <c r="AB862" s="124"/>
    </row>
    <row r="863" spans="1:29" s="80" customFormat="1">
      <c r="A863" s="77">
        <v>42933</v>
      </c>
      <c r="B863" s="78"/>
      <c r="C863" s="78"/>
      <c r="D863" s="80" t="s">
        <v>17</v>
      </c>
      <c r="F863" s="87">
        <v>100</v>
      </c>
      <c r="G863" s="87" t="s">
        <v>355</v>
      </c>
      <c r="P863" s="124">
        <v>0</v>
      </c>
      <c r="Q863" s="124">
        <v>0</v>
      </c>
      <c r="R863" s="161" t="e">
        <f t="shared" si="85"/>
        <v>#DIV/0!</v>
      </c>
      <c r="S863" s="188"/>
      <c r="T863" s="81"/>
      <c r="U863" s="81"/>
      <c r="V863" s="81"/>
      <c r="Y863" s="87"/>
      <c r="Z863" s="361"/>
      <c r="AA863" s="124"/>
      <c r="AB863" s="124"/>
    </row>
    <row r="864" spans="1:29" s="80" customFormat="1">
      <c r="A864" s="77">
        <v>42933</v>
      </c>
      <c r="B864" s="78"/>
      <c r="C864" s="78"/>
      <c r="D864" s="80" t="s">
        <v>17</v>
      </c>
      <c r="F864" s="87" t="s">
        <v>203</v>
      </c>
      <c r="G864" s="87">
        <v>3</v>
      </c>
      <c r="H864" s="80">
        <v>275</v>
      </c>
      <c r="I864" s="80">
        <v>0</v>
      </c>
      <c r="J864" s="80">
        <v>1</v>
      </c>
      <c r="K864" s="80">
        <v>0</v>
      </c>
      <c r="L864" s="80">
        <v>0</v>
      </c>
      <c r="M864" s="80">
        <v>0</v>
      </c>
      <c r="N864" s="80">
        <v>1</v>
      </c>
      <c r="P864" s="124">
        <f t="shared" ref="P864:P872" si="106">(AVERAGE(I864,K864,M864)/G864)*H864</f>
        <v>0</v>
      </c>
      <c r="Q864" s="124">
        <f t="shared" ref="Q864:Q872" si="107">(AVERAGE(J864,L864,N864)/G864)*H864</f>
        <v>61.111111111111107</v>
      </c>
      <c r="R864" s="161">
        <f t="shared" si="85"/>
        <v>0</v>
      </c>
      <c r="S864" s="188"/>
      <c r="T864" s="81"/>
      <c r="U864" s="81"/>
      <c r="V864" s="81"/>
      <c r="Y864" s="87"/>
      <c r="Z864" s="361"/>
      <c r="AA864" s="124"/>
      <c r="AB864" s="124"/>
    </row>
    <row r="865" spans="1:29" s="80" customFormat="1">
      <c r="A865" s="77">
        <v>42933</v>
      </c>
      <c r="B865" s="78"/>
      <c r="C865" s="78"/>
      <c r="D865" s="80" t="s">
        <v>109</v>
      </c>
      <c r="F865" s="87">
        <v>224</v>
      </c>
      <c r="G865" s="87">
        <v>3</v>
      </c>
      <c r="H865" s="80">
        <v>260</v>
      </c>
      <c r="I865" s="80">
        <v>4</v>
      </c>
      <c r="J865" s="80">
        <v>0</v>
      </c>
      <c r="K865" s="80">
        <v>5</v>
      </c>
      <c r="L865" s="80">
        <v>0</v>
      </c>
      <c r="M865" s="80">
        <v>9</v>
      </c>
      <c r="N865" s="80">
        <v>0</v>
      </c>
      <c r="P865" s="346">
        <f t="shared" si="106"/>
        <v>520</v>
      </c>
      <c r="Q865" s="124">
        <f t="shared" si="107"/>
        <v>0</v>
      </c>
      <c r="R865" s="161">
        <f t="shared" si="85"/>
        <v>1</v>
      </c>
      <c r="S865" s="189" t="str">
        <f>D865</f>
        <v>HL-10 Low</v>
      </c>
      <c r="T865" s="81"/>
      <c r="U865" s="81"/>
      <c r="V865" s="81"/>
      <c r="Y865" s="87" t="str">
        <f>D865</f>
        <v>HL-10 Low</v>
      </c>
      <c r="Z865" s="352">
        <f>SUMIFS($P$765:$P$820, $D$765:$D$820, Y865, $F$765:$F$820, "&lt;200") + SUMIFS($Q$765:$Q$820, $D$765:$D$820, Y865, $F$765:$F$820, "&lt;200")</f>
        <v>10783.333333333334</v>
      </c>
      <c r="AA865" s="124">
        <f>SUM(P865:Q868)</f>
        <v>8668.8888888888887</v>
      </c>
      <c r="AB865" s="124">
        <f>SUMIFS(Collection!O:O, Collection!B:B, "*" &amp; 'Bucket Counts'!Y865 &amp; "*", Collection!A:A, "&lt;" &amp; 'Bucket Counts'!A865,Collection!A:A,  "&gt;=" &amp; 'Bucket Counts'!$A$765)</f>
        <v>0</v>
      </c>
      <c r="AC865" s="161">
        <f>AA865/(Z865+AB865)</f>
        <v>0.80391550747037599</v>
      </c>
    </row>
    <row r="866" spans="1:29" s="80" customFormat="1">
      <c r="A866" s="77">
        <v>42933</v>
      </c>
      <c r="B866" s="78"/>
      <c r="C866" s="78"/>
      <c r="D866" s="80" t="s">
        <v>109</v>
      </c>
      <c r="F866" s="87">
        <v>180</v>
      </c>
      <c r="G866" s="87">
        <v>3</v>
      </c>
      <c r="H866" s="80">
        <v>235</v>
      </c>
      <c r="I866" s="80">
        <v>57</v>
      </c>
      <c r="J866" s="80">
        <v>5</v>
      </c>
      <c r="K866" s="80">
        <v>56</v>
      </c>
      <c r="L866" s="80">
        <v>7</v>
      </c>
      <c r="M866" s="80">
        <v>45</v>
      </c>
      <c r="N866" s="80">
        <v>7</v>
      </c>
      <c r="P866" s="124">
        <f t="shared" si="106"/>
        <v>4125.5555555555547</v>
      </c>
      <c r="Q866" s="124">
        <f t="shared" si="107"/>
        <v>496.11111111111114</v>
      </c>
      <c r="R866" s="161">
        <f t="shared" si="85"/>
        <v>0.89265536723163841</v>
      </c>
      <c r="S866" s="187">
        <f>(SUM(P865:P868)/(SUM(P865:Q868)))</f>
        <v>0.58491412458344005</v>
      </c>
      <c r="T866" s="81"/>
      <c r="U866" s="81"/>
      <c r="V866" s="81"/>
      <c r="Y866" s="87"/>
      <c r="Z866" s="361"/>
      <c r="AA866" s="124"/>
      <c r="AB866" s="124"/>
    </row>
    <row r="867" spans="1:29" s="80" customFormat="1">
      <c r="A867" s="77">
        <v>42933</v>
      </c>
      <c r="B867" s="78"/>
      <c r="C867" s="78"/>
      <c r="D867" s="80" t="s">
        <v>109</v>
      </c>
      <c r="F867" s="87">
        <v>100</v>
      </c>
      <c r="G867" s="87">
        <v>3</v>
      </c>
      <c r="H867" s="80">
        <v>255</v>
      </c>
      <c r="I867" s="80">
        <v>2</v>
      </c>
      <c r="J867" s="80">
        <v>2</v>
      </c>
      <c r="K867" s="80">
        <v>3</v>
      </c>
      <c r="L867" s="80">
        <v>2</v>
      </c>
      <c r="M867" s="80">
        <v>10</v>
      </c>
      <c r="N867" s="80">
        <v>2</v>
      </c>
      <c r="P867" s="124">
        <f t="shared" si="106"/>
        <v>425</v>
      </c>
      <c r="Q867" s="124">
        <f t="shared" si="107"/>
        <v>170</v>
      </c>
      <c r="R867" s="161">
        <f t="shared" si="85"/>
        <v>0.7142857142857143</v>
      </c>
      <c r="S867" s="188"/>
      <c r="T867" s="81"/>
      <c r="U867" s="81"/>
      <c r="V867" s="81"/>
      <c r="Y867" s="87"/>
      <c r="Z867" s="361"/>
      <c r="AA867" s="124"/>
      <c r="AB867" s="124"/>
    </row>
    <row r="868" spans="1:29" s="80" customFormat="1">
      <c r="A868" s="77">
        <v>42933</v>
      </c>
      <c r="B868" s="78"/>
      <c r="C868" s="78"/>
      <c r="D868" s="80" t="s">
        <v>109</v>
      </c>
      <c r="F868" s="87" t="s">
        <v>203</v>
      </c>
      <c r="G868" s="87">
        <v>3</v>
      </c>
      <c r="H868" s="80">
        <v>290</v>
      </c>
      <c r="I868" s="80">
        <v>0</v>
      </c>
      <c r="J868" s="80">
        <v>33</v>
      </c>
      <c r="K868" s="80">
        <v>0</v>
      </c>
      <c r="L868" s="80">
        <v>32</v>
      </c>
      <c r="M868" s="80">
        <v>0</v>
      </c>
      <c r="N868" s="80">
        <v>26</v>
      </c>
      <c r="P868" s="124">
        <f t="shared" si="106"/>
        <v>0</v>
      </c>
      <c r="Q868" s="124">
        <f t="shared" si="107"/>
        <v>2932.2222222222222</v>
      </c>
      <c r="R868" s="161">
        <f t="shared" ref="R868:R912" si="108">P868/(P868+Q868)</f>
        <v>0</v>
      </c>
      <c r="S868" s="188"/>
      <c r="T868" s="81"/>
      <c r="U868" s="81"/>
      <c r="V868" s="81"/>
      <c r="Y868" s="87"/>
      <c r="Z868" s="361"/>
      <c r="AA868" s="124"/>
      <c r="AB868" s="124"/>
    </row>
    <row r="869" spans="1:29" s="80" customFormat="1">
      <c r="A869" s="77">
        <v>42933</v>
      </c>
      <c r="B869" s="78"/>
      <c r="C869" s="78"/>
      <c r="D869" s="80" t="s">
        <v>88</v>
      </c>
      <c r="F869" s="87">
        <v>224</v>
      </c>
      <c r="G869" s="87">
        <v>3</v>
      </c>
      <c r="H869" s="80">
        <v>275</v>
      </c>
      <c r="I869" s="80">
        <v>2</v>
      </c>
      <c r="J869" s="80">
        <v>0</v>
      </c>
      <c r="K869" s="80">
        <v>0</v>
      </c>
      <c r="L869" s="80">
        <v>0</v>
      </c>
      <c r="M869" s="80">
        <v>0</v>
      </c>
      <c r="N869" s="80">
        <v>0</v>
      </c>
      <c r="P869" s="124">
        <f t="shared" si="106"/>
        <v>61.111111111111107</v>
      </c>
      <c r="Q869" s="124">
        <f t="shared" si="107"/>
        <v>0</v>
      </c>
      <c r="R869" s="161">
        <f t="shared" si="108"/>
        <v>1</v>
      </c>
      <c r="S869" s="189" t="str">
        <f>D869</f>
        <v>HL-10 Ambient</v>
      </c>
      <c r="T869" s="81"/>
      <c r="U869" s="81"/>
      <c r="V869" s="81"/>
      <c r="Y869" s="87" t="str">
        <f>D869</f>
        <v>HL-10 Ambient</v>
      </c>
      <c r="Z869" s="352">
        <f>SUMIFS($P$765:$P$820, $D$765:$D$820, Y869, $F$765:$F$820, "&lt;200") + SUMIFS($Q$765:$Q$820, $D$765:$D$820, Y869, $F$765:$F$820, "&lt;200")</f>
        <v>15081.666666666666</v>
      </c>
      <c r="AA869" s="124">
        <f>SUM(P869:Q872)</f>
        <v>7761.1111111111113</v>
      </c>
      <c r="AB869" s="124">
        <f>SUMIFS(Collection!O:O, Collection!B:B, "*" &amp; 'Bucket Counts'!Y869 &amp; "*", Collection!A:A, "&lt;" &amp; 'Bucket Counts'!A869,Collection!A:A,  "&gt;=" &amp; 'Bucket Counts'!$A$765)</f>
        <v>0</v>
      </c>
      <c r="AC869" s="161">
        <f>AA869/(Z869+AB869)</f>
        <v>0.51460566545106279</v>
      </c>
    </row>
    <row r="870" spans="1:29" s="80" customFormat="1">
      <c r="A870" s="77">
        <v>42933</v>
      </c>
      <c r="B870" s="78"/>
      <c r="C870" s="78"/>
      <c r="D870" s="80" t="s">
        <v>88</v>
      </c>
      <c r="F870" s="87">
        <v>180</v>
      </c>
      <c r="G870" s="87">
        <v>3</v>
      </c>
      <c r="H870" s="80">
        <v>260</v>
      </c>
      <c r="I870" s="80">
        <v>20</v>
      </c>
      <c r="J870" s="80">
        <v>5</v>
      </c>
      <c r="K870" s="80">
        <v>12</v>
      </c>
      <c r="L870" s="80">
        <v>2</v>
      </c>
      <c r="M870" s="80">
        <v>14</v>
      </c>
      <c r="N870" s="80">
        <v>2</v>
      </c>
      <c r="P870" s="124">
        <f t="shared" si="106"/>
        <v>1328.8888888888889</v>
      </c>
      <c r="Q870" s="124">
        <f t="shared" si="107"/>
        <v>260</v>
      </c>
      <c r="R870" s="161">
        <f t="shared" si="108"/>
        <v>0.83636363636363642</v>
      </c>
      <c r="S870" s="187">
        <f>(SUM(P869:P872)/(SUM(P869:Q872)))</f>
        <v>0.41889763779527556</v>
      </c>
      <c r="T870" s="81"/>
      <c r="U870" s="81"/>
      <c r="V870" s="81"/>
      <c r="Y870" s="87"/>
      <c r="Z870" s="361"/>
      <c r="AA870" s="124"/>
      <c r="AB870" s="124"/>
    </row>
    <row r="871" spans="1:29" s="80" customFormat="1">
      <c r="A871" s="77">
        <v>42933</v>
      </c>
      <c r="B871" s="78"/>
      <c r="C871" s="78"/>
      <c r="D871" s="80" t="s">
        <v>88</v>
      </c>
      <c r="F871" s="87">
        <v>100</v>
      </c>
      <c r="G871" s="87">
        <v>3</v>
      </c>
      <c r="H871" s="80">
        <v>250</v>
      </c>
      <c r="I871" s="80">
        <v>20</v>
      </c>
      <c r="J871" s="80">
        <v>13</v>
      </c>
      <c r="K871" s="80">
        <v>24</v>
      </c>
      <c r="L871" s="80">
        <v>7</v>
      </c>
      <c r="M871" s="80">
        <v>23</v>
      </c>
      <c r="N871" s="80">
        <v>12</v>
      </c>
      <c r="P871" s="124">
        <f t="shared" si="106"/>
        <v>1861.1111111111109</v>
      </c>
      <c r="Q871" s="124">
        <f t="shared" si="107"/>
        <v>888.8888888888888</v>
      </c>
      <c r="R871" s="161">
        <f t="shared" si="108"/>
        <v>0.6767676767676768</v>
      </c>
      <c r="S871" s="188"/>
      <c r="T871" s="81"/>
      <c r="U871" s="81"/>
      <c r="V871" s="81"/>
      <c r="Y871" s="87"/>
      <c r="Z871" s="361"/>
      <c r="AA871" s="124"/>
      <c r="AB871" s="124"/>
    </row>
    <row r="872" spans="1:29" s="80" customFormat="1">
      <c r="A872" s="77">
        <v>42933</v>
      </c>
      <c r="B872" s="78"/>
      <c r="C872" s="78"/>
      <c r="D872" s="80" t="s">
        <v>88</v>
      </c>
      <c r="F872" s="87" t="s">
        <v>203</v>
      </c>
      <c r="G872" s="87">
        <v>3</v>
      </c>
      <c r="H872" s="80">
        <v>250</v>
      </c>
      <c r="I872" s="80">
        <v>0</v>
      </c>
      <c r="J872" s="80">
        <v>33</v>
      </c>
      <c r="K872" s="80">
        <v>0</v>
      </c>
      <c r="L872" s="80">
        <v>45</v>
      </c>
      <c r="M872" s="80">
        <v>0</v>
      </c>
      <c r="N872" s="80">
        <v>43</v>
      </c>
      <c r="P872" s="124">
        <f t="shared" si="106"/>
        <v>0</v>
      </c>
      <c r="Q872" s="124">
        <f t="shared" si="107"/>
        <v>3361.1111111111113</v>
      </c>
      <c r="R872" s="161">
        <f t="shared" si="108"/>
        <v>0</v>
      </c>
      <c r="S872" s="188"/>
      <c r="T872" s="81"/>
      <c r="U872" s="81"/>
      <c r="V872" s="81"/>
      <c r="Y872" s="87"/>
      <c r="Z872" s="361"/>
      <c r="AA872" s="124"/>
      <c r="AB872" s="124"/>
    </row>
    <row r="873" spans="1:29" s="80" customFormat="1">
      <c r="A873" s="77">
        <v>42933</v>
      </c>
      <c r="B873" s="78"/>
      <c r="C873" s="78"/>
      <c r="D873" s="80" t="s">
        <v>46</v>
      </c>
      <c r="F873" s="87">
        <v>224</v>
      </c>
      <c r="G873" s="87" t="s">
        <v>355</v>
      </c>
      <c r="P873" s="124">
        <v>18</v>
      </c>
      <c r="Q873" s="124">
        <v>1</v>
      </c>
      <c r="R873" s="161">
        <f t="shared" si="108"/>
        <v>0.94736842105263153</v>
      </c>
      <c r="S873" s="189" t="str">
        <f>D873</f>
        <v>K-6 Low</v>
      </c>
      <c r="T873" s="81"/>
      <c r="U873" s="81"/>
      <c r="V873" s="81"/>
      <c r="Y873" s="87" t="str">
        <f>D873</f>
        <v>K-6 Low</v>
      </c>
      <c r="Z873" s="352">
        <f>SUMIFS($P$765:$P$820, $D$765:$D$820, Y873, $F$765:$F$820, "&lt;200") + SUMIFS($Q$765:$Q$820, $D$765:$D$820, Y873, $F$765:$F$820, "&lt;200")</f>
        <v>1040</v>
      </c>
      <c r="AA873" s="124">
        <f>SUM(P873:Q876)</f>
        <v>647.33333333333326</v>
      </c>
      <c r="AB873" s="124">
        <f>SUMIFS(Collection!O:O, Collection!B:B, "*" &amp; 'Bucket Counts'!Y873 &amp; "*", Collection!A:A, "&lt;" &amp; 'Bucket Counts'!A873,Collection!A:A,  "&gt;=" &amp; 'Bucket Counts'!$A$765)</f>
        <v>0</v>
      </c>
      <c r="AC873" s="161">
        <f>AA873/(Z873+AB873)</f>
        <v>0.62243589743589733</v>
      </c>
    </row>
    <row r="874" spans="1:29" s="80" customFormat="1">
      <c r="A874" s="77">
        <v>42933</v>
      </c>
      <c r="B874" s="78"/>
      <c r="C874" s="78"/>
      <c r="D874" s="80" t="s">
        <v>46</v>
      </c>
      <c r="F874" s="87">
        <v>180</v>
      </c>
      <c r="G874" s="87">
        <v>3</v>
      </c>
      <c r="H874" s="80">
        <v>250</v>
      </c>
      <c r="I874" s="80">
        <v>1</v>
      </c>
      <c r="J874" s="80">
        <v>0</v>
      </c>
      <c r="K874" s="80">
        <v>3</v>
      </c>
      <c r="L874" s="80">
        <v>0</v>
      </c>
      <c r="M874" s="80">
        <v>3</v>
      </c>
      <c r="N874" s="80">
        <v>0</v>
      </c>
      <c r="P874" s="124">
        <f t="shared" ref="P874:P876" si="109">(AVERAGE(I874,K874,M874)/G874)*H874</f>
        <v>194.44444444444446</v>
      </c>
      <c r="Q874" s="124">
        <f t="shared" ref="Q874:Q876" si="110">(AVERAGE(J874,L874,N874)/G874)*H874</f>
        <v>0</v>
      </c>
      <c r="R874" s="161">
        <f t="shared" si="108"/>
        <v>1</v>
      </c>
      <c r="S874" s="187">
        <f>(SUM(P873:P876)/(SUM(P873:Q876)))</f>
        <v>0.37538619979402682</v>
      </c>
      <c r="T874" s="81"/>
      <c r="U874" s="81"/>
      <c r="V874" s="81"/>
      <c r="Y874" s="87"/>
      <c r="Z874" s="361"/>
      <c r="AA874" s="124"/>
      <c r="AB874" s="124"/>
    </row>
    <row r="875" spans="1:29" s="80" customFormat="1">
      <c r="A875" s="77">
        <v>42933</v>
      </c>
      <c r="B875" s="78"/>
      <c r="C875" s="78"/>
      <c r="D875" s="80" t="s">
        <v>46</v>
      </c>
      <c r="F875" s="87">
        <v>100</v>
      </c>
      <c r="G875" s="87">
        <v>3</v>
      </c>
      <c r="H875" s="80">
        <v>275</v>
      </c>
      <c r="I875" s="80">
        <v>1</v>
      </c>
      <c r="J875" s="80">
        <v>1</v>
      </c>
      <c r="K875" s="80">
        <v>0</v>
      </c>
      <c r="L875" s="80">
        <v>1</v>
      </c>
      <c r="M875" s="80">
        <v>0</v>
      </c>
      <c r="N875" s="80">
        <v>0</v>
      </c>
      <c r="P875" s="124">
        <f t="shared" si="109"/>
        <v>30.555555555555554</v>
      </c>
      <c r="Q875" s="124">
        <f t="shared" si="110"/>
        <v>61.111111111111107</v>
      </c>
      <c r="R875" s="161">
        <f t="shared" si="108"/>
        <v>0.33333333333333337</v>
      </c>
      <c r="S875" s="188"/>
      <c r="T875" s="81"/>
      <c r="U875" s="81"/>
      <c r="V875" s="81"/>
      <c r="Y875" s="87"/>
      <c r="Z875" s="361"/>
      <c r="AA875" s="124"/>
      <c r="AB875" s="124"/>
    </row>
    <row r="876" spans="1:29" s="80" customFormat="1" ht="16" thickBot="1">
      <c r="A876" s="77">
        <v>42933</v>
      </c>
      <c r="B876" s="78"/>
      <c r="C876" s="78"/>
      <c r="D876" s="80" t="s">
        <v>46</v>
      </c>
      <c r="F876" s="87" t="s">
        <v>203</v>
      </c>
      <c r="G876" s="87">
        <v>3</v>
      </c>
      <c r="H876" s="80">
        <v>280</v>
      </c>
      <c r="I876" s="80">
        <v>0</v>
      </c>
      <c r="J876" s="80">
        <v>4</v>
      </c>
      <c r="K876" s="80">
        <v>0</v>
      </c>
      <c r="L876" s="80">
        <v>5</v>
      </c>
      <c r="M876" s="80">
        <v>0</v>
      </c>
      <c r="N876" s="80">
        <v>2</v>
      </c>
      <c r="P876" s="124">
        <f t="shared" si="109"/>
        <v>0</v>
      </c>
      <c r="Q876" s="124">
        <f t="shared" si="110"/>
        <v>342.22222222222217</v>
      </c>
      <c r="R876" s="161">
        <f t="shared" si="108"/>
        <v>0</v>
      </c>
      <c r="S876" s="188"/>
      <c r="T876" s="81"/>
      <c r="U876" s="81"/>
      <c r="V876" s="81"/>
      <c r="Y876" s="87"/>
      <c r="Z876" s="361"/>
      <c r="AA876" s="124"/>
      <c r="AB876" s="124"/>
    </row>
    <row r="877" spans="1:29" s="241" customFormat="1">
      <c r="A877" s="304">
        <v>42936</v>
      </c>
      <c r="B877" s="239"/>
      <c r="C877" s="239"/>
      <c r="D877" s="271" t="s">
        <v>88</v>
      </c>
      <c r="F877" s="242">
        <v>224</v>
      </c>
      <c r="G877" s="242" t="s">
        <v>355</v>
      </c>
      <c r="P877" s="120">
        <v>20</v>
      </c>
      <c r="Q877" s="120">
        <v>7</v>
      </c>
      <c r="R877" s="120" t="e">
        <f t="shared" ref="R877" si="111">(AVERAGE(K877,M877,O877)/H877)*I877</f>
        <v>#DIV/0!</v>
      </c>
      <c r="S877" s="245" t="str">
        <f>D877</f>
        <v>HL-10 Ambient</v>
      </c>
      <c r="T877" s="246"/>
      <c r="U877" s="246"/>
      <c r="V877" s="246"/>
      <c r="Y877" s="89" t="str">
        <f>D877</f>
        <v>HL-10 Ambient</v>
      </c>
      <c r="Z877" s="351">
        <f>SUMIFS($P$821:$P$876, $D$821:$D$876, Y877, $F$821:$F$876, "&lt;200") + SUMIFS($Q$821:$Q$876, $D$821:$D$876, Y877, $F$821:$F$876, "&lt;200")</f>
        <v>4338.8888888888887</v>
      </c>
      <c r="AA877" s="120">
        <f>SUM(P877:Q880)</f>
        <v>3159.7777777777774</v>
      </c>
      <c r="AB877" s="120">
        <f>SUMIFS(Collection!O:O, Collection!B:B, "*" &amp; 'Bucket Counts'!Y877 &amp; "*", Collection!A:A, "&lt;" &amp; 'Bucket Counts'!A877,Collection!A:A,  "&gt;=" &amp; 'Bucket Counts'!$A$821)</f>
        <v>0</v>
      </c>
      <c r="AC877" s="106">
        <f>AA877/(Z877+AB877)</f>
        <v>0.72824583866837378</v>
      </c>
    </row>
    <row r="878" spans="1:29" s="62" customFormat="1">
      <c r="A878" s="88">
        <v>42936</v>
      </c>
      <c r="B878" s="60"/>
      <c r="C878" s="60"/>
      <c r="D878" s="61" t="s">
        <v>88</v>
      </c>
      <c r="E878" s="137"/>
      <c r="F878" s="89">
        <v>180</v>
      </c>
      <c r="G878" s="89">
        <v>3</v>
      </c>
      <c r="H878" s="62">
        <v>220</v>
      </c>
      <c r="I878" s="62">
        <v>2</v>
      </c>
      <c r="J878" s="62">
        <v>2</v>
      </c>
      <c r="K878" s="62">
        <v>5</v>
      </c>
      <c r="L878" s="62">
        <v>1</v>
      </c>
      <c r="M878" s="89">
        <v>3</v>
      </c>
      <c r="N878" s="62">
        <v>3</v>
      </c>
      <c r="P878" s="120">
        <f t="shared" ref="P878:P884" si="112">(AVERAGE(I878,K878,M878)/G878)*H878</f>
        <v>244.44444444444446</v>
      </c>
      <c r="Q878" s="120">
        <f t="shared" ref="Q878:Q884" si="113">(AVERAGE(J878,L878,N878)/G878)*H878</f>
        <v>146.66666666666666</v>
      </c>
      <c r="R878" s="106">
        <f t="shared" si="108"/>
        <v>0.62500000000000011</v>
      </c>
      <c r="S878" s="181">
        <f>(SUM(P877:P880)/(SUM(P877:Q880)))</f>
        <v>0.1047893663408116</v>
      </c>
      <c r="T878" s="65"/>
      <c r="U878" s="65"/>
      <c r="V878" s="65"/>
      <c r="Y878" s="89"/>
      <c r="Z878" s="357"/>
      <c r="AA878" s="120"/>
      <c r="AB878" s="120"/>
    </row>
    <row r="879" spans="1:29" s="62" customFormat="1">
      <c r="A879" s="88">
        <v>42936</v>
      </c>
      <c r="B879" s="60"/>
      <c r="C879" s="60"/>
      <c r="D879" s="61" t="s">
        <v>88</v>
      </c>
      <c r="E879" s="137"/>
      <c r="F879" s="89">
        <v>100</v>
      </c>
      <c r="G879" s="89">
        <v>3</v>
      </c>
      <c r="H879" s="62">
        <v>200</v>
      </c>
      <c r="I879" s="62">
        <v>1</v>
      </c>
      <c r="J879" s="62">
        <v>4</v>
      </c>
      <c r="K879" s="62">
        <v>1</v>
      </c>
      <c r="L879" s="62">
        <v>1</v>
      </c>
      <c r="M879" s="62">
        <v>1</v>
      </c>
      <c r="N879" s="62">
        <v>1</v>
      </c>
      <c r="P879" s="120">
        <f t="shared" si="112"/>
        <v>66.666666666666657</v>
      </c>
      <c r="Q879" s="120">
        <f t="shared" si="113"/>
        <v>133.33333333333331</v>
      </c>
      <c r="R879" s="106">
        <f t="shared" si="108"/>
        <v>0.33333333333333331</v>
      </c>
      <c r="S879" s="179"/>
      <c r="T879" s="65"/>
      <c r="U879" s="65"/>
      <c r="V879" s="65"/>
      <c r="Y879" s="89"/>
      <c r="Z879" s="357"/>
      <c r="AA879" s="120"/>
      <c r="AB879" s="120"/>
    </row>
    <row r="880" spans="1:29" s="62" customFormat="1">
      <c r="A880" s="88">
        <v>42936</v>
      </c>
      <c r="B880" s="60"/>
      <c r="C880" s="60"/>
      <c r="D880" s="61" t="s">
        <v>88</v>
      </c>
      <c r="E880" s="137"/>
      <c r="F880" s="89" t="s">
        <v>203</v>
      </c>
      <c r="G880" s="89">
        <v>2</v>
      </c>
      <c r="H880" s="62">
        <v>250</v>
      </c>
      <c r="I880" s="62">
        <v>0</v>
      </c>
      <c r="J880" s="62">
        <v>22</v>
      </c>
      <c r="K880" s="62">
        <v>0</v>
      </c>
      <c r="L880" s="62">
        <v>21</v>
      </c>
      <c r="M880" s="62">
        <v>0</v>
      </c>
      <c r="N880" s="62">
        <v>18</v>
      </c>
      <c r="P880" s="120">
        <f t="shared" si="112"/>
        <v>0</v>
      </c>
      <c r="Q880" s="120">
        <f t="shared" si="113"/>
        <v>2541.6666666666665</v>
      </c>
      <c r="R880" s="106">
        <f t="shared" si="108"/>
        <v>0</v>
      </c>
      <c r="S880" s="182"/>
      <c r="T880" s="65"/>
      <c r="U880" s="65"/>
      <c r="V880" s="65"/>
      <c r="Y880" s="89"/>
      <c r="Z880" s="357"/>
      <c r="AA880" s="120"/>
      <c r="AB880" s="120"/>
    </row>
    <row r="881" spans="1:29" s="62" customFormat="1">
      <c r="A881" s="88">
        <v>42936</v>
      </c>
      <c r="B881" s="60"/>
      <c r="C881" s="60"/>
      <c r="D881" s="62" t="s">
        <v>84</v>
      </c>
      <c r="E881" s="137"/>
      <c r="F881" s="89">
        <v>224</v>
      </c>
      <c r="G881" s="89" t="s">
        <v>355</v>
      </c>
      <c r="P881" s="346">
        <v>12</v>
      </c>
      <c r="Q881" s="120">
        <v>16</v>
      </c>
      <c r="R881" s="106">
        <f t="shared" si="108"/>
        <v>0.42857142857142855</v>
      </c>
      <c r="S881" s="183" t="str">
        <f>D881</f>
        <v>NF-10 Ambient</v>
      </c>
      <c r="T881" s="65"/>
      <c r="U881" s="65"/>
      <c r="V881" s="65"/>
      <c r="Y881" s="89" t="str">
        <f>D881</f>
        <v>NF-10 Ambient</v>
      </c>
      <c r="Z881" s="351">
        <f>SUMIFS($P$821:$P$876, $D$821:$D$876, Y881, $F$821:$F$876, "&lt;200") + SUMIFS($Q$821:$Q$876, $D$821:$D$876, Y881, $F$821:$F$876, "&lt;200")</f>
        <v>177.77777777777777</v>
      </c>
      <c r="AA881" s="120">
        <f>SUM(P881:Q884)</f>
        <v>223</v>
      </c>
      <c r="AB881" s="120">
        <f>SUMIFS(Collection!O:O, Collection!B:B, "*" &amp; 'Bucket Counts'!Y881 &amp; "*", Collection!A:A, "&lt;" &amp; 'Bucket Counts'!A881,Collection!A:A,  "&gt;=" &amp; 'Bucket Counts'!$A$821)</f>
        <v>0</v>
      </c>
      <c r="AC881" s="106">
        <f>AA881/(Z881+AB881)</f>
        <v>1.254375</v>
      </c>
    </row>
    <row r="882" spans="1:29" s="62" customFormat="1">
      <c r="A882" s="88">
        <v>42936</v>
      </c>
      <c r="B882" s="60"/>
      <c r="C882" s="60"/>
      <c r="D882" s="62" t="s">
        <v>84</v>
      </c>
      <c r="E882" s="137"/>
      <c r="F882" s="89">
        <v>180</v>
      </c>
      <c r="G882" s="89" t="s">
        <v>355</v>
      </c>
      <c r="P882" s="346">
        <v>25</v>
      </c>
      <c r="Q882" s="120">
        <v>30</v>
      </c>
      <c r="R882" s="106">
        <f t="shared" si="108"/>
        <v>0.45454545454545453</v>
      </c>
      <c r="S882" s="181">
        <f>(SUM(P881:P884)/(SUM(P881:Q884)))</f>
        <v>0.16591928251121077</v>
      </c>
      <c r="T882" s="65"/>
      <c r="U882" s="65"/>
      <c r="V882" s="65"/>
      <c r="Y882" s="89"/>
      <c r="Z882" s="357"/>
      <c r="AA882" s="120"/>
      <c r="AB882" s="120"/>
    </row>
    <row r="883" spans="1:29" s="62" customFormat="1">
      <c r="A883" s="88">
        <v>42936</v>
      </c>
      <c r="B883" s="60"/>
      <c r="C883" s="60"/>
      <c r="D883" s="62" t="s">
        <v>84</v>
      </c>
      <c r="E883" s="137"/>
      <c r="F883" s="89">
        <v>100</v>
      </c>
      <c r="G883" s="89">
        <v>3</v>
      </c>
      <c r="H883" s="62">
        <v>230</v>
      </c>
      <c r="I883" s="62">
        <v>0</v>
      </c>
      <c r="J883" s="62">
        <v>0</v>
      </c>
      <c r="K883" s="62">
        <v>0</v>
      </c>
      <c r="L883" s="62">
        <v>0</v>
      </c>
      <c r="M883" s="62">
        <v>0</v>
      </c>
      <c r="N883" s="62">
        <v>0</v>
      </c>
      <c r="P883" s="120">
        <f t="shared" si="112"/>
        <v>0</v>
      </c>
      <c r="Q883" s="120">
        <f t="shared" si="113"/>
        <v>0</v>
      </c>
      <c r="R883" s="106" t="e">
        <f t="shared" si="108"/>
        <v>#DIV/0!</v>
      </c>
      <c r="S883" s="182"/>
      <c r="T883" s="65"/>
      <c r="U883" s="65"/>
      <c r="V883" s="65"/>
      <c r="Y883" s="89"/>
      <c r="Z883" s="357"/>
      <c r="AA883" s="120"/>
      <c r="AB883" s="120"/>
    </row>
    <row r="884" spans="1:29" s="62" customFormat="1">
      <c r="A884" s="88">
        <v>42936</v>
      </c>
      <c r="B884" s="60"/>
      <c r="C884" s="60"/>
      <c r="D884" s="62" t="s">
        <v>84</v>
      </c>
      <c r="E884" s="137"/>
      <c r="F884" s="89" t="s">
        <v>203</v>
      </c>
      <c r="G884" s="89">
        <v>2</v>
      </c>
      <c r="H884" s="62">
        <v>280</v>
      </c>
      <c r="I884" s="62">
        <v>0</v>
      </c>
      <c r="J884" s="62">
        <v>0</v>
      </c>
      <c r="K884" s="62">
        <v>0</v>
      </c>
      <c r="L884" s="62">
        <v>1</v>
      </c>
      <c r="M884" s="62">
        <v>0</v>
      </c>
      <c r="N884" s="62">
        <v>2</v>
      </c>
      <c r="P884" s="120">
        <f t="shared" si="112"/>
        <v>0</v>
      </c>
      <c r="Q884" s="120">
        <f t="shared" si="113"/>
        <v>140</v>
      </c>
      <c r="R884" s="106">
        <f t="shared" si="108"/>
        <v>0</v>
      </c>
      <c r="S884" s="182"/>
      <c r="T884" s="65"/>
      <c r="U884" s="65"/>
      <c r="V884" s="65"/>
      <c r="Y884" s="89"/>
      <c r="Z884" s="357"/>
      <c r="AA884" s="120"/>
      <c r="AB884" s="120"/>
    </row>
    <row r="885" spans="1:29" s="62" customFormat="1">
      <c r="A885" s="88">
        <v>42936</v>
      </c>
      <c r="B885" s="60"/>
      <c r="C885" s="60"/>
      <c r="D885" s="62" t="s">
        <v>109</v>
      </c>
      <c r="F885" s="89">
        <v>224</v>
      </c>
      <c r="G885" s="89">
        <v>2</v>
      </c>
      <c r="H885" s="62">
        <v>300</v>
      </c>
      <c r="I885" s="62">
        <v>2</v>
      </c>
      <c r="J885" s="62">
        <v>0</v>
      </c>
      <c r="K885" s="62">
        <v>5</v>
      </c>
      <c r="L885" s="62">
        <v>0</v>
      </c>
      <c r="M885" s="62">
        <v>4</v>
      </c>
      <c r="N885" s="62">
        <v>1</v>
      </c>
      <c r="P885" s="346">
        <f t="shared" ref="P885" si="114">(AVERAGE(I885,K885,M885)/G885)*H885</f>
        <v>550</v>
      </c>
      <c r="Q885" s="120">
        <f t="shared" ref="Q885" si="115">(AVERAGE(J885,L885,N885)/G885)*H885</f>
        <v>50</v>
      </c>
      <c r="R885" s="106">
        <f t="shared" si="108"/>
        <v>0.91666666666666663</v>
      </c>
      <c r="S885" s="183" t="str">
        <f>D885</f>
        <v>HL-10 Low</v>
      </c>
      <c r="T885" s="65"/>
      <c r="U885" s="65"/>
      <c r="V885" s="65"/>
      <c r="W885" s="62" t="s">
        <v>364</v>
      </c>
      <c r="Y885" s="89" t="str">
        <f>D885</f>
        <v>HL-10 Low</v>
      </c>
      <c r="Z885" s="351">
        <f>SUMIFS($P$821:$P$876, $D$821:$D$876, Y885, $F$821:$F$876, "&lt;200") + SUMIFS($Q$821:$Q$876, $D$821:$D$876, Y885, $F$821:$F$876, "&lt;200")</f>
        <v>5216.6666666666661</v>
      </c>
      <c r="AA885" s="120">
        <f>SUM(P885:Q888)</f>
        <v>4900</v>
      </c>
      <c r="AB885" s="120">
        <f>SUMIFS(Collection!O:O, Collection!B:B, "*" &amp; 'Bucket Counts'!Y885 &amp; "*", Collection!A:A, "&lt;" &amp; 'Bucket Counts'!A885,Collection!A:A,  "&gt;=" &amp; 'Bucket Counts'!$A$821)</f>
        <v>0</v>
      </c>
      <c r="AC885" s="106">
        <f>AA885/(Z885+AB885)</f>
        <v>0.93929712460063908</v>
      </c>
    </row>
    <row r="886" spans="1:29" s="62" customFormat="1">
      <c r="A886" s="88">
        <v>42936</v>
      </c>
      <c r="B886" s="60"/>
      <c r="C886" s="60"/>
      <c r="D886" s="62" t="s">
        <v>109</v>
      </c>
      <c r="F886" s="89">
        <v>180</v>
      </c>
      <c r="G886" s="89">
        <v>2</v>
      </c>
      <c r="H886" s="62">
        <v>280</v>
      </c>
      <c r="I886" s="62">
        <v>8</v>
      </c>
      <c r="J886" s="62">
        <v>0</v>
      </c>
      <c r="K886" s="62">
        <v>7</v>
      </c>
      <c r="L886" s="62">
        <v>4</v>
      </c>
      <c r="M886" s="62">
        <v>6</v>
      </c>
      <c r="N886" s="62">
        <v>5</v>
      </c>
      <c r="P886" s="120">
        <f t="shared" ref="P886:P889" si="116">(AVERAGE(I886,K886,M886)/G886)*H886</f>
        <v>980</v>
      </c>
      <c r="Q886" s="120">
        <f t="shared" ref="Q886:Q889" si="117">(AVERAGE(J886,L886,N886)/G886)*H886</f>
        <v>420</v>
      </c>
      <c r="R886" s="106">
        <f t="shared" si="108"/>
        <v>0.7</v>
      </c>
      <c r="S886" s="181">
        <f>(SUM(P885:P888)/(SUM(P885:Q888)))</f>
        <v>0.34183673469387754</v>
      </c>
      <c r="T886" s="65"/>
      <c r="U886" s="65"/>
      <c r="V886" s="65"/>
      <c r="Y886" s="89"/>
      <c r="Z886" s="357"/>
      <c r="AA886" s="120"/>
      <c r="AB886" s="120"/>
    </row>
    <row r="887" spans="1:29" s="62" customFormat="1">
      <c r="A887" s="88">
        <v>42936</v>
      </c>
      <c r="B887" s="60"/>
      <c r="C887" s="60"/>
      <c r="D887" s="62" t="s">
        <v>109</v>
      </c>
      <c r="F887" s="89">
        <v>100</v>
      </c>
      <c r="G887" s="89">
        <v>2</v>
      </c>
      <c r="H887" s="62">
        <v>290</v>
      </c>
      <c r="I887" s="62">
        <v>2</v>
      </c>
      <c r="J887" s="62">
        <v>0</v>
      </c>
      <c r="K887" s="62">
        <v>1</v>
      </c>
      <c r="L887" s="62">
        <v>0</v>
      </c>
      <c r="M887" s="62">
        <v>0</v>
      </c>
      <c r="N887" s="62">
        <v>1</v>
      </c>
      <c r="P887" s="120">
        <f t="shared" si="116"/>
        <v>145</v>
      </c>
      <c r="Q887" s="120">
        <f t="shared" si="117"/>
        <v>48.333333333333329</v>
      </c>
      <c r="R887" s="106">
        <f t="shared" si="108"/>
        <v>0.75000000000000011</v>
      </c>
      <c r="S887" s="182"/>
      <c r="T887" s="65"/>
      <c r="U887" s="65"/>
      <c r="V887" s="65"/>
      <c r="Y887" s="89"/>
      <c r="Z887" s="357"/>
      <c r="AA887" s="120"/>
      <c r="AB887" s="120"/>
    </row>
    <row r="888" spans="1:29" s="62" customFormat="1">
      <c r="A888" s="88">
        <v>42936</v>
      </c>
      <c r="B888" s="60"/>
      <c r="C888" s="60"/>
      <c r="D888" s="62" t="s">
        <v>109</v>
      </c>
      <c r="F888" s="89" t="s">
        <v>203</v>
      </c>
      <c r="G888" s="89">
        <v>2</v>
      </c>
      <c r="H888" s="249">
        <v>290</v>
      </c>
      <c r="I888" s="62">
        <v>0</v>
      </c>
      <c r="J888" s="62">
        <v>21</v>
      </c>
      <c r="K888" s="62">
        <v>0</v>
      </c>
      <c r="L888" s="62">
        <v>20</v>
      </c>
      <c r="M888" s="62">
        <v>0</v>
      </c>
      <c r="N888" s="62">
        <v>15</v>
      </c>
      <c r="P888" s="120">
        <f t="shared" si="116"/>
        <v>0</v>
      </c>
      <c r="Q888" s="120">
        <f t="shared" si="117"/>
        <v>2706.666666666667</v>
      </c>
      <c r="R888" s="106">
        <f t="shared" si="108"/>
        <v>0</v>
      </c>
      <c r="S888" s="182"/>
      <c r="T888" s="65"/>
      <c r="U888" s="65"/>
      <c r="V888" s="65"/>
      <c r="Y888" s="89"/>
      <c r="Z888" s="357"/>
      <c r="AA888" s="120"/>
      <c r="AB888" s="120"/>
    </row>
    <row r="889" spans="1:29" s="62" customFormat="1">
      <c r="A889" s="88">
        <v>42936</v>
      </c>
      <c r="B889" s="60"/>
      <c r="C889" s="60"/>
      <c r="D889" s="61" t="s">
        <v>20</v>
      </c>
      <c r="F889" s="89">
        <v>224</v>
      </c>
      <c r="G889" s="89">
        <v>3</v>
      </c>
      <c r="H889" s="249">
        <v>250</v>
      </c>
      <c r="I889" s="62">
        <v>0</v>
      </c>
      <c r="J889" s="62">
        <v>0</v>
      </c>
      <c r="K889" s="62">
        <v>0</v>
      </c>
      <c r="L889" s="62">
        <v>0</v>
      </c>
      <c r="M889" s="62">
        <v>1</v>
      </c>
      <c r="N889" s="62">
        <v>0</v>
      </c>
      <c r="P889" s="120">
        <f t="shared" si="116"/>
        <v>27.777777777777775</v>
      </c>
      <c r="Q889" s="120">
        <f t="shared" si="117"/>
        <v>0</v>
      </c>
      <c r="R889" s="106">
        <f t="shared" si="108"/>
        <v>1</v>
      </c>
      <c r="S889" s="183" t="str">
        <f>D889</f>
        <v>K-10 Low</v>
      </c>
      <c r="T889" s="65"/>
      <c r="U889" s="65"/>
      <c r="V889" s="65"/>
      <c r="Y889" s="89" t="str">
        <f>D889</f>
        <v>K-10 Low</v>
      </c>
      <c r="Z889" s="351">
        <f>SUMIFS($P$821:$P$876, $D$821:$D$876, Y889, $F$821:$F$876, "&lt;200") + SUMIFS($Q$821:$Q$876, $D$821:$D$876, Y889, $F$821:$F$876, "&lt;200")</f>
        <v>136.66666666666666</v>
      </c>
      <c r="AA889" s="120">
        <f>SUM(P889:Q892)</f>
        <v>73.6111111111111</v>
      </c>
      <c r="AB889" s="120">
        <f>SUMIFS(Collection!O:O, Collection!B:B, "*" &amp; 'Bucket Counts'!Y889 &amp; "*", Collection!A:A, "&lt;" &amp; 'Bucket Counts'!A889,Collection!A:A,  "&gt;=" &amp; 'Bucket Counts'!$A$821)</f>
        <v>0</v>
      </c>
      <c r="AC889" s="106">
        <f>AA889/(Z889+AB889)</f>
        <v>0.53861788617886175</v>
      </c>
    </row>
    <row r="890" spans="1:29" s="62" customFormat="1">
      <c r="A890" s="88">
        <v>42936</v>
      </c>
      <c r="B890" s="60"/>
      <c r="C890" s="60"/>
      <c r="D890" s="61" t="s">
        <v>20</v>
      </c>
      <c r="F890" s="89">
        <v>180</v>
      </c>
      <c r="G890" s="89">
        <v>3</v>
      </c>
      <c r="H890" s="249">
        <v>275</v>
      </c>
      <c r="I890" s="62">
        <v>0</v>
      </c>
      <c r="J890" s="62">
        <v>0</v>
      </c>
      <c r="K890" s="62">
        <v>0</v>
      </c>
      <c r="L890" s="62">
        <v>0</v>
      </c>
      <c r="M890" s="62">
        <v>0</v>
      </c>
      <c r="N890" s="62">
        <v>0</v>
      </c>
      <c r="P890" s="120">
        <f t="shared" ref="P890:P896" si="118">(AVERAGE(I890,K890,M890)/G890)*H890</f>
        <v>0</v>
      </c>
      <c r="Q890" s="120">
        <f t="shared" ref="Q890:Q896" si="119">(AVERAGE(J890,L890,N890)/G890)*H890</f>
        <v>0</v>
      </c>
      <c r="R890" s="106" t="e">
        <f t="shared" si="108"/>
        <v>#DIV/0!</v>
      </c>
      <c r="S890" s="181">
        <f>(SUM(P889:P892)/(SUM(P889:Q892)))</f>
        <v>0.37735849056603776</v>
      </c>
      <c r="T890" s="65"/>
      <c r="U890" s="65"/>
      <c r="V890" s="65"/>
      <c r="Y890" s="89"/>
      <c r="Z890" s="357"/>
      <c r="AA890" s="120"/>
      <c r="AB890" s="120"/>
    </row>
    <row r="891" spans="1:29" s="62" customFormat="1">
      <c r="A891" s="88">
        <v>42936</v>
      </c>
      <c r="B891" s="60"/>
      <c r="C891" s="60"/>
      <c r="D891" s="61" t="s">
        <v>20</v>
      </c>
      <c r="F891" s="89">
        <v>100</v>
      </c>
      <c r="G891" s="89" t="s">
        <v>355</v>
      </c>
      <c r="H891" s="249"/>
      <c r="P891" s="120">
        <v>0</v>
      </c>
      <c r="Q891" s="120">
        <v>0</v>
      </c>
      <c r="R891" s="106" t="e">
        <f t="shared" si="108"/>
        <v>#DIV/0!</v>
      </c>
      <c r="S891" s="182"/>
      <c r="T891" s="65"/>
      <c r="U891" s="65"/>
      <c r="V891" s="65"/>
      <c r="Y891" s="89"/>
      <c r="Z891" s="357"/>
      <c r="AA891" s="120"/>
      <c r="AB891" s="120"/>
    </row>
    <row r="892" spans="1:29" s="62" customFormat="1">
      <c r="A892" s="88">
        <v>42936</v>
      </c>
      <c r="B892" s="60"/>
      <c r="C892" s="60"/>
      <c r="D892" s="61" t="s">
        <v>20</v>
      </c>
      <c r="F892" s="89" t="s">
        <v>203</v>
      </c>
      <c r="G892" s="89">
        <v>2</v>
      </c>
      <c r="H892" s="249">
        <v>275</v>
      </c>
      <c r="I892" s="62">
        <v>0</v>
      </c>
      <c r="J892" s="62">
        <v>1</v>
      </c>
      <c r="K892" s="62">
        <v>0</v>
      </c>
      <c r="L892" s="62">
        <v>0</v>
      </c>
      <c r="M892" s="62">
        <v>0</v>
      </c>
      <c r="N892" s="62">
        <v>0</v>
      </c>
      <c r="P892" s="120">
        <f t="shared" si="118"/>
        <v>0</v>
      </c>
      <c r="Q892" s="120">
        <f t="shared" si="119"/>
        <v>45.833333333333329</v>
      </c>
      <c r="R892" s="106">
        <f t="shared" si="108"/>
        <v>0</v>
      </c>
      <c r="S892" s="182"/>
      <c r="T892" s="65"/>
      <c r="U892" s="65"/>
      <c r="V892" s="65"/>
      <c r="Y892" s="89"/>
      <c r="Z892" s="357"/>
      <c r="AA892" s="120"/>
      <c r="AB892" s="120"/>
    </row>
    <row r="893" spans="1:29" s="62" customFormat="1">
      <c r="A893" s="88">
        <v>42936</v>
      </c>
      <c r="B893" s="60"/>
      <c r="C893" s="60"/>
      <c r="D893" s="61" t="s">
        <v>46</v>
      </c>
      <c r="F893" s="89">
        <v>224</v>
      </c>
      <c r="G893" s="89">
        <v>3</v>
      </c>
      <c r="H893" s="249">
        <v>275</v>
      </c>
      <c r="I893" s="62">
        <v>0</v>
      </c>
      <c r="J893" s="62">
        <v>0</v>
      </c>
      <c r="K893" s="62">
        <v>0</v>
      </c>
      <c r="L893" s="62">
        <v>0</v>
      </c>
      <c r="M893" s="62">
        <v>0</v>
      </c>
      <c r="N893" s="62">
        <v>0</v>
      </c>
      <c r="P893" s="120">
        <f t="shared" si="118"/>
        <v>0</v>
      </c>
      <c r="Q893" s="120">
        <f t="shared" si="119"/>
        <v>0</v>
      </c>
      <c r="R893" s="106" t="e">
        <f t="shared" si="108"/>
        <v>#DIV/0!</v>
      </c>
      <c r="S893" s="182"/>
      <c r="T893" s="65"/>
      <c r="U893" s="65"/>
      <c r="V893" s="65"/>
      <c r="Y893" s="89" t="str">
        <f>D893</f>
        <v>K-6 Low</v>
      </c>
      <c r="Z893" s="351">
        <f>SUMIFS($P$821:$P$876, $D$821:$D$876, Y893, $F$821:$F$876, "&lt;200") + SUMIFS($Q$821:$Q$876, $D$821:$D$876, Y893, $F$821:$F$876, "&lt;200")</f>
        <v>286.11111111111109</v>
      </c>
      <c r="AA893" s="120">
        <f>SUM(P893:Q896)</f>
        <v>108.88888888888889</v>
      </c>
      <c r="AB893" s="120">
        <f>SUMIFS(Collection!O:O, Collection!B:B, "*" &amp; 'Bucket Counts'!Y893 &amp; "*", Collection!A:A, "&lt;" &amp; 'Bucket Counts'!A893,Collection!A:A,  "&gt;=" &amp; 'Bucket Counts'!$A$821)</f>
        <v>0</v>
      </c>
      <c r="AC893" s="106">
        <f>AA893/(Z893+AB893)</f>
        <v>0.38058252427184469</v>
      </c>
    </row>
    <row r="894" spans="1:29" s="62" customFormat="1">
      <c r="A894" s="88">
        <v>42936</v>
      </c>
      <c r="B894" s="60"/>
      <c r="C894" s="60"/>
      <c r="D894" s="61" t="s">
        <v>46</v>
      </c>
      <c r="F894" s="89">
        <v>180</v>
      </c>
      <c r="G894" s="89">
        <v>3</v>
      </c>
      <c r="H894" s="249">
        <v>270</v>
      </c>
      <c r="I894" s="62">
        <v>0</v>
      </c>
      <c r="J894" s="62">
        <v>0</v>
      </c>
      <c r="K894" s="62">
        <v>0</v>
      </c>
      <c r="L894" s="62">
        <v>0</v>
      </c>
      <c r="M894" s="62">
        <v>0</v>
      </c>
      <c r="N894" s="62">
        <v>2</v>
      </c>
      <c r="P894" s="120">
        <f t="shared" si="118"/>
        <v>0</v>
      </c>
      <c r="Q894" s="120">
        <f t="shared" si="119"/>
        <v>60</v>
      </c>
      <c r="R894" s="106">
        <f t="shared" si="108"/>
        <v>0</v>
      </c>
      <c r="S894" s="182"/>
      <c r="T894" s="65"/>
      <c r="U894" s="65"/>
      <c r="V894" s="65"/>
      <c r="Y894" s="89"/>
      <c r="Z894" s="357"/>
      <c r="AA894" s="120"/>
      <c r="AB894" s="120"/>
    </row>
    <row r="895" spans="1:29" s="62" customFormat="1">
      <c r="A895" s="88">
        <v>42936</v>
      </c>
      <c r="B895" s="60"/>
      <c r="C895" s="60"/>
      <c r="D895" s="61" t="s">
        <v>46</v>
      </c>
      <c r="F895" s="89">
        <v>100</v>
      </c>
      <c r="G895" s="89">
        <v>3</v>
      </c>
      <c r="H895" s="249">
        <v>210</v>
      </c>
      <c r="I895" s="62">
        <v>0</v>
      </c>
      <c r="J895" s="62">
        <v>0</v>
      </c>
      <c r="K895" s="62">
        <v>0</v>
      </c>
      <c r="L895" s="62">
        <v>0</v>
      </c>
      <c r="M895" s="62">
        <v>0</v>
      </c>
      <c r="N895" s="62">
        <v>0</v>
      </c>
      <c r="P895" s="120">
        <f t="shared" si="118"/>
        <v>0</v>
      </c>
      <c r="Q895" s="120">
        <f t="shared" si="119"/>
        <v>0</v>
      </c>
      <c r="R895" s="106" t="e">
        <f t="shared" si="108"/>
        <v>#DIV/0!</v>
      </c>
      <c r="S895" s="182"/>
      <c r="T895" s="65"/>
      <c r="U895" s="65"/>
      <c r="V895" s="65"/>
      <c r="Y895" s="89"/>
      <c r="Z895" s="357"/>
      <c r="AA895" s="120"/>
      <c r="AB895" s="120"/>
    </row>
    <row r="896" spans="1:29" s="62" customFormat="1">
      <c r="A896" s="88">
        <v>42936</v>
      </c>
      <c r="B896" s="60"/>
      <c r="C896" s="60"/>
      <c r="D896" s="61" t="s">
        <v>46</v>
      </c>
      <c r="F896" s="89" t="s">
        <v>203</v>
      </c>
      <c r="G896" s="89">
        <v>3</v>
      </c>
      <c r="H896" s="249">
        <v>220</v>
      </c>
      <c r="I896" s="62">
        <v>0</v>
      </c>
      <c r="J896" s="62">
        <v>1</v>
      </c>
      <c r="K896" s="62">
        <v>0</v>
      </c>
      <c r="L896" s="62">
        <v>1</v>
      </c>
      <c r="M896" s="62">
        <v>0</v>
      </c>
      <c r="N896" s="62">
        <v>0</v>
      </c>
      <c r="P896" s="120">
        <f t="shared" si="118"/>
        <v>0</v>
      </c>
      <c r="Q896" s="120">
        <f t="shared" si="119"/>
        <v>48.888888888888886</v>
      </c>
      <c r="R896" s="106">
        <f t="shared" si="108"/>
        <v>0</v>
      </c>
      <c r="S896" s="182"/>
      <c r="T896" s="65"/>
      <c r="U896" s="65"/>
      <c r="V896" s="65"/>
      <c r="Y896" s="89"/>
      <c r="Z896" s="357"/>
      <c r="AA896" s="120"/>
      <c r="AB896" s="120"/>
    </row>
    <row r="897" spans="1:29" s="62" customFormat="1">
      <c r="A897" s="88">
        <v>42936</v>
      </c>
      <c r="B897" s="60"/>
      <c r="C897" s="60"/>
      <c r="D897" s="62" t="s">
        <v>21</v>
      </c>
      <c r="F897" s="89">
        <v>224</v>
      </c>
      <c r="G897" s="89">
        <v>3</v>
      </c>
      <c r="H897" s="249">
        <v>200</v>
      </c>
      <c r="I897" s="62">
        <v>0</v>
      </c>
      <c r="J897" s="62">
        <v>0</v>
      </c>
      <c r="K897" s="62">
        <v>1</v>
      </c>
      <c r="L897" s="62">
        <v>0</v>
      </c>
      <c r="M897" s="62">
        <v>2</v>
      </c>
      <c r="N897" s="62">
        <v>0</v>
      </c>
      <c r="P897" s="120">
        <f t="shared" ref="P897:P907" si="120">(AVERAGE(I897,K897,M897)/G897)*H897</f>
        <v>66.666666666666657</v>
      </c>
      <c r="Q897" s="120">
        <f t="shared" ref="Q897:Q912" si="121">(AVERAGE(J897,L897,N897)/G897)*H897</f>
        <v>0</v>
      </c>
      <c r="R897" s="106">
        <f t="shared" si="108"/>
        <v>1</v>
      </c>
      <c r="S897" s="183" t="str">
        <f>D897</f>
        <v>HL-6 Low</v>
      </c>
      <c r="T897" s="65"/>
      <c r="U897" s="65"/>
      <c r="V897" s="65"/>
      <c r="Y897" s="89" t="str">
        <f>D897</f>
        <v>HL-6 Low</v>
      </c>
      <c r="Z897" s="351">
        <f>SUMIFS($P$821:$P$876, $D$821:$D$876, Y897, $F$821:$F$876, "&lt;200") + SUMIFS($Q$821:$Q$876, $D$821:$D$876, Y897, $F$821:$F$876, "&lt;200")</f>
        <v>1155.5555555555557</v>
      </c>
      <c r="AA897" s="120">
        <f>SUM(P897:Q900)</f>
        <v>900</v>
      </c>
      <c r="AB897" s="120">
        <f>SUMIFS(Collection!O:O, Collection!B:B, "*" &amp; 'Bucket Counts'!Y897 &amp; "*", Collection!A:A, "&lt;" &amp; 'Bucket Counts'!A897,Collection!A:A,  "&gt;=" &amp; 'Bucket Counts'!$A$821)</f>
        <v>0</v>
      </c>
      <c r="AC897" s="106">
        <f>AA897/(Z897+AB897)</f>
        <v>0.77884615384615374</v>
      </c>
    </row>
    <row r="898" spans="1:29" s="62" customFormat="1">
      <c r="A898" s="88">
        <v>42936</v>
      </c>
      <c r="B898" s="60"/>
      <c r="C898" s="60"/>
      <c r="D898" s="62" t="s">
        <v>21</v>
      </c>
      <c r="F898" s="89">
        <v>180</v>
      </c>
      <c r="G898" s="89">
        <v>3</v>
      </c>
      <c r="H898" s="249">
        <v>300</v>
      </c>
      <c r="I898" s="62">
        <v>3</v>
      </c>
      <c r="J898" s="62">
        <v>1</v>
      </c>
      <c r="K898" s="62">
        <v>0</v>
      </c>
      <c r="L898" s="62">
        <v>0</v>
      </c>
      <c r="M898" s="62">
        <v>1</v>
      </c>
      <c r="N898" s="62">
        <v>0</v>
      </c>
      <c r="P898" s="303">
        <f t="shared" si="120"/>
        <v>133.33333333333331</v>
      </c>
      <c r="Q898" s="120">
        <f t="shared" si="121"/>
        <v>33.333333333333329</v>
      </c>
      <c r="R898" s="106">
        <f t="shared" si="108"/>
        <v>0.8</v>
      </c>
      <c r="S898" s="181">
        <f>(SUM(P897:P900)/(SUM(P897:Q900)))</f>
        <v>0.22222222222222218</v>
      </c>
      <c r="T898" s="65"/>
      <c r="U898" s="65"/>
      <c r="V898" s="65"/>
      <c r="Y898" s="89"/>
      <c r="Z898" s="357"/>
      <c r="AA898" s="120"/>
      <c r="AB898" s="120"/>
    </row>
    <row r="899" spans="1:29" s="62" customFormat="1">
      <c r="A899" s="88">
        <v>42936</v>
      </c>
      <c r="B899" s="60"/>
      <c r="C899" s="60"/>
      <c r="D899" s="62" t="s">
        <v>21</v>
      </c>
      <c r="F899" s="89">
        <v>100</v>
      </c>
      <c r="G899" s="89">
        <v>3</v>
      </c>
      <c r="H899" s="249">
        <v>200</v>
      </c>
      <c r="I899" s="62">
        <v>0</v>
      </c>
      <c r="J899" s="62">
        <v>0</v>
      </c>
      <c r="K899" s="62">
        <v>0</v>
      </c>
      <c r="L899" s="62">
        <v>0</v>
      </c>
      <c r="M899" s="62">
        <v>0</v>
      </c>
      <c r="N899" s="62">
        <v>0</v>
      </c>
      <c r="P899" s="120">
        <f t="shared" si="120"/>
        <v>0</v>
      </c>
      <c r="Q899" s="120">
        <f t="shared" si="121"/>
        <v>0</v>
      </c>
      <c r="R899" s="106" t="e">
        <f t="shared" si="108"/>
        <v>#DIV/0!</v>
      </c>
      <c r="S899" s="182"/>
      <c r="T899" s="65"/>
      <c r="U899" s="65"/>
      <c r="V899" s="65"/>
      <c r="Y899" s="89"/>
      <c r="Z899" s="357"/>
      <c r="AA899" s="120"/>
      <c r="AB899" s="120"/>
    </row>
    <row r="900" spans="1:29" s="62" customFormat="1">
      <c r="A900" s="88">
        <v>42936</v>
      </c>
      <c r="B900" s="60"/>
      <c r="C900" s="60"/>
      <c r="D900" s="62" t="s">
        <v>21</v>
      </c>
      <c r="F900" s="89" t="s">
        <v>203</v>
      </c>
      <c r="G900" s="89">
        <v>2</v>
      </c>
      <c r="H900" s="249">
        <v>250</v>
      </c>
      <c r="I900" s="62">
        <v>0</v>
      </c>
      <c r="J900" s="62">
        <v>3</v>
      </c>
      <c r="K900" s="62">
        <v>0</v>
      </c>
      <c r="L900" s="62">
        <v>7</v>
      </c>
      <c r="M900" s="62">
        <v>0</v>
      </c>
      <c r="N900" s="62">
        <v>6</v>
      </c>
      <c r="P900" s="120">
        <f t="shared" si="120"/>
        <v>0</v>
      </c>
      <c r="Q900" s="120">
        <f t="shared" si="121"/>
        <v>666.66666666666663</v>
      </c>
      <c r="R900" s="106">
        <f t="shared" si="108"/>
        <v>0</v>
      </c>
      <c r="S900" s="182"/>
      <c r="T900" s="65"/>
      <c r="U900" s="65"/>
      <c r="V900" s="65"/>
      <c r="Y900" s="89"/>
      <c r="Z900" s="357"/>
      <c r="AA900" s="120"/>
      <c r="AB900" s="120"/>
    </row>
    <row r="901" spans="1:29" s="62" customFormat="1">
      <c r="A901" s="88">
        <v>42936</v>
      </c>
      <c r="B901" s="60"/>
      <c r="C901" s="60"/>
      <c r="D901" s="272" t="s">
        <v>38</v>
      </c>
      <c r="F901" s="89">
        <v>224</v>
      </c>
      <c r="G901" s="89">
        <v>3</v>
      </c>
      <c r="H901" s="249">
        <v>300</v>
      </c>
      <c r="I901" s="62">
        <v>0</v>
      </c>
      <c r="J901" s="62">
        <v>0</v>
      </c>
      <c r="K901" s="62">
        <v>0</v>
      </c>
      <c r="L901" s="62">
        <v>0</v>
      </c>
      <c r="M901" s="62">
        <v>2</v>
      </c>
      <c r="N901" s="62">
        <v>0</v>
      </c>
      <c r="P901" s="120">
        <f t="shared" si="120"/>
        <v>66.666666666666657</v>
      </c>
      <c r="Q901" s="120">
        <f t="shared" si="121"/>
        <v>0</v>
      </c>
      <c r="R901" s="106">
        <f t="shared" si="108"/>
        <v>1</v>
      </c>
      <c r="S901" s="183" t="str">
        <f>D901</f>
        <v>K-6 Ambient</v>
      </c>
      <c r="T901" s="65"/>
      <c r="U901" s="65"/>
      <c r="V901" s="65"/>
      <c r="Y901" s="89" t="str">
        <f>D901</f>
        <v>K-6 Ambient</v>
      </c>
      <c r="Z901" s="351">
        <f>SUMIFS($P$821:$P$876, $D$821:$D$876, Y901, $F$821:$F$876, "&lt;200") + SUMIFS($Q$821:$Q$876, $D$821:$D$876, Y901, $F$821:$F$876, "&lt;200")</f>
        <v>398.66666666666669</v>
      </c>
      <c r="AA901" s="120">
        <f>SUM(P901:Q904)</f>
        <v>286.66666666666663</v>
      </c>
      <c r="AB901" s="120">
        <f>SUMIFS(Collection!O:O, Collection!B:B, "*" &amp; 'Bucket Counts'!Y901 &amp; "*", Collection!A:A, "&lt;" &amp; 'Bucket Counts'!A901,Collection!A:A,  "&gt;=" &amp; 'Bucket Counts'!$A$821)</f>
        <v>0</v>
      </c>
      <c r="AC901" s="106">
        <f>AA901/(Z901+AB901)</f>
        <v>0.71906354515050153</v>
      </c>
    </row>
    <row r="902" spans="1:29" s="62" customFormat="1">
      <c r="A902" s="88">
        <v>42936</v>
      </c>
      <c r="B902" s="60"/>
      <c r="C902" s="60"/>
      <c r="D902" s="272" t="s">
        <v>38</v>
      </c>
      <c r="F902" s="89">
        <v>180</v>
      </c>
      <c r="G902" s="89">
        <v>3</v>
      </c>
      <c r="H902" s="249">
        <v>240</v>
      </c>
      <c r="I902" s="62">
        <v>0</v>
      </c>
      <c r="J902" s="62">
        <v>1</v>
      </c>
      <c r="K902" s="62">
        <v>1</v>
      </c>
      <c r="L902" s="62">
        <v>0</v>
      </c>
      <c r="M902" s="62">
        <v>0</v>
      </c>
      <c r="N902" s="62">
        <v>1</v>
      </c>
      <c r="P902" s="120">
        <f t="shared" si="120"/>
        <v>26.666666666666664</v>
      </c>
      <c r="Q902" s="120">
        <f t="shared" si="121"/>
        <v>53.333333333333329</v>
      </c>
      <c r="R902" s="106">
        <f t="shared" si="108"/>
        <v>0.33333333333333331</v>
      </c>
      <c r="S902" s="181">
        <f>(SUM(P901:P904)/(SUM(P901:Q904)))</f>
        <v>0.32558139534883718</v>
      </c>
      <c r="T902" s="65"/>
      <c r="Y902" s="89"/>
      <c r="Z902" s="357"/>
      <c r="AA902" s="120"/>
      <c r="AB902" s="120"/>
    </row>
    <row r="903" spans="1:29" s="62" customFormat="1">
      <c r="A903" s="88">
        <v>42936</v>
      </c>
      <c r="B903" s="60"/>
      <c r="C903" s="60"/>
      <c r="D903" s="272" t="s">
        <v>38</v>
      </c>
      <c r="F903" s="89">
        <v>100</v>
      </c>
      <c r="G903" s="89">
        <v>3</v>
      </c>
      <c r="H903" s="249">
        <v>250</v>
      </c>
      <c r="I903" s="62">
        <v>0</v>
      </c>
      <c r="J903" s="62">
        <v>0</v>
      </c>
      <c r="K903" s="62">
        <v>0</v>
      </c>
      <c r="L903" s="62">
        <v>0</v>
      </c>
      <c r="M903" s="62">
        <v>0</v>
      </c>
      <c r="N903" s="62">
        <v>0</v>
      </c>
      <c r="P903" s="120">
        <f t="shared" si="120"/>
        <v>0</v>
      </c>
      <c r="Q903" s="120">
        <f t="shared" si="121"/>
        <v>0</v>
      </c>
      <c r="R903" s="106" t="e">
        <f t="shared" si="108"/>
        <v>#DIV/0!</v>
      </c>
      <c r="S903" s="182"/>
      <c r="T903" s="65"/>
      <c r="Y903" s="89"/>
      <c r="Z903" s="357"/>
      <c r="AA903" s="120"/>
      <c r="AB903" s="120"/>
    </row>
    <row r="904" spans="1:29" s="62" customFormat="1">
      <c r="A904" s="88">
        <v>42936</v>
      </c>
      <c r="B904" s="60"/>
      <c r="C904" s="60"/>
      <c r="D904" s="272" t="s">
        <v>38</v>
      </c>
      <c r="F904" s="89" t="s">
        <v>203</v>
      </c>
      <c r="G904" s="89">
        <v>2</v>
      </c>
      <c r="H904" s="249">
        <v>280</v>
      </c>
      <c r="I904" s="62">
        <v>0</v>
      </c>
      <c r="J904" s="62">
        <v>0</v>
      </c>
      <c r="K904" s="62">
        <v>0</v>
      </c>
      <c r="L904" s="62">
        <v>1</v>
      </c>
      <c r="M904" s="62">
        <v>0</v>
      </c>
      <c r="N904" s="62">
        <v>2</v>
      </c>
      <c r="P904" s="120">
        <f t="shared" si="120"/>
        <v>0</v>
      </c>
      <c r="Q904" s="120">
        <f t="shared" si="121"/>
        <v>140</v>
      </c>
      <c r="R904" s="106">
        <f t="shared" si="108"/>
        <v>0</v>
      </c>
      <c r="S904" s="182"/>
      <c r="T904" s="65"/>
      <c r="Y904" s="89"/>
      <c r="Z904" s="357"/>
      <c r="AA904" s="120"/>
      <c r="AB904" s="120"/>
    </row>
    <row r="905" spans="1:29" s="62" customFormat="1">
      <c r="A905" s="88">
        <v>42936</v>
      </c>
      <c r="B905" s="60"/>
      <c r="C905" s="60"/>
      <c r="D905" s="61" t="s">
        <v>83</v>
      </c>
      <c r="F905" s="89">
        <v>224</v>
      </c>
      <c r="G905" s="89">
        <v>3</v>
      </c>
      <c r="H905" s="249">
        <v>250</v>
      </c>
      <c r="I905" s="62">
        <v>4</v>
      </c>
      <c r="J905" s="62">
        <v>0</v>
      </c>
      <c r="K905" s="62">
        <v>1</v>
      </c>
      <c r="L905" s="62">
        <v>0</v>
      </c>
      <c r="M905" s="62">
        <v>1</v>
      </c>
      <c r="N905" s="62">
        <v>1</v>
      </c>
      <c r="P905" s="120">
        <f t="shared" si="120"/>
        <v>166.66666666666666</v>
      </c>
      <c r="Q905" s="120">
        <f t="shared" si="121"/>
        <v>27.777777777777775</v>
      </c>
      <c r="R905" s="106">
        <f t="shared" si="108"/>
        <v>0.85714285714285721</v>
      </c>
      <c r="S905" s="180" t="str">
        <f>D905</f>
        <v>NF-10 Low</v>
      </c>
      <c r="T905" s="65"/>
      <c r="Y905" s="89" t="str">
        <f>D905</f>
        <v>NF-10 Low</v>
      </c>
      <c r="Z905" s="351">
        <f>SUMIFS($P$821:$P$876, $D$821:$D$876, Y905, $F$821:$F$876, "&lt;200") + SUMIFS($Q$821:$Q$876, $D$821:$D$876, Y905, $F$821:$F$876, "&lt;200")</f>
        <v>975</v>
      </c>
      <c r="AA905" s="120">
        <f>SUM(P905:Q908)</f>
        <v>794.44444444444446</v>
      </c>
      <c r="AB905" s="120">
        <f>SUMIFS(Collection!O:O, Collection!B:B, "*" &amp; 'Bucket Counts'!Y905 &amp; "*", Collection!A:A, "&lt;" &amp; 'Bucket Counts'!A905,Collection!A:A,  "&gt;=" &amp; 'Bucket Counts'!$A$821)</f>
        <v>0</v>
      </c>
      <c r="AC905" s="106">
        <f>AA905/(Z905+AB905)</f>
        <v>0.81481481481481488</v>
      </c>
    </row>
    <row r="906" spans="1:29" s="62" customFormat="1">
      <c r="A906" s="88">
        <v>42936</v>
      </c>
      <c r="B906" s="60"/>
      <c r="C906" s="60"/>
      <c r="D906" s="61" t="s">
        <v>83</v>
      </c>
      <c r="F906" s="89">
        <v>180</v>
      </c>
      <c r="G906" s="89">
        <v>3</v>
      </c>
      <c r="H906" s="249">
        <v>250</v>
      </c>
      <c r="I906" s="62">
        <v>3</v>
      </c>
      <c r="J906" s="62">
        <v>0</v>
      </c>
      <c r="K906" s="62">
        <v>5</v>
      </c>
      <c r="L906" s="62">
        <v>0</v>
      </c>
      <c r="M906" s="62">
        <v>1</v>
      </c>
      <c r="N906" s="62">
        <v>0</v>
      </c>
      <c r="P906" s="120">
        <f t="shared" si="120"/>
        <v>250</v>
      </c>
      <c r="Q906" s="120">
        <f t="shared" si="121"/>
        <v>0</v>
      </c>
      <c r="R906" s="106">
        <f t="shared" si="108"/>
        <v>1</v>
      </c>
      <c r="S906" s="181">
        <f>(SUM(P905:P908)/(SUM(P905:Q908)))</f>
        <v>0.55594405594405594</v>
      </c>
      <c r="T906" s="65"/>
      <c r="Y906" s="89"/>
      <c r="Z906" s="357"/>
      <c r="AA906" s="120"/>
      <c r="AB906" s="120"/>
    </row>
    <row r="907" spans="1:29" s="62" customFormat="1">
      <c r="A907" s="88">
        <v>42936</v>
      </c>
      <c r="B907" s="60"/>
      <c r="C907" s="60"/>
      <c r="D907" s="61" t="s">
        <v>83</v>
      </c>
      <c r="F907" s="89">
        <v>100</v>
      </c>
      <c r="G907" s="89">
        <v>3</v>
      </c>
      <c r="H907" s="249">
        <v>225</v>
      </c>
      <c r="I907" s="62">
        <v>0</v>
      </c>
      <c r="J907" s="62">
        <v>0</v>
      </c>
      <c r="K907" s="62">
        <v>1</v>
      </c>
      <c r="L907" s="62">
        <v>0</v>
      </c>
      <c r="M907" s="62">
        <v>0</v>
      </c>
      <c r="N907" s="62">
        <v>1</v>
      </c>
      <c r="P907" s="120">
        <f t="shared" si="120"/>
        <v>25</v>
      </c>
      <c r="Q907" s="120">
        <f t="shared" si="121"/>
        <v>25</v>
      </c>
      <c r="R907" s="106">
        <f t="shared" si="108"/>
        <v>0.5</v>
      </c>
      <c r="S907" s="179"/>
      <c r="T907" s="65"/>
      <c r="Y907" s="89"/>
      <c r="Z907" s="357"/>
      <c r="AA907" s="120"/>
      <c r="AB907" s="120"/>
    </row>
    <row r="908" spans="1:29" s="62" customFormat="1">
      <c r="A908" s="88">
        <v>42936</v>
      </c>
      <c r="B908" s="60"/>
      <c r="C908" s="60"/>
      <c r="D908" s="61" t="s">
        <v>83</v>
      </c>
      <c r="F908" s="89" t="s">
        <v>203</v>
      </c>
      <c r="G908" s="89">
        <v>2</v>
      </c>
      <c r="H908" s="249">
        <v>300</v>
      </c>
      <c r="I908" s="62">
        <v>0</v>
      </c>
      <c r="J908" s="62">
        <v>1</v>
      </c>
      <c r="K908" s="62">
        <v>0</v>
      </c>
      <c r="L908" s="62">
        <v>3</v>
      </c>
      <c r="M908" s="62">
        <v>0</v>
      </c>
      <c r="N908" s="62">
        <v>2</v>
      </c>
      <c r="P908" s="120">
        <f>(AVERAGE(I908,K908,M908)/G908)*H908</f>
        <v>0</v>
      </c>
      <c r="Q908" s="120">
        <f t="shared" si="121"/>
        <v>300</v>
      </c>
      <c r="R908" s="106">
        <f t="shared" si="108"/>
        <v>0</v>
      </c>
      <c r="S908" s="182"/>
      <c r="T908" s="65"/>
      <c r="Y908" s="89"/>
      <c r="Z908" s="357"/>
      <c r="AA908" s="120"/>
      <c r="AB908" s="120"/>
    </row>
    <row r="909" spans="1:29" s="62" customFormat="1">
      <c r="A909" s="88">
        <v>42936</v>
      </c>
      <c r="B909" s="60"/>
      <c r="C909" s="60"/>
      <c r="D909" s="61" t="s">
        <v>86</v>
      </c>
      <c r="F909" s="89">
        <v>224</v>
      </c>
      <c r="G909" s="89">
        <v>2</v>
      </c>
      <c r="H909" s="249">
        <v>430</v>
      </c>
      <c r="I909" s="62">
        <v>48</v>
      </c>
      <c r="J909" s="62">
        <v>0</v>
      </c>
      <c r="K909" s="62">
        <v>31</v>
      </c>
      <c r="L909" s="62">
        <v>0</v>
      </c>
      <c r="M909" s="62">
        <v>32</v>
      </c>
      <c r="N909" s="62">
        <v>0</v>
      </c>
      <c r="P909" s="120">
        <f t="shared" ref="P909:P923" si="122">(AVERAGE(I909,K909,M909)/G909)*H909</f>
        <v>7955</v>
      </c>
      <c r="Q909" s="120">
        <f t="shared" si="121"/>
        <v>0</v>
      </c>
      <c r="R909" s="106">
        <f t="shared" si="108"/>
        <v>1</v>
      </c>
      <c r="S909" s="183" t="str">
        <f>D909</f>
        <v>SN-10 Ambient</v>
      </c>
      <c r="T909" s="65"/>
      <c r="Y909" s="89" t="str">
        <f>D909</f>
        <v>SN-10 Ambient</v>
      </c>
      <c r="Z909" s="351">
        <f>SUMIFS($P$821:$P$876, $D$821:$D$876, Y909, $F$821:$F$876, "&lt;200") + SUMIFS($Q$821:$Q$876, $D$821:$D$876, Y909, $F$821:$F$876, "&lt;200")</f>
        <v>45140</v>
      </c>
      <c r="AA909" s="120">
        <f>SUM(P909:Q912)</f>
        <v>27988.333333333336</v>
      </c>
      <c r="AB909" s="120">
        <f>SUMIFS(Collection!O:O, Collection!B:B, "*" &amp; 'Bucket Counts'!Y909 &amp; "*", Collection!A:A, "&lt;" &amp; 'Bucket Counts'!A909,Collection!A:A,  "&gt;=" &amp; 'Bucket Counts'!$A$821)</f>
        <v>0</v>
      </c>
      <c r="AC909" s="106">
        <f>AA909/(Z909+AB909)</f>
        <v>0.62003396839462421</v>
      </c>
    </row>
    <row r="910" spans="1:29" s="62" customFormat="1">
      <c r="A910" s="88">
        <v>42936</v>
      </c>
      <c r="B910" s="60"/>
      <c r="C910" s="60"/>
      <c r="D910" s="61" t="s">
        <v>86</v>
      </c>
      <c r="F910" s="89">
        <v>180</v>
      </c>
      <c r="G910" s="89">
        <v>1</v>
      </c>
      <c r="H910" s="249">
        <v>300</v>
      </c>
      <c r="I910" s="62">
        <v>18</v>
      </c>
      <c r="J910" s="62">
        <v>7</v>
      </c>
      <c r="K910" s="62">
        <v>24</v>
      </c>
      <c r="L910" s="62">
        <v>3</v>
      </c>
      <c r="M910" s="62">
        <v>23</v>
      </c>
      <c r="N910" s="62">
        <v>3</v>
      </c>
      <c r="P910" s="120">
        <f t="shared" si="122"/>
        <v>6500</v>
      </c>
      <c r="Q910" s="120">
        <f t="shared" si="121"/>
        <v>1300</v>
      </c>
      <c r="R910" s="106">
        <f t="shared" si="108"/>
        <v>0.83333333333333337</v>
      </c>
      <c r="S910" s="181">
        <f>(SUM(P909:P912)/(SUM(P909:Q912)))</f>
        <v>0.55672006193056622</v>
      </c>
      <c r="T910" s="65"/>
      <c r="Y910" s="89"/>
      <c r="Z910" s="357"/>
      <c r="AA910" s="120"/>
      <c r="AB910" s="120"/>
    </row>
    <row r="911" spans="1:29" s="62" customFormat="1">
      <c r="A911" s="88">
        <v>42936</v>
      </c>
      <c r="B911" s="60"/>
      <c r="C911" s="60"/>
      <c r="D911" s="61" t="s">
        <v>86</v>
      </c>
      <c r="F911" s="89">
        <v>100</v>
      </c>
      <c r="G911" s="89">
        <v>1</v>
      </c>
      <c r="H911" s="249">
        <v>260</v>
      </c>
      <c r="I911" s="62">
        <v>5</v>
      </c>
      <c r="J911" s="62">
        <v>10</v>
      </c>
      <c r="K911" s="62">
        <v>3</v>
      </c>
      <c r="L911" s="62">
        <v>6</v>
      </c>
      <c r="M911" s="62">
        <v>5</v>
      </c>
      <c r="N911" s="62">
        <v>6</v>
      </c>
      <c r="P911" s="120">
        <f t="shared" si="122"/>
        <v>1126.6666666666665</v>
      </c>
      <c r="Q911" s="120">
        <f t="shared" si="121"/>
        <v>1906.6666666666665</v>
      </c>
      <c r="R911" s="106">
        <f t="shared" si="108"/>
        <v>0.37142857142857144</v>
      </c>
      <c r="S911" s="182"/>
      <c r="T911" s="65"/>
      <c r="Y911" s="89"/>
      <c r="Z911" s="357"/>
      <c r="AA911" s="120"/>
      <c r="AB911" s="120"/>
    </row>
    <row r="912" spans="1:29" s="335" customFormat="1" ht="16" thickBot="1">
      <c r="A912" s="333">
        <v>42936</v>
      </c>
      <c r="B912" s="334"/>
      <c r="C912" s="334"/>
      <c r="D912" s="248" t="s">
        <v>86</v>
      </c>
      <c r="F912" s="336" t="s">
        <v>203</v>
      </c>
      <c r="G912" s="336">
        <v>1</v>
      </c>
      <c r="H912" s="337">
        <v>300</v>
      </c>
      <c r="I912" s="335">
        <v>0</v>
      </c>
      <c r="J912" s="335">
        <v>34</v>
      </c>
      <c r="K912" s="335">
        <v>0</v>
      </c>
      <c r="L912" s="335">
        <v>27</v>
      </c>
      <c r="M912" s="335">
        <v>0</v>
      </c>
      <c r="N912" s="335">
        <v>31</v>
      </c>
      <c r="P912" s="338">
        <f t="shared" si="122"/>
        <v>0</v>
      </c>
      <c r="Q912" s="338">
        <f t="shared" si="121"/>
        <v>9200</v>
      </c>
      <c r="R912" s="339">
        <f t="shared" si="108"/>
        <v>0</v>
      </c>
      <c r="S912" s="340"/>
      <c r="T912" s="341"/>
      <c r="Y912" s="336"/>
      <c r="Z912" s="366"/>
      <c r="AA912" s="338"/>
      <c r="AB912" s="338"/>
    </row>
    <row r="913" spans="1:29" s="75" customFormat="1">
      <c r="A913" s="72">
        <v>42941</v>
      </c>
      <c r="B913" s="73"/>
      <c r="C913" s="73"/>
      <c r="D913" s="75" t="s">
        <v>86</v>
      </c>
      <c r="F913" s="86">
        <v>224</v>
      </c>
      <c r="G913" s="86">
        <v>3</v>
      </c>
      <c r="H913" s="342">
        <v>375</v>
      </c>
      <c r="I913" s="75">
        <v>0</v>
      </c>
      <c r="J913" s="75">
        <v>5</v>
      </c>
      <c r="K913" s="75">
        <v>0</v>
      </c>
      <c r="L913" s="75">
        <v>12</v>
      </c>
      <c r="M913" s="75">
        <v>0</v>
      </c>
      <c r="N913" s="75">
        <v>11</v>
      </c>
      <c r="P913" s="122">
        <f t="shared" si="122"/>
        <v>0</v>
      </c>
      <c r="Q913" s="122">
        <f t="shared" ref="Q913:Q928" si="123">(AVERAGE(J913,L913,N913)/G913)*H913</f>
        <v>1166.6666666666667</v>
      </c>
      <c r="R913" s="160">
        <f t="shared" ref="R913:R928" si="124">P913/(P913+Q913)</f>
        <v>0</v>
      </c>
      <c r="S913" s="343" t="str">
        <f>D913</f>
        <v>SN-10 Ambient</v>
      </c>
      <c r="T913" s="76"/>
      <c r="U913" s="76"/>
      <c r="V913" s="76"/>
      <c r="Y913" s="87" t="str">
        <f>D913</f>
        <v>SN-10 Ambient</v>
      </c>
      <c r="Z913" s="352">
        <f>SUMIFS($P$877:$P$912, $D$877:$D$912, Y913, $F$877:$F$912, "&lt;200") + SUMIFS($Q$877:$Q$912, $D$877:$D$912, Y913, $F$877:$F$912, "&lt;200")</f>
        <v>10833.333333333332</v>
      </c>
      <c r="AA913" s="124">
        <f>SUM(P913:Q916)</f>
        <v>12190</v>
      </c>
      <c r="AB913" s="124">
        <f>SUMIFS(Collection!O:O, Collection!B:B, "*" &amp; 'Bucket Counts'!Y913 &amp; "*", Collection!A:A, "&lt;" &amp; 'Bucket Counts'!A913,Collection!A:A,  "&gt;=" &amp; 'Bucket Counts'!$A$877)</f>
        <v>0</v>
      </c>
      <c r="AC913" s="161">
        <f>AA913/(Z913+AB913)</f>
        <v>1.1252307692307693</v>
      </c>
    </row>
    <row r="914" spans="1:29" s="80" customFormat="1">
      <c r="A914" s="77">
        <v>42941</v>
      </c>
      <c r="B914" s="78"/>
      <c r="C914" s="78"/>
      <c r="D914" s="80" t="s">
        <v>86</v>
      </c>
      <c r="F914" s="87">
        <v>180</v>
      </c>
      <c r="G914" s="87">
        <v>3</v>
      </c>
      <c r="H914" s="229">
        <v>260</v>
      </c>
      <c r="I914" s="80">
        <v>0</v>
      </c>
      <c r="J914" s="80">
        <v>21</v>
      </c>
      <c r="K914" s="80">
        <v>0</v>
      </c>
      <c r="L914" s="80">
        <v>24</v>
      </c>
      <c r="M914" s="80">
        <v>0</v>
      </c>
      <c r="N914" s="80">
        <v>28</v>
      </c>
      <c r="P914" s="124">
        <f t="shared" si="122"/>
        <v>0</v>
      </c>
      <c r="Q914" s="124">
        <f t="shared" si="123"/>
        <v>2108.8888888888887</v>
      </c>
      <c r="R914" s="161">
        <f t="shared" si="124"/>
        <v>0</v>
      </c>
      <c r="S914" s="187">
        <f>(SUM(P913:P916)/(SUM(P913:Q916)))</f>
        <v>0</v>
      </c>
      <c r="T914" s="81"/>
      <c r="U914" s="81"/>
      <c r="V914" s="81"/>
      <c r="Y914" s="87"/>
      <c r="Z914" s="361"/>
      <c r="AA914" s="124"/>
      <c r="AB914" s="124"/>
    </row>
    <row r="915" spans="1:29" s="80" customFormat="1">
      <c r="A915" s="77">
        <v>42941</v>
      </c>
      <c r="B915" s="78"/>
      <c r="C915" s="78"/>
      <c r="D915" s="80" t="s">
        <v>86</v>
      </c>
      <c r="F915" s="87">
        <v>100</v>
      </c>
      <c r="G915" s="87">
        <v>3</v>
      </c>
      <c r="H915" s="229">
        <v>280</v>
      </c>
      <c r="I915" s="80">
        <v>0</v>
      </c>
      <c r="J915" s="80">
        <v>11</v>
      </c>
      <c r="K915" s="80">
        <v>0</v>
      </c>
      <c r="L915" s="80">
        <v>5</v>
      </c>
      <c r="M915" s="80">
        <v>0</v>
      </c>
      <c r="N915" s="80">
        <v>0</v>
      </c>
      <c r="P915" s="124">
        <f t="shared" si="122"/>
        <v>0</v>
      </c>
      <c r="Q915" s="124">
        <f t="shared" si="123"/>
        <v>497.77777777777777</v>
      </c>
      <c r="R915" s="161">
        <f t="shared" si="124"/>
        <v>0</v>
      </c>
      <c r="S915" s="188"/>
      <c r="T915" s="81"/>
      <c r="U915" s="81"/>
      <c r="V915" s="81"/>
      <c r="Y915" s="87"/>
      <c r="Z915" s="361"/>
      <c r="AA915" s="124"/>
      <c r="AB915" s="124"/>
    </row>
    <row r="916" spans="1:29" s="80" customFormat="1">
      <c r="A916" s="77">
        <v>42941</v>
      </c>
      <c r="B916" s="78"/>
      <c r="C916" s="78"/>
      <c r="D916" s="80" t="s">
        <v>86</v>
      </c>
      <c r="F916" s="87" t="s">
        <v>203</v>
      </c>
      <c r="G916" s="87">
        <v>3</v>
      </c>
      <c r="H916" s="229">
        <v>250</v>
      </c>
      <c r="I916" s="80">
        <v>0</v>
      </c>
      <c r="J916" s="80">
        <v>101</v>
      </c>
      <c r="K916" s="80">
        <v>0</v>
      </c>
      <c r="L916" s="80">
        <v>114</v>
      </c>
      <c r="M916" s="80">
        <v>0</v>
      </c>
      <c r="N916" s="80">
        <v>88</v>
      </c>
      <c r="P916" s="124">
        <f t="shared" si="122"/>
        <v>0</v>
      </c>
      <c r="Q916" s="124">
        <f t="shared" si="123"/>
        <v>8416.6666666666661</v>
      </c>
      <c r="R916" s="161">
        <f t="shared" si="124"/>
        <v>0</v>
      </c>
      <c r="S916" s="188"/>
      <c r="T916" s="81"/>
      <c r="U916" s="81"/>
      <c r="V916" s="81"/>
      <c r="Y916" s="87"/>
      <c r="Z916" s="361"/>
      <c r="AA916" s="124"/>
      <c r="AB916" s="124"/>
    </row>
    <row r="917" spans="1:29" s="80" customFormat="1">
      <c r="A917" s="77">
        <v>42941</v>
      </c>
      <c r="B917" s="78"/>
      <c r="C917" s="78"/>
      <c r="D917" s="332" t="s">
        <v>83</v>
      </c>
      <c r="F917" s="87">
        <v>224</v>
      </c>
      <c r="G917" s="87">
        <v>3</v>
      </c>
      <c r="H917" s="229">
        <v>240</v>
      </c>
      <c r="I917" s="80">
        <v>0</v>
      </c>
      <c r="J917" s="80">
        <v>0</v>
      </c>
      <c r="K917" s="80">
        <v>0</v>
      </c>
      <c r="L917" s="80">
        <v>0</v>
      </c>
      <c r="M917" s="80">
        <v>0</v>
      </c>
      <c r="N917" s="80">
        <v>1</v>
      </c>
      <c r="P917" s="124">
        <f t="shared" si="122"/>
        <v>0</v>
      </c>
      <c r="Q917" s="124">
        <f t="shared" si="123"/>
        <v>26.666666666666664</v>
      </c>
      <c r="R917" s="161">
        <f t="shared" si="124"/>
        <v>0</v>
      </c>
      <c r="S917" s="189" t="str">
        <f>D917</f>
        <v>NF-10 Low</v>
      </c>
      <c r="T917" s="81"/>
      <c r="U917" s="81"/>
      <c r="V917" s="81"/>
      <c r="Y917" s="87" t="str">
        <f>D917</f>
        <v>NF-10 Low</v>
      </c>
      <c r="Z917" s="352">
        <f>SUMIFS($P$877:$P$912, $D$877:$D$912, Y917, $F$877:$F$912, "&lt;200") + SUMIFS($Q$877:$Q$912, $D$877:$D$912, Y917, $F$877:$F$912, "&lt;200")</f>
        <v>300</v>
      </c>
      <c r="AA917" s="124">
        <f>SUM(P917:Q920)</f>
        <v>182.22222222222223</v>
      </c>
      <c r="AB917" s="124">
        <f>SUMIFS(Collection!O:O, Collection!B:B, "*" &amp; 'Bucket Counts'!Y917 &amp; "*", Collection!A:A, "&lt;" &amp; 'Bucket Counts'!A917,Collection!A:A,  "&gt;=" &amp; 'Bucket Counts'!$A$877)</f>
        <v>0</v>
      </c>
      <c r="AC917" s="161">
        <f>AA917/(Z917+AB917)</f>
        <v>0.6074074074074074</v>
      </c>
    </row>
    <row r="918" spans="1:29" s="80" customFormat="1">
      <c r="A918" s="77">
        <v>42941</v>
      </c>
      <c r="B918" s="78"/>
      <c r="C918" s="78"/>
      <c r="D918" s="332" t="s">
        <v>83</v>
      </c>
      <c r="F918" s="87">
        <v>180</v>
      </c>
      <c r="G918" s="87">
        <v>2</v>
      </c>
      <c r="H918" s="229">
        <v>100</v>
      </c>
      <c r="I918" s="80">
        <v>0</v>
      </c>
      <c r="J918" s="80">
        <v>0</v>
      </c>
      <c r="K918" s="80">
        <v>0</v>
      </c>
      <c r="L918" s="80">
        <v>1</v>
      </c>
      <c r="M918" s="80">
        <v>0</v>
      </c>
      <c r="N918" s="80">
        <v>1</v>
      </c>
      <c r="P918" s="124">
        <f t="shared" si="122"/>
        <v>0</v>
      </c>
      <c r="Q918" s="124">
        <f t="shared" si="123"/>
        <v>33.333333333333329</v>
      </c>
      <c r="R918" s="161">
        <f t="shared" si="124"/>
        <v>0</v>
      </c>
      <c r="S918" s="187">
        <f>(SUM(P917:P920)/(SUM(P917:Q920)))</f>
        <v>0</v>
      </c>
      <c r="T918" s="81"/>
      <c r="W918" s="80" t="s">
        <v>365</v>
      </c>
      <c r="Y918" s="87"/>
      <c r="Z918" s="361"/>
      <c r="AA918" s="124"/>
      <c r="AB918" s="124"/>
    </row>
    <row r="919" spans="1:29" s="80" customFormat="1">
      <c r="A919" s="77">
        <v>42941</v>
      </c>
      <c r="B919" s="78"/>
      <c r="C919" s="78"/>
      <c r="D919" s="332" t="s">
        <v>83</v>
      </c>
      <c r="F919" s="87">
        <v>100</v>
      </c>
      <c r="G919" s="87">
        <v>3</v>
      </c>
      <c r="H919" s="229">
        <v>200</v>
      </c>
      <c r="I919" s="80">
        <v>0</v>
      </c>
      <c r="J919" s="80">
        <v>1</v>
      </c>
      <c r="K919" s="80">
        <v>0</v>
      </c>
      <c r="L919" s="80">
        <v>0</v>
      </c>
      <c r="M919" s="80">
        <v>0</v>
      </c>
      <c r="N919" s="80">
        <v>0</v>
      </c>
      <c r="P919" s="124">
        <f t="shared" si="122"/>
        <v>0</v>
      </c>
      <c r="Q919" s="124">
        <f t="shared" si="123"/>
        <v>22.222222222222221</v>
      </c>
      <c r="R919" s="161">
        <f t="shared" si="124"/>
        <v>0</v>
      </c>
      <c r="S919" s="188"/>
      <c r="T919" s="81"/>
      <c r="Y919" s="87"/>
      <c r="Z919" s="361"/>
      <c r="AA919" s="124"/>
      <c r="AB919" s="124"/>
    </row>
    <row r="920" spans="1:29" s="80" customFormat="1">
      <c r="A920" s="77">
        <v>42941</v>
      </c>
      <c r="B920" s="78"/>
      <c r="C920" s="78"/>
      <c r="D920" s="332" t="s">
        <v>83</v>
      </c>
      <c r="F920" s="87" t="s">
        <v>203</v>
      </c>
      <c r="G920" s="87">
        <v>2</v>
      </c>
      <c r="H920" s="229">
        <v>200</v>
      </c>
      <c r="I920" s="80">
        <v>0</v>
      </c>
      <c r="J920" s="80">
        <v>2</v>
      </c>
      <c r="K920" s="80">
        <v>0</v>
      </c>
      <c r="L920" s="80">
        <v>1</v>
      </c>
      <c r="M920" s="80">
        <v>0</v>
      </c>
      <c r="N920" s="80">
        <v>0</v>
      </c>
      <c r="P920" s="124">
        <f t="shared" si="122"/>
        <v>0</v>
      </c>
      <c r="Q920" s="124">
        <f t="shared" si="123"/>
        <v>100</v>
      </c>
      <c r="R920" s="161">
        <f t="shared" si="124"/>
        <v>0</v>
      </c>
      <c r="S920" s="188"/>
      <c r="T920" s="81"/>
      <c r="Y920" s="87"/>
      <c r="Z920" s="361"/>
      <c r="AA920" s="124"/>
      <c r="AB920" s="124"/>
    </row>
    <row r="921" spans="1:29" s="80" customFormat="1">
      <c r="A921" s="77">
        <v>42941</v>
      </c>
      <c r="B921" s="78"/>
      <c r="C921" s="78"/>
      <c r="D921" s="79" t="s">
        <v>109</v>
      </c>
      <c r="F921" s="87">
        <v>224</v>
      </c>
      <c r="G921" s="87">
        <v>3</v>
      </c>
      <c r="H921" s="229">
        <v>225</v>
      </c>
      <c r="I921" s="80">
        <v>0</v>
      </c>
      <c r="J921" s="80">
        <v>3</v>
      </c>
      <c r="K921" s="80">
        <v>3</v>
      </c>
      <c r="L921" s="80">
        <v>0</v>
      </c>
      <c r="M921" s="80">
        <v>2</v>
      </c>
      <c r="N921" s="80">
        <v>1</v>
      </c>
      <c r="P921" s="124">
        <f t="shared" si="122"/>
        <v>125</v>
      </c>
      <c r="Q921" s="124">
        <f t="shared" si="123"/>
        <v>100</v>
      </c>
      <c r="R921" s="161">
        <f t="shared" si="124"/>
        <v>0.55555555555555558</v>
      </c>
      <c r="S921" s="186" t="str">
        <f>D921</f>
        <v>HL-10 Low</v>
      </c>
      <c r="T921" s="81"/>
      <c r="Y921" s="87" t="str">
        <f>D921</f>
        <v>HL-10 Low</v>
      </c>
      <c r="Z921" s="352">
        <f>SUMIFS($P$877:$P$912, $D$877:$D$912, Y921, $F$877:$F$912, "&lt;200") + SUMIFS($Q$877:$Q$912, $D$877:$D$912, Y921, $F$877:$F$912, "&lt;200")</f>
        <v>1593.3333333333333</v>
      </c>
      <c r="AA921" s="124">
        <f>SUM(P921:Q924)</f>
        <v>1791.6666666666665</v>
      </c>
      <c r="AB921" s="124">
        <f>SUMIFS(Collection!O:O, Collection!B:B, "*" &amp; 'Bucket Counts'!Y921 &amp; "*", Collection!A:A, "&lt;" &amp; 'Bucket Counts'!A921,Collection!A:A,  "&gt;=" &amp; 'Bucket Counts'!$A$877)</f>
        <v>0</v>
      </c>
      <c r="AC921" s="161">
        <f>AA921/(Z921+AB921)</f>
        <v>1.1244769874476988</v>
      </c>
    </row>
    <row r="922" spans="1:29" s="80" customFormat="1">
      <c r="A922" s="77">
        <v>42941</v>
      </c>
      <c r="B922" s="78"/>
      <c r="C922" s="78"/>
      <c r="D922" s="79" t="s">
        <v>109</v>
      </c>
      <c r="F922" s="87">
        <v>180</v>
      </c>
      <c r="G922" s="87">
        <v>3</v>
      </c>
      <c r="H922" s="229">
        <v>250</v>
      </c>
      <c r="I922" s="80">
        <v>2</v>
      </c>
      <c r="J922" s="80">
        <v>6</v>
      </c>
      <c r="K922" s="80">
        <v>2</v>
      </c>
      <c r="L922" s="80">
        <v>4</v>
      </c>
      <c r="M922" s="80">
        <v>2</v>
      </c>
      <c r="N922" s="80">
        <v>5</v>
      </c>
      <c r="P922" s="303">
        <f t="shared" si="122"/>
        <v>166.66666666666666</v>
      </c>
      <c r="Q922" s="124">
        <f t="shared" si="123"/>
        <v>416.66666666666669</v>
      </c>
      <c r="R922" s="161">
        <f t="shared" si="124"/>
        <v>0.2857142857142857</v>
      </c>
      <c r="S922" s="187">
        <f>(SUM(P921:P924)/(SUM(P921:Q924)))</f>
        <v>0.17519379844961239</v>
      </c>
      <c r="T922" s="81"/>
      <c r="Y922" s="87"/>
      <c r="Z922" s="361"/>
      <c r="AA922" s="124"/>
      <c r="AB922" s="124"/>
    </row>
    <row r="923" spans="1:29" s="80" customFormat="1">
      <c r="A923" s="77">
        <v>42941</v>
      </c>
      <c r="B923" s="78"/>
      <c r="C923" s="78"/>
      <c r="D923" s="79" t="s">
        <v>109</v>
      </c>
      <c r="F923" s="87">
        <v>100</v>
      </c>
      <c r="G923" s="87">
        <v>3</v>
      </c>
      <c r="H923" s="229">
        <v>200</v>
      </c>
      <c r="I923" s="80">
        <v>0</v>
      </c>
      <c r="J923" s="80">
        <v>0</v>
      </c>
      <c r="K923" s="80">
        <v>0</v>
      </c>
      <c r="L923" s="80">
        <v>2</v>
      </c>
      <c r="M923" s="80">
        <v>1</v>
      </c>
      <c r="N923" s="80">
        <v>0</v>
      </c>
      <c r="P923" s="124">
        <f t="shared" si="122"/>
        <v>22.222222222222221</v>
      </c>
      <c r="Q923" s="124">
        <f t="shared" si="123"/>
        <v>44.444444444444443</v>
      </c>
      <c r="R923" s="161">
        <f t="shared" si="124"/>
        <v>0.33333333333333337</v>
      </c>
      <c r="S923" s="185"/>
      <c r="T923" s="81"/>
      <c r="Y923" s="87"/>
      <c r="Z923" s="361"/>
      <c r="AA923" s="124"/>
      <c r="AB923" s="124"/>
    </row>
    <row r="924" spans="1:29" s="80" customFormat="1">
      <c r="A924" s="77">
        <v>42941</v>
      </c>
      <c r="B924" s="78"/>
      <c r="C924" s="78"/>
      <c r="D924" s="79" t="s">
        <v>109</v>
      </c>
      <c r="F924" s="87" t="s">
        <v>203</v>
      </c>
      <c r="G924" s="87">
        <v>2</v>
      </c>
      <c r="H924" s="229">
        <v>250</v>
      </c>
      <c r="I924" s="80">
        <v>0</v>
      </c>
      <c r="J924" s="80">
        <v>4</v>
      </c>
      <c r="K924" s="80">
        <v>0</v>
      </c>
      <c r="L924" s="80">
        <v>10</v>
      </c>
      <c r="M924" s="80">
        <v>0</v>
      </c>
      <c r="N924" s="80">
        <v>8</v>
      </c>
      <c r="P924" s="124">
        <f>(AVERAGE(I924,K924,M924)/G924)*H924</f>
        <v>0</v>
      </c>
      <c r="Q924" s="124">
        <f t="shared" si="123"/>
        <v>916.66666666666663</v>
      </c>
      <c r="R924" s="161">
        <f t="shared" si="124"/>
        <v>0</v>
      </c>
      <c r="S924" s="188"/>
      <c r="T924" s="81"/>
      <c r="Y924" s="87"/>
      <c r="Z924" s="361"/>
      <c r="AA924" s="124"/>
      <c r="AB924" s="124"/>
    </row>
    <row r="925" spans="1:29" s="80" customFormat="1">
      <c r="A925" s="77">
        <v>42941</v>
      </c>
      <c r="B925" s="78"/>
      <c r="C925" s="78"/>
      <c r="D925" s="79" t="s">
        <v>88</v>
      </c>
      <c r="F925" s="87">
        <v>224</v>
      </c>
      <c r="G925" s="87">
        <v>3</v>
      </c>
      <c r="H925" s="229">
        <v>250</v>
      </c>
      <c r="I925" s="80">
        <v>0</v>
      </c>
      <c r="J925" s="80">
        <v>1</v>
      </c>
      <c r="K925" s="80">
        <v>1</v>
      </c>
      <c r="L925" s="80">
        <v>0</v>
      </c>
      <c r="M925" s="80">
        <v>0</v>
      </c>
      <c r="N925" s="80">
        <v>1</v>
      </c>
      <c r="P925" s="124">
        <f t="shared" ref="P925:P928" si="125">(AVERAGE(I925,K925,M925)/G925)*H925</f>
        <v>27.777777777777775</v>
      </c>
      <c r="Q925" s="124">
        <f t="shared" si="123"/>
        <v>55.55555555555555</v>
      </c>
      <c r="R925" s="161">
        <f t="shared" si="124"/>
        <v>0.33333333333333331</v>
      </c>
      <c r="S925" s="189" t="str">
        <f>D925</f>
        <v>HL-10 Ambient</v>
      </c>
      <c r="T925" s="81"/>
      <c r="Y925" s="87" t="str">
        <f>D925</f>
        <v>HL-10 Ambient</v>
      </c>
      <c r="Z925" s="352">
        <f>SUMIFS($P$877:$P$912, $D$877:$D$912, Y925, $F$877:$F$912, "&lt;200") + SUMIFS($Q$877:$Q$912, $D$877:$D$912, Y925, $F$877:$F$912, "&lt;200")</f>
        <v>591.11111111111109</v>
      </c>
      <c r="AA925" s="124">
        <f>SUM(P925:Q928)</f>
        <v>561.11111111111109</v>
      </c>
      <c r="AB925" s="124">
        <f>SUMIFS(Collection!O:O, Collection!B:B, "*" &amp; 'Bucket Counts'!Y925 &amp; "*", Collection!A:A, "&lt;" &amp; 'Bucket Counts'!A925,Collection!A:A,  "&gt;=" &amp; 'Bucket Counts'!$A$877)</f>
        <v>0</v>
      </c>
      <c r="AC925" s="161">
        <f>AA925/(Z925+AB925)</f>
        <v>0.9492481203007519</v>
      </c>
    </row>
    <row r="926" spans="1:29" s="80" customFormat="1">
      <c r="A926" s="77">
        <v>42941</v>
      </c>
      <c r="B926" s="78"/>
      <c r="C926" s="78"/>
      <c r="D926" s="79" t="s">
        <v>88</v>
      </c>
      <c r="F926" s="87">
        <v>180</v>
      </c>
      <c r="G926" s="87">
        <v>3</v>
      </c>
      <c r="H926" s="229">
        <v>250</v>
      </c>
      <c r="I926" s="80">
        <v>0</v>
      </c>
      <c r="J926" s="80">
        <v>1</v>
      </c>
      <c r="K926" s="80">
        <v>1</v>
      </c>
      <c r="L926" s="80">
        <v>2</v>
      </c>
      <c r="M926" s="80">
        <v>2</v>
      </c>
      <c r="N926" s="80">
        <v>1</v>
      </c>
      <c r="P926" s="303">
        <f t="shared" si="125"/>
        <v>83.333333333333329</v>
      </c>
      <c r="Q926" s="124">
        <f t="shared" si="123"/>
        <v>111.1111111111111</v>
      </c>
      <c r="R926" s="161">
        <f t="shared" si="124"/>
        <v>0.4285714285714286</v>
      </c>
      <c r="S926" s="187">
        <f>(SUM(P925:P928)/(SUM(P925:Q928)))</f>
        <v>0.198019801980198</v>
      </c>
      <c r="T926" s="81"/>
      <c r="Y926" s="87"/>
      <c r="Z926" s="361"/>
      <c r="AA926" s="124"/>
      <c r="AB926" s="124"/>
    </row>
    <row r="927" spans="1:29" s="80" customFormat="1">
      <c r="A927" s="77">
        <v>42941</v>
      </c>
      <c r="B927" s="78"/>
      <c r="C927" s="78"/>
      <c r="D927" s="79" t="s">
        <v>88</v>
      </c>
      <c r="F927" s="87">
        <v>100</v>
      </c>
      <c r="G927" s="87">
        <v>3</v>
      </c>
      <c r="H927" s="229">
        <v>200</v>
      </c>
      <c r="I927" s="80">
        <v>0</v>
      </c>
      <c r="J927" s="80">
        <v>0</v>
      </c>
      <c r="K927" s="80">
        <v>0</v>
      </c>
      <c r="L927" s="80">
        <v>0</v>
      </c>
      <c r="M927" s="80">
        <v>0</v>
      </c>
      <c r="N927" s="80">
        <v>0</v>
      </c>
      <c r="P927" s="124">
        <f t="shared" si="125"/>
        <v>0</v>
      </c>
      <c r="Q927" s="124">
        <f t="shared" si="123"/>
        <v>0</v>
      </c>
      <c r="R927" s="161" t="e">
        <f t="shared" si="124"/>
        <v>#DIV/0!</v>
      </c>
      <c r="S927" s="188"/>
      <c r="T927" s="81"/>
      <c r="Y927" s="87"/>
      <c r="Z927" s="361"/>
      <c r="AA927" s="124"/>
      <c r="AB927" s="124"/>
    </row>
    <row r="928" spans="1:29" s="85" customFormat="1" ht="16" thickBot="1">
      <c r="A928" s="82">
        <v>42941</v>
      </c>
      <c r="B928" s="83"/>
      <c r="C928" s="83"/>
      <c r="D928" s="84" t="s">
        <v>88</v>
      </c>
      <c r="F928" s="140" t="s">
        <v>203</v>
      </c>
      <c r="G928" s="140">
        <v>3</v>
      </c>
      <c r="H928" s="344">
        <v>150</v>
      </c>
      <c r="I928" s="85">
        <v>0</v>
      </c>
      <c r="J928" s="85">
        <v>7</v>
      </c>
      <c r="K928" s="85">
        <v>0</v>
      </c>
      <c r="L928" s="85">
        <v>3</v>
      </c>
      <c r="M928" s="85">
        <v>0</v>
      </c>
      <c r="N928" s="85">
        <v>7</v>
      </c>
      <c r="P928" s="141">
        <f t="shared" si="125"/>
        <v>0</v>
      </c>
      <c r="Q928" s="141">
        <f t="shared" si="123"/>
        <v>283.33333333333337</v>
      </c>
      <c r="R928" s="164">
        <f t="shared" si="124"/>
        <v>0</v>
      </c>
      <c r="S928" s="199"/>
      <c r="T928" s="345"/>
      <c r="Y928" s="140"/>
      <c r="Z928" s="363"/>
      <c r="AA928" s="141"/>
      <c r="AB928" s="141"/>
    </row>
    <row r="929" spans="29:29">
      <c r="AC929" s="368">
        <f>AVERAGE(AC193:AC928)</f>
        <v>0.93532630874381129</v>
      </c>
    </row>
  </sheetData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Resources!$A$2:$A$17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52"/>
  <sheetViews>
    <sheetView showRuler="0" topLeftCell="A68" workbookViewId="0">
      <selection activeCell="J152" sqref="J152"/>
    </sheetView>
  </sheetViews>
  <sheetFormatPr baseColWidth="10" defaultRowHeight="15" x14ac:dyDescent="0"/>
  <cols>
    <col min="1" max="1" width="19" customWidth="1"/>
    <col min="2" max="2" width="4.1640625" style="17" customWidth="1"/>
    <col min="3" max="3" width="12.6640625" customWidth="1"/>
    <col min="4" max="4" width="14.1640625" customWidth="1"/>
    <col min="5" max="5" width="12.83203125" customWidth="1"/>
    <col min="6" max="6" width="11.5" customWidth="1"/>
    <col min="7" max="7" width="16.1640625" customWidth="1"/>
    <col min="8" max="8" width="11.5" customWidth="1"/>
    <col min="9" max="9" width="14" customWidth="1"/>
    <col min="10" max="10" width="18.1640625" customWidth="1"/>
    <col min="11" max="12" width="13.1640625" customWidth="1"/>
    <col min="13" max="13" width="9.1640625" customWidth="1"/>
    <col min="14" max="17" width="10.83203125" customWidth="1"/>
    <col min="18" max="18" width="16.5" customWidth="1"/>
    <col min="19" max="19" width="12.6640625" customWidth="1"/>
    <col min="20" max="21" width="10.83203125" customWidth="1"/>
    <col min="25" max="25" width="13.1640625" customWidth="1"/>
    <col min="26" max="26" width="24.5" customWidth="1"/>
    <col min="34" max="34" width="11.5" bestFit="1" customWidth="1"/>
  </cols>
  <sheetData>
    <row r="1" spans="1:34" ht="91" thickBot="1">
      <c r="A1" s="32" t="s">
        <v>216</v>
      </c>
      <c r="C1" s="200" t="s">
        <v>120</v>
      </c>
      <c r="D1" s="200" t="s">
        <v>307</v>
      </c>
      <c r="E1" s="200" t="s">
        <v>122</v>
      </c>
      <c r="F1" s="200" t="s">
        <v>177</v>
      </c>
      <c r="G1" s="200" t="s">
        <v>178</v>
      </c>
      <c r="H1" s="200" t="s">
        <v>210</v>
      </c>
      <c r="I1" s="200" t="s">
        <v>218</v>
      </c>
      <c r="J1" s="202" t="s">
        <v>137</v>
      </c>
      <c r="K1" s="260" t="s">
        <v>217</v>
      </c>
      <c r="L1" s="32" t="s">
        <v>306</v>
      </c>
      <c r="M1" s="32" t="s">
        <v>349</v>
      </c>
      <c r="N1" s="32" t="s">
        <v>371</v>
      </c>
      <c r="O1" s="32" t="s">
        <v>373</v>
      </c>
      <c r="P1" s="32" t="s">
        <v>372</v>
      </c>
      <c r="Q1" s="32" t="s">
        <v>374</v>
      </c>
      <c r="R1" s="32" t="s">
        <v>350</v>
      </c>
      <c r="S1" s="32" t="s">
        <v>353</v>
      </c>
      <c r="T1" s="32" t="s">
        <v>354</v>
      </c>
      <c r="U1" s="32" t="s">
        <v>361</v>
      </c>
      <c r="V1" s="32" t="s">
        <v>362</v>
      </c>
      <c r="W1" s="32" t="s">
        <v>352</v>
      </c>
      <c r="X1" s="32" t="s">
        <v>351</v>
      </c>
      <c r="AC1" t="s">
        <v>388</v>
      </c>
      <c r="AD1" t="s">
        <v>302</v>
      </c>
      <c r="AE1" s="32" t="s">
        <v>362</v>
      </c>
      <c r="AF1" s="32" t="s">
        <v>352</v>
      </c>
      <c r="AG1" s="32" t="s">
        <v>351</v>
      </c>
      <c r="AH1" s="222" t="s">
        <v>374</v>
      </c>
    </row>
    <row r="2" spans="1:34">
      <c r="A2" s="14" t="s">
        <v>98</v>
      </c>
      <c r="C2" s="17">
        <f>SUMIF(Collection!B:B, A2, Collection!J:J)</f>
        <v>694863.33333333326</v>
      </c>
      <c r="D2" s="17">
        <f>COUNTIFS(Collection!B:B, A2, Collection!O:O, "&gt;0", Collection!J:J, "&gt;5,000")</f>
        <v>3</v>
      </c>
      <c r="E2">
        <v>15</v>
      </c>
      <c r="F2">
        <v>37.5</v>
      </c>
      <c r="G2">
        <v>8</v>
      </c>
      <c r="H2" s="17">
        <f t="shared" ref="H2:H25" si="0">C2/E2</f>
        <v>46324.222222222219</v>
      </c>
      <c r="I2" s="17">
        <f>SUMIF(Collection!B:B, 'Total Larvae to Date'!A2, Collection!O:O)</f>
        <v>213510.00000000003</v>
      </c>
      <c r="J2" s="203" t="s">
        <v>84</v>
      </c>
      <c r="K2" s="118">
        <f>SUM(C2:C3)</f>
        <v>1116063.3333333333</v>
      </c>
      <c r="L2" s="118">
        <f>SUM(D2:D3)</f>
        <v>5</v>
      </c>
      <c r="M2" s="17">
        <f>SUM(L28:L29)</f>
        <v>319276.66666666669</v>
      </c>
      <c r="N2" s="17">
        <f>SUMIFS('Bucket Counts'!P:P, 'Bucket Counts'!F:F, "100 Morts", 'Bucket Counts'!D:D, 'Total Larvae to Date'!J2 &amp;"*")</f>
        <v>10215.555555555557</v>
      </c>
      <c r="O2" s="17">
        <f>'Bucket Counts'!P882+'Bucket Counts'!P881+'Bucket Counts'!AD389+'Bucket Counts'!P857</f>
        <v>34597.444444444453</v>
      </c>
      <c r="P2" s="17"/>
      <c r="Q2" s="17">
        <f t="shared" ref="Q2:Q17" si="1">M2-N2-O2</f>
        <v>274463.66666666669</v>
      </c>
      <c r="R2" s="53">
        <f>Q72+P2</f>
        <v>3697.8888888888887</v>
      </c>
      <c r="S2">
        <v>47</v>
      </c>
      <c r="T2">
        <v>12</v>
      </c>
      <c r="U2">
        <v>626</v>
      </c>
      <c r="V2" s="314">
        <f t="shared" ref="V2:V17" si="2">R2/Q2</f>
        <v>1.3473145403176214E-2</v>
      </c>
      <c r="W2" s="327">
        <f t="shared" ref="W2:W17" si="3">(U2+(S2-T2))/R2</f>
        <v>0.17875063850244885</v>
      </c>
      <c r="X2" s="309">
        <f t="shared" ref="X2:X17" si="4">(U2+(S2-T2))/Q2</f>
        <v>2.4083333434540819E-3</v>
      </c>
      <c r="AC2" s="423" t="s">
        <v>384</v>
      </c>
      <c r="AD2" s="203" t="s">
        <v>379</v>
      </c>
      <c r="AE2" s="375">
        <v>1.3473145403176214E-2</v>
      </c>
      <c r="AF2" s="375">
        <v>0.17875063850244885</v>
      </c>
      <c r="AG2" s="376">
        <v>2.4083333434540819E-3</v>
      </c>
      <c r="AH2" s="17">
        <v>274463.66666666669</v>
      </c>
    </row>
    <row r="3" spans="1:34">
      <c r="A3" s="7" t="s">
        <v>31</v>
      </c>
      <c r="C3" s="17">
        <f>SUMIF(Collection!B:B, A3, Collection!J:J)</f>
        <v>421200</v>
      </c>
      <c r="D3" s="17">
        <f>COUNTIFS(Collection!B:B, A3, Collection!O:O, "&gt;0", Collection!J:J, "&gt;5,000")</f>
        <v>2</v>
      </c>
      <c r="E3">
        <v>14</v>
      </c>
      <c r="F3">
        <v>37.5</v>
      </c>
      <c r="G3">
        <v>8</v>
      </c>
      <c r="H3" s="17">
        <f t="shared" si="0"/>
        <v>30085.714285714286</v>
      </c>
      <c r="I3" s="17">
        <f>SUMIF(Collection!B:B, 'Total Larvae to Date'!A3, Collection!O:O)</f>
        <v>105766.66666666667</v>
      </c>
      <c r="J3" s="203" t="s">
        <v>83</v>
      </c>
      <c r="K3" s="118">
        <f>C4+C5</f>
        <v>439841.66666666663</v>
      </c>
      <c r="L3" s="118">
        <f>D4+D5</f>
        <v>4</v>
      </c>
      <c r="M3" s="17">
        <f>SUM(L30:L31)</f>
        <v>211416.66666666666</v>
      </c>
      <c r="N3" s="17">
        <f>SUMIFS('Bucket Counts'!P:P, 'Bucket Counts'!F:F, "100 Morts", 'Bucket Counts'!D:D, 'Total Larvae to Date'!J3 &amp;"*")</f>
        <v>510</v>
      </c>
      <c r="O3" s="17"/>
      <c r="P3" s="17"/>
      <c r="Q3" s="17">
        <f t="shared" si="1"/>
        <v>210906.66666666666</v>
      </c>
      <c r="R3" s="53">
        <f t="shared" ref="R3:R17" si="5">Q73+P3</f>
        <v>2977.333333333333</v>
      </c>
      <c r="S3">
        <v>4</v>
      </c>
      <c r="T3">
        <v>2</v>
      </c>
      <c r="U3">
        <v>75</v>
      </c>
      <c r="V3" s="315">
        <f t="shared" si="2"/>
        <v>1.411682892906815E-2</v>
      </c>
      <c r="W3" s="328">
        <f t="shared" si="3"/>
        <v>2.5862068965517244E-2</v>
      </c>
      <c r="X3" s="310">
        <f t="shared" si="4"/>
        <v>3.650904033379694E-4</v>
      </c>
      <c r="AC3" s="423"/>
      <c r="AD3" s="203" t="s">
        <v>380</v>
      </c>
      <c r="AE3" s="375">
        <v>1.411682892906815E-2</v>
      </c>
      <c r="AF3" s="375">
        <v>2.5862068965517244E-2</v>
      </c>
      <c r="AG3" s="376">
        <v>3.650904033379694E-4</v>
      </c>
      <c r="AH3" s="17">
        <v>210906.66666666666</v>
      </c>
    </row>
    <row r="4" spans="1:34">
      <c r="A4" s="14" t="s">
        <v>49</v>
      </c>
      <c r="C4" s="17">
        <f>SUMIF(Collection!B:B, A4, Collection!J:J)</f>
        <v>47141.666666666664</v>
      </c>
      <c r="D4" s="17">
        <f>COUNTIFS(Collection!B:B, A4, Collection!O:O, "&gt;0", Collection!J:J, "&gt;5,000")</f>
        <v>1</v>
      </c>
      <c r="E4">
        <v>14</v>
      </c>
      <c r="F4">
        <v>34.9</v>
      </c>
      <c r="G4">
        <v>6.9</v>
      </c>
      <c r="H4" s="17">
        <f t="shared" si="0"/>
        <v>3367.2619047619046</v>
      </c>
      <c r="I4" s="17">
        <f>SUMIF(Collection!B:B, 'Total Larvae to Date'!A4, Collection!O:O)</f>
        <v>47141.666666666664</v>
      </c>
      <c r="J4" s="203" t="s">
        <v>85</v>
      </c>
      <c r="K4" s="118">
        <f>C6+C7</f>
        <v>277708.33333333331</v>
      </c>
      <c r="L4" s="118">
        <f>D6+D7</f>
        <v>4</v>
      </c>
      <c r="M4" s="17">
        <f>SUM(L32:L33)</f>
        <v>131675</v>
      </c>
      <c r="N4" s="17">
        <f>SUMIFS('Bucket Counts'!P:P, 'Bucket Counts'!F:F, "100 Morts", 'Bucket Counts'!D:D, 'Total Larvae to Date'!J4 &amp;"*")</f>
        <v>670</v>
      </c>
      <c r="P4" s="17">
        <f>'Bucket Counts'!P762</f>
        <v>13</v>
      </c>
      <c r="Q4" s="17">
        <f t="shared" si="1"/>
        <v>131005</v>
      </c>
      <c r="R4" s="53">
        <f t="shared" si="5"/>
        <v>11119.444444444443</v>
      </c>
      <c r="S4">
        <v>19</v>
      </c>
      <c r="T4">
        <v>14</v>
      </c>
      <c r="U4">
        <v>1503</v>
      </c>
      <c r="V4" s="316">
        <f t="shared" si="2"/>
        <v>8.487801568218345E-2</v>
      </c>
      <c r="W4" s="329">
        <f t="shared" si="3"/>
        <v>0.13561828628528605</v>
      </c>
      <c r="X4" s="311">
        <f t="shared" si="4"/>
        <v>1.1511011030113354E-2</v>
      </c>
      <c r="AC4" s="423"/>
      <c r="AD4" s="378" t="s">
        <v>381</v>
      </c>
      <c r="AE4" s="375">
        <v>8.487801568218345E-2</v>
      </c>
      <c r="AF4" s="375">
        <v>0.13561828628528605</v>
      </c>
      <c r="AG4" s="376">
        <v>1.1511011030113354E-2</v>
      </c>
      <c r="AH4" s="17">
        <v>131005</v>
      </c>
    </row>
    <row r="5" spans="1:34" ht="16" thickBot="1">
      <c r="A5" s="7" t="s">
        <v>47</v>
      </c>
      <c r="C5" s="17">
        <f>SUMIF(Collection!B:B, A5, Collection!J:J)</f>
        <v>392699.99999999994</v>
      </c>
      <c r="D5" s="17">
        <f>COUNTIFS(Collection!B:B, A5, Collection!O:O, "&gt;0", Collection!J:J, "&gt;5,000")</f>
        <v>3</v>
      </c>
      <c r="E5">
        <v>14</v>
      </c>
      <c r="F5">
        <v>34.9</v>
      </c>
      <c r="G5">
        <v>6.9</v>
      </c>
      <c r="H5" s="17">
        <f t="shared" si="0"/>
        <v>28049.999999999996</v>
      </c>
      <c r="I5" s="17">
        <f>SUMIF(Collection!B:B, 'Total Larvae to Date'!A5, Collection!O:O)</f>
        <v>164275</v>
      </c>
      <c r="J5" s="203" t="s">
        <v>105</v>
      </c>
      <c r="K5" s="118">
        <f>C8+C9</f>
        <v>1426783.888888889</v>
      </c>
      <c r="L5" s="118">
        <f>D8+D9</f>
        <v>9</v>
      </c>
      <c r="M5" s="17">
        <f>SUM(L34:L35)</f>
        <v>371015.55555555556</v>
      </c>
      <c r="N5" s="17">
        <f>SUMIFS('Bucket Counts'!P:P, 'Bucket Counts'!F:F, "100 Morts", 'Bucket Counts'!D:D, 'Total Larvae to Date'!J5 &amp;"*")</f>
        <v>1580.0000000000002</v>
      </c>
      <c r="O5" s="17"/>
      <c r="P5" s="17">
        <f>'Bucket Counts'!P822</f>
        <v>379.16666666666669</v>
      </c>
      <c r="Q5" s="17">
        <f t="shared" si="1"/>
        <v>369435.55555555556</v>
      </c>
      <c r="R5" s="53">
        <f t="shared" si="5"/>
        <v>11779.999999999998</v>
      </c>
      <c r="S5">
        <v>22</v>
      </c>
      <c r="T5">
        <v>8</v>
      </c>
      <c r="U5">
        <v>670</v>
      </c>
      <c r="V5" s="317">
        <f t="shared" si="2"/>
        <v>3.1886481479253631E-2</v>
      </c>
      <c r="W5" s="330">
        <f t="shared" si="3"/>
        <v>5.8064516129032268E-2</v>
      </c>
      <c r="X5" s="313">
        <f t="shared" si="4"/>
        <v>1.8514731181502112E-3</v>
      </c>
      <c r="AC5" s="423"/>
      <c r="AD5" s="378" t="s">
        <v>382</v>
      </c>
      <c r="AE5" s="375">
        <v>3.1886481479253631E-2</v>
      </c>
      <c r="AF5" s="375">
        <v>5.8064516129032268E-2</v>
      </c>
      <c r="AG5" s="376">
        <v>1.8514731181502112E-3</v>
      </c>
      <c r="AH5" s="17">
        <v>369435.55555555556</v>
      </c>
    </row>
    <row r="6" spans="1:34">
      <c r="A6" s="7" t="s">
        <v>50</v>
      </c>
      <c r="C6" s="17">
        <f>SUMIF(Collection!B:B, A6, Collection!J:J)</f>
        <v>127308.33333333331</v>
      </c>
      <c r="D6" s="17">
        <f>COUNTIFS(Collection!B:B, A6, Collection!O:O, "&gt;0", Collection!J:J, "&gt;5,000")</f>
        <v>2</v>
      </c>
      <c r="E6">
        <v>15</v>
      </c>
      <c r="F6">
        <v>34.700000000000003</v>
      </c>
      <c r="G6">
        <v>6.5</v>
      </c>
      <c r="H6" s="17">
        <f t="shared" si="0"/>
        <v>8487.2222222222208</v>
      </c>
      <c r="I6" s="17">
        <f>SUMIF(Collection!B:B, 'Total Larvae to Date'!A6, Collection!O:O)</f>
        <v>66708.333333333328</v>
      </c>
      <c r="J6" s="203" t="s">
        <v>86</v>
      </c>
      <c r="K6" s="118">
        <f>C10+C11</f>
        <v>3421056.666666667</v>
      </c>
      <c r="L6" s="118">
        <f>D10+D11</f>
        <v>13</v>
      </c>
      <c r="M6" s="17">
        <f>SUM(L36:L37)</f>
        <v>750793.33333333349</v>
      </c>
      <c r="N6" s="17">
        <f>SUMIFS('Bucket Counts'!P:P, 'Bucket Counts'!F:F, "100 Morts", 'Bucket Counts'!D:D, 'Total Larvae to Date'!J6 &amp;"*")</f>
        <v>11556.111111111113</v>
      </c>
      <c r="O6" s="17">
        <f>'Bucket Counts'!P261</f>
        <v>30333.333333333332</v>
      </c>
      <c r="P6" s="17"/>
      <c r="Q6" s="17">
        <f t="shared" si="1"/>
        <v>708903.88888888899</v>
      </c>
      <c r="R6" s="53">
        <f t="shared" si="5"/>
        <v>29595.333333333332</v>
      </c>
      <c r="S6">
        <v>3</v>
      </c>
      <c r="T6">
        <v>1</v>
      </c>
      <c r="U6">
        <v>52</v>
      </c>
      <c r="V6" s="314">
        <f t="shared" si="2"/>
        <v>4.1748019438460147E-2</v>
      </c>
      <c r="W6" s="327">
        <f t="shared" si="3"/>
        <v>1.8246119883765458E-3</v>
      </c>
      <c r="X6" s="309">
        <f t="shared" si="4"/>
        <v>7.6173936758391469E-5</v>
      </c>
      <c r="AC6" s="424" t="s">
        <v>383</v>
      </c>
      <c r="AD6" s="203" t="s">
        <v>379</v>
      </c>
      <c r="AE6" s="375">
        <v>4.1748019438460147E-2</v>
      </c>
      <c r="AF6" s="375">
        <v>1.8246119883765458E-3</v>
      </c>
      <c r="AG6" s="376">
        <v>7.6173936758391469E-5</v>
      </c>
      <c r="AH6" s="17">
        <v>708903.88888888899</v>
      </c>
    </row>
    <row r="7" spans="1:34">
      <c r="A7" s="14" t="s">
        <v>39</v>
      </c>
      <c r="C7" s="17">
        <f>SUMIF(Collection!B:B, A7, Collection!J:J)</f>
        <v>150400</v>
      </c>
      <c r="D7" s="17">
        <f>COUNTIFS(Collection!B:B, A7, Collection!O:O, "&gt;0", Collection!J:J, "&gt;5,000")</f>
        <v>2</v>
      </c>
      <c r="E7">
        <v>14</v>
      </c>
      <c r="F7">
        <v>34.700000000000003</v>
      </c>
      <c r="G7">
        <v>6.5</v>
      </c>
      <c r="H7" s="17">
        <f t="shared" si="0"/>
        <v>10742.857142857143</v>
      </c>
      <c r="I7" s="17">
        <f>SUMIF(Collection!B:B, 'Total Larvae to Date'!A7, Collection!O:O)</f>
        <v>64966.666666666672</v>
      </c>
      <c r="J7" s="203" t="s">
        <v>74</v>
      </c>
      <c r="K7" s="118">
        <f>C12+C13</f>
        <v>2373206.666666667</v>
      </c>
      <c r="L7" s="118">
        <f>D12+D13</f>
        <v>9</v>
      </c>
      <c r="M7" s="17">
        <f>SUM(L38:L39)</f>
        <v>660450</v>
      </c>
      <c r="N7" s="17">
        <f>SUMIFS('Bucket Counts'!P:P, 'Bucket Counts'!F:F, "100 Morts", 'Bucket Counts'!D:D, 'Total Larvae to Date'!J7 &amp;"*")</f>
        <v>9573.3333333333321</v>
      </c>
      <c r="O7" s="17">
        <f>'Bucket Counts'!P83 + 'Bucket Counts'!P107 + 'Bucket Counts'!P151 + 'Bucket Counts'!P209</f>
        <v>4348.0555555555557</v>
      </c>
      <c r="P7" s="17">
        <f>'Bucket Counts'!P830</f>
        <v>36.666666666666664</v>
      </c>
      <c r="Q7" s="17">
        <f t="shared" si="1"/>
        <v>646528.61111111112</v>
      </c>
      <c r="R7" s="53">
        <f t="shared" si="5"/>
        <v>4756.9444444444453</v>
      </c>
      <c r="S7">
        <v>1</v>
      </c>
      <c r="T7">
        <v>0</v>
      </c>
      <c r="U7">
        <v>34</v>
      </c>
      <c r="V7" s="315">
        <f t="shared" si="2"/>
        <v>7.3576704304999831E-3</v>
      </c>
      <c r="W7" s="328">
        <f t="shared" si="3"/>
        <v>7.3576642335766414E-3</v>
      </c>
      <c r="X7" s="310">
        <f t="shared" si="4"/>
        <v>5.4135268568934178E-5</v>
      </c>
      <c r="AC7" s="424"/>
      <c r="AD7" s="203" t="s">
        <v>380</v>
      </c>
      <c r="AE7" s="375">
        <v>7.3576704304999831E-3</v>
      </c>
      <c r="AF7" s="375">
        <v>7.3576642335766414E-3</v>
      </c>
      <c r="AG7" s="376">
        <v>5.4135268568934178E-5</v>
      </c>
      <c r="AH7" s="17">
        <v>646528.61111111112</v>
      </c>
    </row>
    <row r="8" spans="1:34">
      <c r="A8" s="7" t="s">
        <v>121</v>
      </c>
      <c r="C8" s="17">
        <f>SUMIF(Collection!B:B, A8, Collection!J:J)</f>
        <v>534447.22222222225</v>
      </c>
      <c r="D8" s="17">
        <f>COUNTIFS(Collection!B:B, A8, Collection!O:O, "&gt;0", Collection!J:J, "&gt;5,000")</f>
        <v>5</v>
      </c>
      <c r="E8">
        <v>14</v>
      </c>
      <c r="F8">
        <v>35.9</v>
      </c>
      <c r="G8">
        <v>7</v>
      </c>
      <c r="H8" s="17">
        <f t="shared" si="0"/>
        <v>38174.80158730159</v>
      </c>
      <c r="I8" s="17">
        <f>SUMIF(Collection!B:B, 'Total Larvae to Date'!A8, Collection!O:O)</f>
        <v>197762.22222222222</v>
      </c>
      <c r="J8" s="203" t="s">
        <v>87</v>
      </c>
      <c r="K8" s="118">
        <f>C14+C15</f>
        <v>2178386.6666666665</v>
      </c>
      <c r="L8" s="118">
        <f>D14+D15</f>
        <v>9</v>
      </c>
      <c r="M8" s="17">
        <f>SUM(L40:L41)</f>
        <v>477403.33333333331</v>
      </c>
      <c r="N8" s="17">
        <f>SUMIFS('Bucket Counts'!P:P, 'Bucket Counts'!F:F, "100 Morts", 'Bucket Counts'!D:D, 'Total Larvae to Date'!J8 &amp;"*")</f>
        <v>19053.333333333332</v>
      </c>
      <c r="O8" s="17">
        <f>'Bucket Counts'!AD513</f>
        <v>23111.866666666661</v>
      </c>
      <c r="P8" s="17"/>
      <c r="Q8" s="17">
        <f t="shared" si="1"/>
        <v>435238.13333333336</v>
      </c>
      <c r="R8" s="53">
        <f t="shared" si="5"/>
        <v>11930.666666666666</v>
      </c>
      <c r="S8">
        <v>5</v>
      </c>
      <c r="T8">
        <v>1</v>
      </c>
      <c r="U8">
        <v>124</v>
      </c>
      <c r="V8" s="316">
        <f t="shared" si="2"/>
        <v>2.7411813793276688E-2</v>
      </c>
      <c r="W8" s="329">
        <f t="shared" si="3"/>
        <v>1.0728654447921324E-2</v>
      </c>
      <c r="X8" s="311">
        <f t="shared" si="4"/>
        <v>2.9409187797882903E-4</v>
      </c>
      <c r="AC8" s="424"/>
      <c r="AD8" s="378" t="s">
        <v>381</v>
      </c>
      <c r="AE8" s="375">
        <v>2.7411813793276688E-2</v>
      </c>
      <c r="AF8" s="375">
        <v>1.0728654447921324E-2</v>
      </c>
      <c r="AG8" s="376">
        <v>2.9409187797882903E-4</v>
      </c>
      <c r="AH8" s="17">
        <v>435238.13333333336</v>
      </c>
    </row>
    <row r="9" spans="1:34" ht="16" thickBot="1">
      <c r="A9" s="14" t="s">
        <v>97</v>
      </c>
      <c r="C9" s="17">
        <f>SUMIF(Collection!B:B, A9, Collection!J:J)</f>
        <v>892336.66666666674</v>
      </c>
      <c r="D9" s="17">
        <f>COUNTIFS(Collection!B:B, A9, Collection!O:O, "&gt;0", Collection!J:J, "&gt;5,000")</f>
        <v>4</v>
      </c>
      <c r="E9">
        <v>15</v>
      </c>
      <c r="F9">
        <v>35.9</v>
      </c>
      <c r="G9">
        <v>7</v>
      </c>
      <c r="H9" s="17">
        <f t="shared" si="0"/>
        <v>59489.111111111117</v>
      </c>
      <c r="I9" s="17">
        <f>SUMIF(Collection!B:B, 'Total Larvae to Date'!A9, Collection!O:O)</f>
        <v>173253.33333333334</v>
      </c>
      <c r="J9" s="203" t="s">
        <v>77</v>
      </c>
      <c r="K9" s="118">
        <f>C16+C17</f>
        <v>2115476.666666667</v>
      </c>
      <c r="L9" s="118">
        <f>D16+D17</f>
        <v>10</v>
      </c>
      <c r="M9" s="17">
        <f>SUM(L42:L43)</f>
        <v>532416.66666666663</v>
      </c>
      <c r="N9" s="17">
        <f>SUMIFS('Bucket Counts'!P:P, 'Bucket Counts'!F:F, "100 Morts", 'Bucket Counts'!D:D, 'Total Larvae to Date'!J9 &amp;"*")</f>
        <v>16628.333333333332</v>
      </c>
      <c r="P9" s="17">
        <f>'Bucket Counts'!P702</f>
        <v>27</v>
      </c>
      <c r="Q9" s="17">
        <f t="shared" si="1"/>
        <v>515788.33333333331</v>
      </c>
      <c r="R9" s="53">
        <f t="shared" si="5"/>
        <v>6029.4444444444443</v>
      </c>
      <c r="S9">
        <v>23</v>
      </c>
      <c r="T9">
        <v>4</v>
      </c>
      <c r="U9">
        <v>192</v>
      </c>
      <c r="V9" s="317">
        <f t="shared" si="2"/>
        <v>1.1689765073743644E-2</v>
      </c>
      <c r="W9" s="330">
        <f t="shared" si="3"/>
        <v>3.4994932276789827E-2</v>
      </c>
      <c r="X9" s="313">
        <f t="shared" si="4"/>
        <v>4.0908253708724188E-4</v>
      </c>
      <c r="AC9" s="424"/>
      <c r="AD9" s="378" t="s">
        <v>382</v>
      </c>
      <c r="AE9" s="377">
        <v>1.1689765073743644E-2</v>
      </c>
      <c r="AF9" s="375">
        <v>3.4994932276789799E-2</v>
      </c>
      <c r="AG9" s="376">
        <v>4.0908253708724188E-4</v>
      </c>
      <c r="AH9" s="17">
        <v>515788.33333333331</v>
      </c>
    </row>
    <row r="10" spans="1:34" ht="30" customHeight="1">
      <c r="A10" s="7" t="s">
        <v>27</v>
      </c>
      <c r="C10" s="17">
        <f>SUMIF(Collection!B:B, A10, Collection!J:J)</f>
        <v>1918273.3333333335</v>
      </c>
      <c r="D10" s="17">
        <f>COUNTIFS(Collection!B:B, A10, Collection!O:O, "&gt;0", Collection!J:J, "&gt;5,000")</f>
        <v>5</v>
      </c>
      <c r="E10">
        <v>17</v>
      </c>
      <c r="F10">
        <v>37</v>
      </c>
      <c r="G10">
        <v>7.2</v>
      </c>
      <c r="H10" s="17">
        <f t="shared" si="0"/>
        <v>112839.60784313726</v>
      </c>
      <c r="I10" s="17">
        <f>SUMIF(Collection!B:B, 'Total Larvae to Date'!A10, Collection!O:O)</f>
        <v>368626.66666666669</v>
      </c>
      <c r="J10" s="203" t="s">
        <v>88</v>
      </c>
      <c r="K10" s="118">
        <f t="shared" ref="K10:L17" si="6">C18</f>
        <v>939467.77777777775</v>
      </c>
      <c r="L10" s="118">
        <f t="shared" si="6"/>
        <v>5</v>
      </c>
      <c r="M10" s="17">
        <f>L44</f>
        <v>283857.77777777775</v>
      </c>
      <c r="N10" s="17">
        <f>SUMIFS('Bucket Counts'!P:P, 'Bucket Counts'!F:F, "100 Morts", 'Bucket Counts'!D:D, 'Total Larvae to Date'!J10 &amp;"*")</f>
        <v>13988.333333333332</v>
      </c>
      <c r="O10" s="17"/>
      <c r="P10" s="17">
        <f>'Bucket Counts'!P926</f>
        <v>83.333333333333329</v>
      </c>
      <c r="Q10" s="17">
        <f t="shared" si="1"/>
        <v>269869.44444444444</v>
      </c>
      <c r="R10" s="53">
        <f t="shared" si="5"/>
        <v>13916.666666666668</v>
      </c>
      <c r="S10">
        <v>42</v>
      </c>
      <c r="T10">
        <v>0</v>
      </c>
      <c r="U10">
        <v>1311</v>
      </c>
      <c r="V10" s="318">
        <f t="shared" si="2"/>
        <v>5.1568145090733181E-2</v>
      </c>
      <c r="W10" s="327">
        <f t="shared" si="3"/>
        <v>9.7221556886227536E-2</v>
      </c>
      <c r="X10" s="323">
        <f t="shared" si="4"/>
        <v>5.0135353514559507E-3</v>
      </c>
      <c r="AC10" s="423" t="s">
        <v>385</v>
      </c>
      <c r="AD10" s="203" t="s">
        <v>379</v>
      </c>
      <c r="AE10" s="375">
        <v>5.1568145090733181E-2</v>
      </c>
      <c r="AF10" s="375">
        <v>9.7221556886227536E-2</v>
      </c>
      <c r="AG10" s="375">
        <v>5.0135353514559507E-3</v>
      </c>
      <c r="AH10" s="17">
        <v>269869.44444444444</v>
      </c>
    </row>
    <row r="11" spans="1:34">
      <c r="A11" s="7" t="s">
        <v>23</v>
      </c>
      <c r="C11" s="17">
        <f>SUMIF(Collection!B:B, A11, Collection!J:J)</f>
        <v>1502783.3333333335</v>
      </c>
      <c r="D11" s="17">
        <f>COUNTIFS(Collection!B:B, A11, Collection!O:O, "&gt;0", Collection!J:J, "&gt;5,000")</f>
        <v>8</v>
      </c>
      <c r="E11">
        <v>17</v>
      </c>
      <c r="F11">
        <v>37</v>
      </c>
      <c r="G11">
        <v>7.2</v>
      </c>
      <c r="H11" s="17">
        <f t="shared" si="0"/>
        <v>88399.019607843147</v>
      </c>
      <c r="I11" s="17">
        <f>SUMIF(Collection!B:B, 'Total Larvae to Date'!A11, Collection!O:O)</f>
        <v>582166.66666666674</v>
      </c>
      <c r="J11" s="203" t="s">
        <v>109</v>
      </c>
      <c r="K11" s="118">
        <f t="shared" si="6"/>
        <v>705188.33333333337</v>
      </c>
      <c r="L11" s="118">
        <f t="shared" si="6"/>
        <v>6</v>
      </c>
      <c r="M11" s="17">
        <f t="shared" ref="M11:M16" si="7">L45</f>
        <v>310875</v>
      </c>
      <c r="N11" s="17">
        <f>SUMIFS('Bucket Counts'!P:P, 'Bucket Counts'!F:F, "100 Morts", 'Bucket Counts'!D:D, 'Total Larvae to Date'!J11 &amp;"*")</f>
        <v>9740</v>
      </c>
      <c r="O11" s="17">
        <f>'Bucket Counts'!P865 + 'Bucket Counts'!P885</f>
        <v>1070</v>
      </c>
      <c r="P11" s="17">
        <f>'Bucket Counts'!P922</f>
        <v>166.66666666666666</v>
      </c>
      <c r="Q11" s="17">
        <f t="shared" si="1"/>
        <v>300065</v>
      </c>
      <c r="R11" s="53">
        <f t="shared" si="5"/>
        <v>19857.5</v>
      </c>
      <c r="S11">
        <v>92</v>
      </c>
      <c r="T11">
        <v>0</v>
      </c>
      <c r="U11">
        <v>1091</v>
      </c>
      <c r="V11" s="319">
        <f t="shared" si="2"/>
        <v>6.6177328245546799E-2</v>
      </c>
      <c r="W11" s="328">
        <f t="shared" si="3"/>
        <v>5.9574468085106386E-2</v>
      </c>
      <c r="X11" s="324">
        <f t="shared" si="4"/>
        <v>3.942479129521937E-3</v>
      </c>
      <c r="AC11" s="423"/>
      <c r="AD11" s="203" t="s">
        <v>380</v>
      </c>
      <c r="AE11" s="375">
        <v>6.6177328245546799E-2</v>
      </c>
      <c r="AF11" s="375">
        <v>5.9574468085106386E-2</v>
      </c>
      <c r="AG11" s="375">
        <v>3.942479129521937E-3</v>
      </c>
      <c r="AH11" s="17">
        <v>300065</v>
      </c>
    </row>
    <row r="12" spans="1:34">
      <c r="A12" s="7" t="s">
        <v>24</v>
      </c>
      <c r="C12" s="17">
        <f>SUMIF(Collection!B:B, A12, Collection!J:J)</f>
        <v>932583.33333333326</v>
      </c>
      <c r="D12" s="17">
        <f>COUNTIFS(Collection!B:B, A12, Collection!O:O, "&gt;0", Collection!J:J, "&gt;5,000")</f>
        <v>3</v>
      </c>
      <c r="E12">
        <v>15</v>
      </c>
      <c r="F12">
        <v>33.700000000000003</v>
      </c>
      <c r="G12">
        <v>8</v>
      </c>
      <c r="H12" s="17">
        <f t="shared" si="0"/>
        <v>62172.222222222219</v>
      </c>
      <c r="I12" s="17">
        <f>SUMIF(Collection!B:B, 'Total Larvae to Date'!A12, Collection!O:O)</f>
        <v>327900</v>
      </c>
      <c r="J12" s="203" t="s">
        <v>119</v>
      </c>
      <c r="K12" s="118">
        <f t="shared" si="6"/>
        <v>105133.33333333334</v>
      </c>
      <c r="L12" s="118">
        <f t="shared" si="6"/>
        <v>1</v>
      </c>
      <c r="M12" s="17">
        <f t="shared" si="7"/>
        <v>65666.666666666672</v>
      </c>
      <c r="N12" s="17">
        <f>SUMIFS('Bucket Counts'!P:P, 'Bucket Counts'!F:F, "100 Morts", 'Bucket Counts'!D:D, 'Total Larvae to Date'!J12 &amp;"*")</f>
        <v>9880.5555555555529</v>
      </c>
      <c r="O12" s="17">
        <f>'Bucket Counts'!AD581</f>
        <v>6857.533333333331</v>
      </c>
      <c r="P12" s="17">
        <f>'Bucket Counts'!P842</f>
        <v>250</v>
      </c>
      <c r="Q12" s="17">
        <f t="shared" si="1"/>
        <v>48928.577777777784</v>
      </c>
      <c r="R12" s="53">
        <f t="shared" si="5"/>
        <v>2495.833333333333</v>
      </c>
      <c r="S12">
        <v>160</v>
      </c>
      <c r="T12">
        <v>0</v>
      </c>
      <c r="U12">
        <v>501</v>
      </c>
      <c r="V12" s="320">
        <f t="shared" si="2"/>
        <v>5.1009725740830389E-2</v>
      </c>
      <c r="W12" s="329">
        <f t="shared" si="3"/>
        <v>0.26484140233722875</v>
      </c>
      <c r="X12" s="325">
        <f t="shared" si="4"/>
        <v>1.3509487298038953E-2</v>
      </c>
      <c r="AC12" s="423"/>
      <c r="AD12" s="378" t="s">
        <v>381</v>
      </c>
      <c r="AE12" s="375">
        <v>5.1009725740830389E-2</v>
      </c>
      <c r="AF12" s="375">
        <v>0.26484140233722875</v>
      </c>
      <c r="AG12" s="375">
        <v>1.3509487298038953E-2</v>
      </c>
      <c r="AH12" s="17">
        <v>48928.577777777784</v>
      </c>
    </row>
    <row r="13" spans="1:34" ht="16" thickBot="1">
      <c r="A13" s="14" t="s">
        <v>34</v>
      </c>
      <c r="C13" s="17">
        <f>SUMIF(Collection!B:B, A13, Collection!J:J)</f>
        <v>1440623.3333333335</v>
      </c>
      <c r="D13" s="17">
        <f>COUNTIFS(Collection!B:B, A13, Collection!O:O, "&gt;0", Collection!J:J, "&gt;5,000")</f>
        <v>6</v>
      </c>
      <c r="E13">
        <v>15</v>
      </c>
      <c r="F13">
        <v>33.700000000000003</v>
      </c>
      <c r="G13">
        <v>8</v>
      </c>
      <c r="H13" s="17">
        <f t="shared" si="0"/>
        <v>96041.555555555562</v>
      </c>
      <c r="I13" s="17">
        <f>SUMIF(Collection!B:B, 'Total Larvae to Date'!A13, Collection!O:O)</f>
        <v>332550.00000000006</v>
      </c>
      <c r="J13" s="203" t="s">
        <v>21</v>
      </c>
      <c r="K13" s="118">
        <f t="shared" si="6"/>
        <v>959265</v>
      </c>
      <c r="L13" s="118">
        <f t="shared" si="6"/>
        <v>3</v>
      </c>
      <c r="M13" s="17">
        <f t="shared" si="7"/>
        <v>255370.55555555556</v>
      </c>
      <c r="N13" s="17">
        <f>SUMIFS('Bucket Counts'!P:P, 'Bucket Counts'!F:F, "100 Morts", 'Bucket Counts'!D:D, 'Total Larvae to Date'!J13 &amp;"*")</f>
        <v>27659.999999999996</v>
      </c>
      <c r="O13" s="17"/>
      <c r="P13" s="17">
        <f>'Bucket Counts'!P898</f>
        <v>133.33333333333331</v>
      </c>
      <c r="Q13" s="17">
        <f t="shared" si="1"/>
        <v>227710.55555555556</v>
      </c>
      <c r="R13" s="53">
        <f t="shared" si="5"/>
        <v>10686.111111111111</v>
      </c>
      <c r="S13">
        <v>162</v>
      </c>
      <c r="T13">
        <v>0</v>
      </c>
      <c r="U13">
        <v>834</v>
      </c>
      <c r="V13" s="321">
        <f t="shared" si="2"/>
        <v>4.6928483772040043E-2</v>
      </c>
      <c r="W13" s="330">
        <f t="shared" si="3"/>
        <v>9.3205094879126593E-2</v>
      </c>
      <c r="X13" s="326">
        <f t="shared" si="4"/>
        <v>4.3739737825065446E-3</v>
      </c>
      <c r="AC13" s="423"/>
      <c r="AD13" s="378" t="s">
        <v>382</v>
      </c>
      <c r="AE13" s="375">
        <v>4.6928483772040043E-2</v>
      </c>
      <c r="AF13" s="375">
        <v>9.3205094879126593E-2</v>
      </c>
      <c r="AG13" s="375">
        <v>4.3739737825065446E-3</v>
      </c>
      <c r="AH13" s="17">
        <v>227710.55555555556</v>
      </c>
    </row>
    <row r="14" spans="1:34">
      <c r="A14" s="14" t="s">
        <v>25</v>
      </c>
      <c r="C14" s="17">
        <f>SUMIF(Collection!B:B, A14, Collection!J:J)</f>
        <v>696583.33333333326</v>
      </c>
      <c r="D14" s="17">
        <f>COUNTIFS(Collection!B:B, A14, Collection!O:O, "&gt;0", Collection!J:J, "&gt;5,000")</f>
        <v>1</v>
      </c>
      <c r="E14">
        <v>15</v>
      </c>
      <c r="F14">
        <v>37</v>
      </c>
      <c r="G14">
        <v>8.6</v>
      </c>
      <c r="H14" s="17">
        <f t="shared" si="0"/>
        <v>46438.888888888883</v>
      </c>
      <c r="I14" s="17">
        <f>SUMIF(Collection!B:B, 'Total Larvae to Date'!A14, Collection!O:O)</f>
        <v>57500</v>
      </c>
      <c r="J14" s="203" t="s">
        <v>17</v>
      </c>
      <c r="K14" s="118">
        <f t="shared" si="6"/>
        <v>466208.33333333337</v>
      </c>
      <c r="L14" s="118">
        <f t="shared" si="6"/>
        <v>9</v>
      </c>
      <c r="M14" s="17">
        <f t="shared" si="7"/>
        <v>324165.00000000006</v>
      </c>
      <c r="N14" s="17">
        <f>SUMIFS('Bucket Counts'!P:P, 'Bucket Counts'!F:F, "100 Morts", 'Bucket Counts'!D:D, 'Total Larvae to Date'!J14 &amp;"*")</f>
        <v>9727.5</v>
      </c>
      <c r="O14" s="17"/>
      <c r="P14" s="17">
        <f>'Bucket Counts'!P862</f>
        <v>27.777777777777775</v>
      </c>
      <c r="Q14" s="17">
        <f t="shared" si="1"/>
        <v>314437.50000000006</v>
      </c>
      <c r="R14" s="53">
        <f t="shared" si="5"/>
        <v>13931.611111111111</v>
      </c>
      <c r="S14">
        <v>13</v>
      </c>
      <c r="T14">
        <v>0</v>
      </c>
      <c r="U14">
        <v>246</v>
      </c>
      <c r="V14" s="322">
        <f t="shared" si="2"/>
        <v>4.4306455531261724E-2</v>
      </c>
      <c r="W14" s="331">
        <f t="shared" si="3"/>
        <v>1.8590814654123915E-2</v>
      </c>
      <c r="X14" s="312">
        <f t="shared" si="4"/>
        <v>8.2369310276287006E-4</v>
      </c>
      <c r="AC14" s="424" t="s">
        <v>386</v>
      </c>
      <c r="AD14" s="203" t="s">
        <v>379</v>
      </c>
      <c r="AE14" s="375">
        <v>4.4306455531261724E-2</v>
      </c>
      <c r="AF14" s="375">
        <v>1.8590814654123915E-2</v>
      </c>
      <c r="AG14" s="376">
        <v>8.2369310276287006E-4</v>
      </c>
      <c r="AH14" s="17">
        <v>314437.50000000006</v>
      </c>
    </row>
    <row r="15" spans="1:34">
      <c r="A15" s="7" t="s">
        <v>36</v>
      </c>
      <c r="C15" s="17">
        <f>SUMIF(Collection!B:B, A15, Collection!J:J)</f>
        <v>1481803.3333333333</v>
      </c>
      <c r="D15" s="17">
        <f>COUNTIFS(Collection!B:B, A15, Collection!O:O, "&gt;0", Collection!J:J, "&gt;5,000")</f>
        <v>8</v>
      </c>
      <c r="E15">
        <v>16</v>
      </c>
      <c r="F15">
        <v>37</v>
      </c>
      <c r="G15">
        <v>8.6</v>
      </c>
      <c r="H15" s="17">
        <f t="shared" si="0"/>
        <v>92612.708333333328</v>
      </c>
      <c r="I15" s="17">
        <f>SUMIF(Collection!B:B, 'Total Larvae to Date'!A15, Collection!O:O)</f>
        <v>419903.33333333331</v>
      </c>
      <c r="J15" s="203" t="s">
        <v>20</v>
      </c>
      <c r="K15" s="118">
        <f t="shared" si="6"/>
        <v>653356.66666666663</v>
      </c>
      <c r="L15" s="118">
        <f t="shared" si="6"/>
        <v>7</v>
      </c>
      <c r="M15" s="17">
        <f t="shared" si="7"/>
        <v>225873.33333333331</v>
      </c>
      <c r="N15" s="17">
        <f>SUMIFS('Bucket Counts'!P:P, 'Bucket Counts'!F:F, "100 Morts", 'Bucket Counts'!D:D, 'Total Larvae to Date'!J15 &amp;"*")</f>
        <v>4386.6666666666661</v>
      </c>
      <c r="O15" s="17"/>
      <c r="P15" s="17"/>
      <c r="Q15" s="17">
        <f t="shared" si="1"/>
        <v>221486.66666666666</v>
      </c>
      <c r="R15" s="53">
        <f t="shared" si="5"/>
        <v>2105.5555555555552</v>
      </c>
      <c r="S15">
        <v>9</v>
      </c>
      <c r="T15">
        <v>0</v>
      </c>
      <c r="U15">
        <v>113</v>
      </c>
      <c r="V15" s="315">
        <f t="shared" si="2"/>
        <v>9.5064664037965655E-3</v>
      </c>
      <c r="W15" s="328">
        <f t="shared" si="3"/>
        <v>5.7941952506596318E-2</v>
      </c>
      <c r="X15" s="310">
        <f t="shared" si="4"/>
        <v>5.5082322487433409E-4</v>
      </c>
      <c r="AC15" s="424"/>
      <c r="AD15" s="203" t="s">
        <v>380</v>
      </c>
      <c r="AE15" s="375">
        <v>9.5064664037965655E-3</v>
      </c>
      <c r="AF15" s="375">
        <v>5.7941952506596318E-2</v>
      </c>
      <c r="AG15" s="376">
        <v>5.5082322487433409E-4</v>
      </c>
      <c r="AH15" s="17">
        <v>221486.66666666666</v>
      </c>
    </row>
    <row r="16" spans="1:34">
      <c r="A16" s="7" t="s">
        <v>44</v>
      </c>
      <c r="C16" s="17">
        <f>SUMIF(Collection!B:B, A16, Collection!J:J)</f>
        <v>718683.33333333349</v>
      </c>
      <c r="D16" s="17">
        <f>COUNTIFS(Collection!B:B, A16, Collection!O:O, "&gt;0", Collection!J:J, "&gt;5,000")</f>
        <v>5</v>
      </c>
      <c r="E16">
        <v>17</v>
      </c>
      <c r="F16">
        <v>35.200000000000003</v>
      </c>
      <c r="G16">
        <v>8.8000000000000007</v>
      </c>
      <c r="H16" s="17">
        <f t="shared" si="0"/>
        <v>42275.490196078441</v>
      </c>
      <c r="I16" s="17">
        <f>SUMIF(Collection!B:B, 'Total Larvae to Date'!A16, Collection!O:O)</f>
        <v>210583.33333333334</v>
      </c>
      <c r="J16" s="203" t="s">
        <v>38</v>
      </c>
      <c r="K16" s="118">
        <f t="shared" si="6"/>
        <v>517545</v>
      </c>
      <c r="L16" s="118">
        <f t="shared" si="6"/>
        <v>6</v>
      </c>
      <c r="M16" s="17">
        <f t="shared" si="7"/>
        <v>353768.33333333326</v>
      </c>
      <c r="N16" s="17">
        <f>SUMIFS('Bucket Counts'!P:P, 'Bucket Counts'!F:F, "100 Morts", 'Bucket Counts'!D:D, 'Total Larvae to Date'!J16 &amp;"*")</f>
        <v>20591.111111111113</v>
      </c>
      <c r="O16" s="17"/>
      <c r="P16" s="17"/>
      <c r="Q16" s="17">
        <f t="shared" si="1"/>
        <v>333177.22222222213</v>
      </c>
      <c r="R16" s="53">
        <f t="shared" si="5"/>
        <v>22186.111111111113</v>
      </c>
      <c r="S16">
        <v>16</v>
      </c>
      <c r="T16">
        <v>0</v>
      </c>
      <c r="U16">
        <v>356</v>
      </c>
      <c r="V16" s="316">
        <f t="shared" si="2"/>
        <v>6.6589519424930702E-2</v>
      </c>
      <c r="W16" s="329">
        <f t="shared" si="3"/>
        <v>1.6767246776011015E-2</v>
      </c>
      <c r="X16" s="311">
        <f t="shared" si="4"/>
        <v>1.1165229048937923E-3</v>
      </c>
      <c r="AC16" s="424"/>
      <c r="AD16" s="378" t="s">
        <v>381</v>
      </c>
      <c r="AE16" s="375">
        <v>6.6589519424930702E-2</v>
      </c>
      <c r="AF16" s="375">
        <v>1.6767246776011015E-2</v>
      </c>
      <c r="AG16" s="376">
        <v>1.1165229048937923E-3</v>
      </c>
      <c r="AH16" s="17">
        <v>333177.22222222213</v>
      </c>
    </row>
    <row r="17" spans="1:34" ht="16" thickBot="1">
      <c r="A17" s="7" t="s">
        <v>48</v>
      </c>
      <c r="C17" s="17">
        <f>SUMIF(Collection!B:B, A17, Collection!J:J)</f>
        <v>1396793.3333333335</v>
      </c>
      <c r="D17" s="17">
        <f>COUNTIFS(Collection!B:B, A17, Collection!O:O, "&gt;0", Collection!J:J, "&gt;5,000")</f>
        <v>5</v>
      </c>
      <c r="E17">
        <v>17</v>
      </c>
      <c r="F17">
        <v>35.200000000000003</v>
      </c>
      <c r="G17">
        <v>8.8000000000000007</v>
      </c>
      <c r="H17" s="17">
        <f t="shared" si="0"/>
        <v>82164.31372549021</v>
      </c>
      <c r="I17" s="17">
        <f>SUMIF(Collection!B:B, 'Total Larvae to Date'!A17, Collection!O:O)</f>
        <v>321833.33333333331</v>
      </c>
      <c r="J17" s="204" t="s">
        <v>46</v>
      </c>
      <c r="K17" s="119">
        <f t="shared" si="6"/>
        <v>370073.33333333337</v>
      </c>
      <c r="L17" s="118">
        <f t="shared" si="6"/>
        <v>5</v>
      </c>
      <c r="M17" s="17">
        <f>L51</f>
        <v>179716.66666666666</v>
      </c>
      <c r="N17" s="17">
        <f>SUMIFS('Bucket Counts'!P:P, 'Bucket Counts'!F:F, "100 Morts", 'Bucket Counts'!D:D, 'Total Larvae to Date'!J17 &amp;"*")</f>
        <v>7718.8888888888896</v>
      </c>
      <c r="O17" s="17"/>
      <c r="P17" s="17"/>
      <c r="Q17" s="17">
        <f t="shared" si="1"/>
        <v>171997.77777777778</v>
      </c>
      <c r="R17" s="53">
        <f t="shared" si="5"/>
        <v>9734.9444444444434</v>
      </c>
      <c r="S17">
        <v>7</v>
      </c>
      <c r="T17">
        <v>0</v>
      </c>
      <c r="U17">
        <v>334</v>
      </c>
      <c r="V17" s="317">
        <f t="shared" si="2"/>
        <v>5.65992454682877E-2</v>
      </c>
      <c r="W17" s="330">
        <f t="shared" si="3"/>
        <v>3.5028448487407909E-2</v>
      </c>
      <c r="X17" s="313">
        <f t="shared" si="4"/>
        <v>1.9825837543120711E-3</v>
      </c>
      <c r="AC17" s="424"/>
      <c r="AD17" s="378" t="s">
        <v>382</v>
      </c>
      <c r="AE17" s="375">
        <v>5.65992454682877E-2</v>
      </c>
      <c r="AF17" s="375">
        <v>3.5028448487407909E-2</v>
      </c>
      <c r="AG17" s="376">
        <v>1.9825837543120711E-3</v>
      </c>
      <c r="AH17" s="17">
        <v>171997.77777777778</v>
      </c>
    </row>
    <row r="18" spans="1:34">
      <c r="A18" s="14" t="s">
        <v>88</v>
      </c>
      <c r="C18" s="17">
        <f>SUMIF(Collection!B:B, A18, Collection!J:J)</f>
        <v>939467.77777777775</v>
      </c>
      <c r="D18" s="17">
        <f>COUNTIFS(Collection!B:B, A18, Collection!O:O, "&gt;0", Collection!J:J, "&gt;5,000")</f>
        <v>5</v>
      </c>
      <c r="E18">
        <v>9</v>
      </c>
      <c r="F18">
        <v>29.3</v>
      </c>
      <c r="G18">
        <v>4.9000000000000004</v>
      </c>
      <c r="H18" s="17">
        <f t="shared" si="0"/>
        <v>104385.30864197531</v>
      </c>
      <c r="I18" s="17">
        <f>SUMIF(Collection!B:B, 'Total Larvae to Date'!A18, Collection!O:O)</f>
        <v>283857.77777777775</v>
      </c>
      <c r="J18" t="s">
        <v>375</v>
      </c>
      <c r="L18" s="53"/>
      <c r="W18" s="105"/>
      <c r="X18" s="105">
        <v>0.03</v>
      </c>
      <c r="AC18" s="424" t="s">
        <v>387</v>
      </c>
      <c r="AD18" s="203" t="s">
        <v>379</v>
      </c>
      <c r="AF18" s="368"/>
      <c r="AG18" s="382">
        <v>5.0000000000000001E-3</v>
      </c>
      <c r="AH18" s="17">
        <v>800</v>
      </c>
    </row>
    <row r="19" spans="1:34">
      <c r="A19" s="14" t="s">
        <v>109</v>
      </c>
      <c r="C19" s="17">
        <f>SUMIF(Collection!B:B, A19, Collection!J:J)</f>
        <v>705188.33333333337</v>
      </c>
      <c r="D19" s="17">
        <f>COUNTIFS(Collection!B:B, A19, Collection!O:O, "&gt;0", Collection!J:J, "&gt;5,000")</f>
        <v>6</v>
      </c>
      <c r="E19">
        <v>16</v>
      </c>
      <c r="F19">
        <v>29.4</v>
      </c>
      <c r="G19">
        <v>4.8</v>
      </c>
      <c r="H19" s="17">
        <f t="shared" si="0"/>
        <v>44074.270833333336</v>
      </c>
      <c r="I19" s="17">
        <f>SUMIF(Collection!B:B, 'Total Larvae to Date'!A19, Collection!O:O)</f>
        <v>310875</v>
      </c>
      <c r="J19" t="s">
        <v>376</v>
      </c>
      <c r="W19" s="105"/>
      <c r="X19" s="105">
        <v>0.34375</v>
      </c>
      <c r="AC19" s="424"/>
      <c r="AD19" s="203" t="s">
        <v>380</v>
      </c>
      <c r="AF19" s="368"/>
      <c r="AG19" s="105">
        <v>0.03</v>
      </c>
      <c r="AH19" s="17">
        <v>800</v>
      </c>
    </row>
    <row r="20" spans="1:34">
      <c r="A20" s="14" t="s">
        <v>119</v>
      </c>
      <c r="C20" s="17">
        <f>SUMIF(Collection!B:B, A20, Collection!J:J)</f>
        <v>105133.33333333334</v>
      </c>
      <c r="D20" s="17">
        <f>COUNTIFS(Collection!B:B, A20, Collection!O:O, "&gt;0", Collection!J:J, "&gt;5,000")</f>
        <v>1</v>
      </c>
      <c r="E20">
        <v>14</v>
      </c>
      <c r="F20">
        <v>29.9</v>
      </c>
      <c r="G20">
        <v>5.2</v>
      </c>
      <c r="H20" s="17">
        <f t="shared" si="0"/>
        <v>7509.5238095238101</v>
      </c>
      <c r="I20" s="17">
        <f>SUMIF(Collection!B:B, 'Total Larvae to Date'!A20, Collection!O:O)</f>
        <v>65666.666666666672</v>
      </c>
      <c r="J20" t="s">
        <v>377</v>
      </c>
      <c r="W20" s="105"/>
      <c r="X20" s="105">
        <v>5.0000000000000001E-3</v>
      </c>
      <c r="AC20" s="424"/>
      <c r="AD20" s="378" t="s">
        <v>381</v>
      </c>
      <c r="AF20" s="368"/>
      <c r="AG20" s="368">
        <v>0.12</v>
      </c>
      <c r="AH20" s="17">
        <v>800</v>
      </c>
    </row>
    <row r="21" spans="1:34">
      <c r="A21" s="7" t="s">
        <v>21</v>
      </c>
      <c r="C21" s="17">
        <f>SUMIF(Collection!B:B, A21, Collection!J:J)</f>
        <v>959265</v>
      </c>
      <c r="D21" s="17">
        <f>COUNTIFS(Collection!B:B, A21, Collection!O:O, "&gt;0", Collection!J:J, "&gt;5,000")</f>
        <v>3</v>
      </c>
      <c r="E21">
        <v>15</v>
      </c>
      <c r="F21">
        <v>30.8</v>
      </c>
      <c r="G21">
        <v>5.7</v>
      </c>
      <c r="H21" s="17">
        <f t="shared" si="0"/>
        <v>63951</v>
      </c>
      <c r="I21" s="17">
        <f>SUMIF(Collection!B:B, 'Total Larvae to Date'!A21, Collection!O:O)</f>
        <v>255370.55555555556</v>
      </c>
      <c r="J21" t="s">
        <v>378</v>
      </c>
      <c r="W21" s="105"/>
      <c r="X21" s="105">
        <v>0.12</v>
      </c>
      <c r="AC21" s="424"/>
      <c r="AD21" s="378" t="s">
        <v>382</v>
      </c>
      <c r="AF21" s="368"/>
      <c r="AG21" s="368">
        <v>0.34375</v>
      </c>
      <c r="AH21" s="17">
        <v>800</v>
      </c>
    </row>
    <row r="22" spans="1:34">
      <c r="A22" s="14" t="s">
        <v>17</v>
      </c>
      <c r="C22" s="17">
        <f>SUMIF(Collection!B:B, A22, Collection!J:J)</f>
        <v>466208.33333333337</v>
      </c>
      <c r="D22" s="17">
        <f>COUNTIFS(Collection!B:B, A22, Collection!O:O, "&gt;0", Collection!J:J, "&gt;5,000")</f>
        <v>9</v>
      </c>
      <c r="E22">
        <v>115</v>
      </c>
      <c r="F22" t="s">
        <v>305</v>
      </c>
      <c r="H22" s="17">
        <f t="shared" si="0"/>
        <v>4053.985507246377</v>
      </c>
      <c r="I22" s="17">
        <f>SUMIF(Collection!B:B, 'Total Larvae to Date'!A22, Collection!O:O)</f>
        <v>324165.00000000006</v>
      </c>
    </row>
    <row r="23" spans="1:34">
      <c r="A23" s="7" t="s">
        <v>20</v>
      </c>
      <c r="C23" s="17">
        <f>SUMIF(Collection!B:B, A23, Collection!J:J)</f>
        <v>653356.66666666663</v>
      </c>
      <c r="D23" s="17">
        <f>COUNTIFS(Collection!B:B, A23, Collection!O:O, "&gt;0", Collection!J:J, "&gt;5,000")</f>
        <v>7</v>
      </c>
      <c r="E23">
        <v>111</v>
      </c>
      <c r="F23" t="s">
        <v>305</v>
      </c>
      <c r="H23" s="17">
        <f t="shared" si="0"/>
        <v>5886.0960960960956</v>
      </c>
      <c r="I23" s="17">
        <f>SUMIF(Collection!B:B, 'Total Larvae to Date'!A23, Collection!O:O)</f>
        <v>225873.33333333331</v>
      </c>
    </row>
    <row r="24" spans="1:34">
      <c r="A24" s="7" t="s">
        <v>38</v>
      </c>
      <c r="C24" s="17">
        <f>SUMIF(Collection!B:B, A24, Collection!J:J)</f>
        <v>517545</v>
      </c>
      <c r="D24" s="17">
        <f>COUNTIFS(Collection!B:B, A24, Collection!O:O, "&gt;0", Collection!J:J, "&gt;5,000")</f>
        <v>6</v>
      </c>
      <c r="E24">
        <v>117</v>
      </c>
      <c r="F24" t="s">
        <v>305</v>
      </c>
      <c r="H24" s="17">
        <f t="shared" si="0"/>
        <v>4423.4615384615381</v>
      </c>
      <c r="I24" s="17">
        <f>SUMIF(Collection!B:B, 'Total Larvae to Date'!A24, Collection!O:O)</f>
        <v>353768.33333333326</v>
      </c>
    </row>
    <row r="25" spans="1:34" s="212" customFormat="1" ht="16" thickBot="1">
      <c r="A25" s="213" t="s">
        <v>46</v>
      </c>
      <c r="B25" s="214"/>
      <c r="C25" s="214">
        <f>SUMIF(Collection!B:B, A25, Collection!J:J)</f>
        <v>370073.33333333337</v>
      </c>
      <c r="D25" s="214">
        <f>COUNTIFS(Collection!B:B, A25, Collection!O:O, "&gt;0", Collection!J:J, "&gt;5,000")</f>
        <v>5</v>
      </c>
      <c r="E25" s="212">
        <v>126</v>
      </c>
      <c r="F25" s="212" t="s">
        <v>305</v>
      </c>
      <c r="H25" s="214">
        <f t="shared" si="0"/>
        <v>2937.0899470899476</v>
      </c>
      <c r="I25" s="214">
        <f>SUMIF(Collection!B:B, 'Total Larvae to Date'!A25, Collection!O:O)</f>
        <v>179716.66666666666</v>
      </c>
    </row>
    <row r="26" spans="1:34" ht="28" customHeight="1" thickTop="1">
      <c r="C26" s="421" t="s">
        <v>223</v>
      </c>
      <c r="D26" s="421"/>
      <c r="E26" s="421"/>
      <c r="F26" s="421"/>
      <c r="G26" s="421"/>
      <c r="H26" s="421"/>
      <c r="I26" s="421"/>
      <c r="J26" s="421"/>
      <c r="K26" s="421"/>
      <c r="L26" s="205"/>
      <c r="M26" s="205"/>
    </row>
    <row r="27" spans="1:34" s="200" customFormat="1" ht="18">
      <c r="A27" s="32" t="s">
        <v>216</v>
      </c>
      <c r="B27" s="201"/>
      <c r="C27" s="205">
        <v>42891</v>
      </c>
      <c r="D27" s="205">
        <v>42895</v>
      </c>
      <c r="E27" s="205">
        <v>42898</v>
      </c>
      <c r="F27" s="205">
        <v>42901</v>
      </c>
      <c r="G27" s="205">
        <v>42905</v>
      </c>
      <c r="H27" s="205">
        <v>42908</v>
      </c>
      <c r="I27" s="205">
        <v>42912</v>
      </c>
      <c r="J27" s="205">
        <v>42915</v>
      </c>
      <c r="K27" s="205">
        <v>42919</v>
      </c>
      <c r="L27" s="205">
        <v>42922</v>
      </c>
    </row>
    <row r="28" spans="1:34">
      <c r="A28" s="14" t="s">
        <v>98</v>
      </c>
      <c r="B28" s="118"/>
      <c r="C28" s="152">
        <f>SUMIFS(Collection!$O:$O, Collection!$B:$B, 'Total Larvae to Date'!$A28, Collection!$A:$A, "&lt;"&amp;'Total Larvae to Date'!C$27)</f>
        <v>136326.66666666669</v>
      </c>
      <c r="D28" s="152">
        <f>SUMIFS(Collection!$O:$O, Collection!$B:$B, 'Total Larvae to Date'!$A28, Collection!$A:$A, "&lt;"&amp;'Total Larvae to Date'!D$27)</f>
        <v>213510.00000000003</v>
      </c>
      <c r="E28" s="152">
        <f>SUMIFS(Collection!$O:$O, Collection!$B:$B, 'Total Larvae to Date'!$A28, Collection!$A:$A, "&lt;"&amp;'Total Larvae to Date'!E$27)</f>
        <v>213510.00000000003</v>
      </c>
      <c r="F28" s="152">
        <f>SUMIFS(Collection!$O:$O, Collection!$B:$B, 'Total Larvae to Date'!$A28, Collection!$A:$A, "&lt;"&amp;'Total Larvae to Date'!F$27)</f>
        <v>213510.00000000003</v>
      </c>
      <c r="G28" s="152">
        <f>SUMIFS(Collection!$O:$O, Collection!$B:$B, 'Total Larvae to Date'!$A28, Collection!$A:$A, "&lt;"&amp;'Total Larvae to Date'!G$27)</f>
        <v>213510.00000000003</v>
      </c>
      <c r="H28" s="152">
        <f>SUMIFS(Collection!$O:$O, Collection!$B:$B, 'Total Larvae to Date'!$A28, Collection!$A:$A, "&lt;"&amp;'Total Larvae to Date'!H$27)</f>
        <v>213510.00000000003</v>
      </c>
      <c r="I28" s="152">
        <f>SUMIFS(Collection!$O:$O, Collection!$B:$B, 'Total Larvae to Date'!$A28, Collection!$A:$A, "&lt;"&amp;'Total Larvae to Date'!I$27)</f>
        <v>213510.00000000003</v>
      </c>
      <c r="J28" s="152">
        <f>SUMIFS(Collection!$O:$O, Collection!$B:$B, 'Total Larvae to Date'!$A28, Collection!$A:$A, "&lt;"&amp;'Total Larvae to Date'!J$27)</f>
        <v>213510.00000000003</v>
      </c>
      <c r="K28" s="152">
        <f>SUMIFS(Collection!$O:$O, Collection!$B:$B, 'Total Larvae to Date'!$A28, Collection!$A:$A, "&lt;"&amp;'Total Larvae to Date'!K$27)</f>
        <v>213510.00000000003</v>
      </c>
      <c r="L28" s="152">
        <f>SUMIFS(Collection!$O:$O, Collection!$B:$B, 'Total Larvae to Date'!$A28, Collection!$A:$A, "&lt;"&amp;'Total Larvae to Date'!L$27)</f>
        <v>213510.00000000003</v>
      </c>
    </row>
    <row r="29" spans="1:34">
      <c r="A29" s="7" t="s">
        <v>31</v>
      </c>
      <c r="B29" s="118"/>
      <c r="C29" s="152">
        <f>SUMIFS(Collection!$O:$O, Collection!$B:$B, 'Total Larvae to Date'!$A29, Collection!$A:$A, "&lt;"&amp;'Total Larvae to Date'!C$27)</f>
        <v>0</v>
      </c>
      <c r="D29" s="152">
        <f>SUMIFS(Collection!$O:$O, Collection!$B:$B, 'Total Larvae to Date'!$A29, Collection!$A:$A, "&lt;"&amp;'Total Larvae to Date'!D$27)</f>
        <v>0</v>
      </c>
      <c r="E29" s="152">
        <f>SUMIFS(Collection!$O:$O, Collection!$B:$B, 'Total Larvae to Date'!$A29, Collection!$A:$A, "&lt;"&amp;'Total Larvae to Date'!E$27)</f>
        <v>0</v>
      </c>
      <c r="F29" s="152">
        <f>SUMIFS(Collection!$O:$O, Collection!$B:$B, 'Total Larvae to Date'!$A29, Collection!$A:$A, "&lt;"&amp;'Total Larvae to Date'!F$27)</f>
        <v>57866.666666666664</v>
      </c>
      <c r="G29" s="152">
        <f>SUMIFS(Collection!$O:$O, Collection!$B:$B, 'Total Larvae to Date'!$A29, Collection!$A:$A, "&lt;"&amp;'Total Larvae to Date'!G$27)</f>
        <v>105766.66666666667</v>
      </c>
      <c r="H29" s="152">
        <f>SUMIFS(Collection!$O:$O, Collection!$B:$B, 'Total Larvae to Date'!$A29, Collection!$A:$A, "&lt;"&amp;'Total Larvae to Date'!H$27)</f>
        <v>105766.66666666667</v>
      </c>
      <c r="I29" s="152">
        <f>SUMIFS(Collection!$O:$O, Collection!$B:$B, 'Total Larvae to Date'!$A29, Collection!$A:$A, "&lt;"&amp;'Total Larvae to Date'!I$27)</f>
        <v>105766.66666666667</v>
      </c>
      <c r="J29" s="152">
        <f>SUMIFS(Collection!$O:$O, Collection!$B:$B, 'Total Larvae to Date'!$A29, Collection!$A:$A, "&lt;"&amp;'Total Larvae to Date'!J$27)</f>
        <v>105766.66666666667</v>
      </c>
      <c r="K29" s="152">
        <f>SUMIFS(Collection!$O:$O, Collection!$B:$B, 'Total Larvae to Date'!$A29, Collection!$A:$A, "&lt;"&amp;'Total Larvae to Date'!K$27)</f>
        <v>105766.66666666667</v>
      </c>
      <c r="L29" s="152">
        <f>SUMIFS(Collection!$O:$O, Collection!$B:$B, 'Total Larvae to Date'!$A29, Collection!$A:$A, "&lt;"&amp;'Total Larvae to Date'!L$27)</f>
        <v>105766.66666666667</v>
      </c>
    </row>
    <row r="30" spans="1:34">
      <c r="A30" s="14" t="s">
        <v>49</v>
      </c>
      <c r="B30" s="118"/>
      <c r="C30" s="152">
        <f>SUMIFS(Collection!$O:$O, Collection!$B:$B, 'Total Larvae to Date'!$A30, Collection!$A:$A, "&lt;"&amp;'Total Larvae to Date'!C$27)</f>
        <v>5183.3333333333339</v>
      </c>
      <c r="D30" s="152">
        <f>SUMIFS(Collection!$O:$O, Collection!$B:$B, 'Total Larvae to Date'!$A30, Collection!$A:$A, "&lt;"&amp;'Total Larvae to Date'!D$27)</f>
        <v>5183.3333333333339</v>
      </c>
      <c r="E30" s="152">
        <f>SUMIFS(Collection!$O:$O, Collection!$B:$B, 'Total Larvae to Date'!$A30, Collection!$A:$A, "&lt;"&amp;'Total Larvae to Date'!E$27)</f>
        <v>5183.3333333333339</v>
      </c>
      <c r="F30" s="152">
        <f>SUMIFS(Collection!$O:$O, Collection!$B:$B, 'Total Larvae to Date'!$A30, Collection!$A:$A, "&lt;"&amp;'Total Larvae to Date'!F$27)</f>
        <v>5183.3333333333339</v>
      </c>
      <c r="G30" s="152">
        <f>SUMIFS(Collection!$O:$O, Collection!$B:$B, 'Total Larvae to Date'!$A30, Collection!$A:$A, "&lt;"&amp;'Total Larvae to Date'!G$27)</f>
        <v>5183.3333333333339</v>
      </c>
      <c r="H30" s="152">
        <f>SUMIFS(Collection!$O:$O, Collection!$B:$B, 'Total Larvae to Date'!$A30, Collection!$A:$A, "&lt;"&amp;'Total Larvae to Date'!H$27)</f>
        <v>5183.3333333333339</v>
      </c>
      <c r="I30" s="152">
        <f>SUMIFS(Collection!$O:$O, Collection!$B:$B, 'Total Larvae to Date'!$A30, Collection!$A:$A, "&lt;"&amp;'Total Larvae to Date'!I$27)</f>
        <v>5183.3333333333339</v>
      </c>
      <c r="J30" s="152">
        <f>SUMIFS(Collection!$O:$O, Collection!$B:$B, 'Total Larvae to Date'!$A30, Collection!$A:$A, "&lt;"&amp;'Total Larvae to Date'!J$27)</f>
        <v>5183.3333333333339</v>
      </c>
      <c r="K30" s="152">
        <f>SUMIFS(Collection!$O:$O, Collection!$B:$B, 'Total Larvae to Date'!$A30, Collection!$A:$A, "&lt;"&amp;'Total Larvae to Date'!K$27)</f>
        <v>5183.3333333333339</v>
      </c>
      <c r="L30" s="152">
        <f>SUMIFS(Collection!$O:$O, Collection!$B:$B, 'Total Larvae to Date'!$A30, Collection!$A:$A, "&lt;"&amp;'Total Larvae to Date'!L$27)</f>
        <v>47141.666666666664</v>
      </c>
    </row>
    <row r="31" spans="1:34">
      <c r="A31" s="7" t="s">
        <v>47</v>
      </c>
      <c r="B31" s="118"/>
      <c r="C31" s="152">
        <f>SUMIFS(Collection!$O:$O, Collection!$B:$B, 'Total Larvae to Date'!$A31, Collection!$A:$A, "&lt;"&amp;'Total Larvae to Date'!C$27)</f>
        <v>164275</v>
      </c>
      <c r="D31" s="152">
        <f>SUMIFS(Collection!$O:$O, Collection!$B:$B, 'Total Larvae to Date'!$A31, Collection!$A:$A, "&lt;"&amp;'Total Larvae to Date'!D$27)</f>
        <v>164275</v>
      </c>
      <c r="E31" s="152">
        <f>SUMIFS(Collection!$O:$O, Collection!$B:$B, 'Total Larvae to Date'!$A31, Collection!$A:$A, "&lt;"&amp;'Total Larvae to Date'!E$27)</f>
        <v>164275</v>
      </c>
      <c r="F31" s="152">
        <f>SUMIFS(Collection!$O:$O, Collection!$B:$B, 'Total Larvae to Date'!$A31, Collection!$A:$A, "&lt;"&amp;'Total Larvae to Date'!F$27)</f>
        <v>164275</v>
      </c>
      <c r="G31" s="152">
        <f>SUMIFS(Collection!$O:$O, Collection!$B:$B, 'Total Larvae to Date'!$A31, Collection!$A:$A, "&lt;"&amp;'Total Larvae to Date'!G$27)</f>
        <v>164275</v>
      </c>
      <c r="H31" s="152">
        <f>SUMIFS(Collection!$O:$O, Collection!$B:$B, 'Total Larvae to Date'!$A31, Collection!$A:$A, "&lt;"&amp;'Total Larvae to Date'!H$27)</f>
        <v>164275</v>
      </c>
      <c r="I31" s="152">
        <f>SUMIFS(Collection!$O:$O, Collection!$B:$B, 'Total Larvae to Date'!$A31, Collection!$A:$A, "&lt;"&amp;'Total Larvae to Date'!I$27)</f>
        <v>164275</v>
      </c>
      <c r="J31" s="152">
        <f>SUMIFS(Collection!$O:$O, Collection!$B:$B, 'Total Larvae to Date'!$A31, Collection!$A:$A, "&lt;"&amp;'Total Larvae to Date'!J$27)</f>
        <v>164275</v>
      </c>
      <c r="K31" s="152">
        <f>SUMIFS(Collection!$O:$O, Collection!$B:$B, 'Total Larvae to Date'!$A31, Collection!$A:$A, "&lt;"&amp;'Total Larvae to Date'!K$27)</f>
        <v>164275</v>
      </c>
      <c r="L31" s="152">
        <f>SUMIFS(Collection!$O:$O, Collection!$B:$B, 'Total Larvae to Date'!$A31, Collection!$A:$A, "&lt;"&amp;'Total Larvae to Date'!L$27)</f>
        <v>164275</v>
      </c>
    </row>
    <row r="32" spans="1:34">
      <c r="A32" s="7" t="s">
        <v>50</v>
      </c>
      <c r="B32" s="118"/>
      <c r="C32" s="152">
        <f>SUMIFS(Collection!$O:$O, Collection!$B:$B, 'Total Larvae to Date'!$A32, Collection!$A:$A, "&lt;"&amp;'Total Larvae to Date'!C$27)</f>
        <v>66675</v>
      </c>
      <c r="D32" s="152">
        <f>SUMIFS(Collection!$O:$O, Collection!$B:$B, 'Total Larvae to Date'!$A32, Collection!$A:$A, "&lt;"&amp;'Total Larvae to Date'!D$27)</f>
        <v>66675</v>
      </c>
      <c r="E32" s="152">
        <f>SUMIFS(Collection!$O:$O, Collection!$B:$B, 'Total Larvae to Date'!$A32, Collection!$A:$A, "&lt;"&amp;'Total Larvae to Date'!E$27)</f>
        <v>66675</v>
      </c>
      <c r="F32" s="152">
        <f>SUMIFS(Collection!$O:$O, Collection!$B:$B, 'Total Larvae to Date'!$A32, Collection!$A:$A, "&lt;"&amp;'Total Larvae to Date'!F$27)</f>
        <v>66675</v>
      </c>
      <c r="G32" s="152">
        <f>SUMIFS(Collection!$O:$O, Collection!$B:$B, 'Total Larvae to Date'!$A32, Collection!$A:$A, "&lt;"&amp;'Total Larvae to Date'!G$27)</f>
        <v>66675</v>
      </c>
      <c r="H32" s="152">
        <f>SUMIFS(Collection!$O:$O, Collection!$B:$B, 'Total Larvae to Date'!$A32, Collection!$A:$A, "&lt;"&amp;'Total Larvae to Date'!H$27)</f>
        <v>66675</v>
      </c>
      <c r="I32" s="152">
        <f>SUMIFS(Collection!$O:$O, Collection!$B:$B, 'Total Larvae to Date'!$A32, Collection!$A:$A, "&lt;"&amp;'Total Larvae to Date'!I$27)</f>
        <v>66708.333333333328</v>
      </c>
      <c r="J32" s="152">
        <f>SUMIFS(Collection!$O:$O, Collection!$B:$B, 'Total Larvae to Date'!$A32, Collection!$A:$A, "&lt;"&amp;'Total Larvae to Date'!J$27)</f>
        <v>66708.333333333328</v>
      </c>
      <c r="K32" s="152">
        <f>SUMIFS(Collection!$O:$O, Collection!$B:$B, 'Total Larvae to Date'!$A32, Collection!$A:$A, "&lt;"&amp;'Total Larvae to Date'!K$27)</f>
        <v>66708.333333333328</v>
      </c>
      <c r="L32" s="152">
        <f>SUMIFS(Collection!$O:$O, Collection!$B:$B, 'Total Larvae to Date'!$A32, Collection!$A:$A, "&lt;"&amp;'Total Larvae to Date'!L$27)</f>
        <v>66708.333333333328</v>
      </c>
    </row>
    <row r="33" spans="1:12">
      <c r="A33" s="14" t="s">
        <v>39</v>
      </c>
      <c r="B33" s="118"/>
      <c r="C33" s="152">
        <f>SUMIFS(Collection!$O:$O, Collection!$B:$B, 'Total Larvae to Date'!$A33, Collection!$A:$A, "&lt;"&amp;'Total Larvae to Date'!C$27)</f>
        <v>64966.666666666672</v>
      </c>
      <c r="D33" s="152">
        <f>SUMIFS(Collection!$O:$O, Collection!$B:$B, 'Total Larvae to Date'!$A33, Collection!$A:$A, "&lt;"&amp;'Total Larvae to Date'!D$27)</f>
        <v>64966.666666666672</v>
      </c>
      <c r="E33" s="152">
        <f>SUMIFS(Collection!$O:$O, Collection!$B:$B, 'Total Larvae to Date'!$A33, Collection!$A:$A, "&lt;"&amp;'Total Larvae to Date'!E$27)</f>
        <v>64966.666666666672</v>
      </c>
      <c r="F33" s="152">
        <f>SUMIFS(Collection!$O:$O, Collection!$B:$B, 'Total Larvae to Date'!$A33, Collection!$A:$A, "&lt;"&amp;'Total Larvae to Date'!F$27)</f>
        <v>64966.666666666672</v>
      </c>
      <c r="G33" s="152">
        <f>SUMIFS(Collection!$O:$O, Collection!$B:$B, 'Total Larvae to Date'!$A33, Collection!$A:$A, "&lt;"&amp;'Total Larvae to Date'!G$27)</f>
        <v>64966.666666666672</v>
      </c>
      <c r="H33" s="152">
        <f>SUMIFS(Collection!$O:$O, Collection!$B:$B, 'Total Larvae to Date'!$A33, Collection!$A:$A, "&lt;"&amp;'Total Larvae to Date'!H$27)</f>
        <v>64966.666666666672</v>
      </c>
      <c r="I33" s="152">
        <f>SUMIFS(Collection!$O:$O, Collection!$B:$B, 'Total Larvae to Date'!$A33, Collection!$A:$A, "&lt;"&amp;'Total Larvae to Date'!I$27)</f>
        <v>64966.666666666672</v>
      </c>
      <c r="J33" s="152">
        <f>SUMIFS(Collection!$O:$O, Collection!$B:$B, 'Total Larvae to Date'!$A33, Collection!$A:$A, "&lt;"&amp;'Total Larvae to Date'!J$27)</f>
        <v>64966.666666666672</v>
      </c>
      <c r="K33" s="152">
        <f>SUMIFS(Collection!$O:$O, Collection!$B:$B, 'Total Larvae to Date'!$A33, Collection!$A:$A, "&lt;"&amp;'Total Larvae to Date'!K$27)</f>
        <v>64966.666666666672</v>
      </c>
      <c r="L33" s="152">
        <f>SUMIFS(Collection!$O:$O, Collection!$B:$B, 'Total Larvae to Date'!$A33, Collection!$A:$A, "&lt;"&amp;'Total Larvae to Date'!L$27)</f>
        <v>64966.666666666672</v>
      </c>
    </row>
    <row r="34" spans="1:12">
      <c r="A34" s="7" t="s">
        <v>121</v>
      </c>
      <c r="B34" s="118"/>
      <c r="C34" s="152">
        <f>SUMIFS(Collection!$O:$O, Collection!$B:$B, 'Total Larvae to Date'!$A34, Collection!$A:$A, "&lt;"&amp;'Total Larvae to Date'!C$27)</f>
        <v>0</v>
      </c>
      <c r="D34" s="152">
        <f>SUMIFS(Collection!$O:$O, Collection!$B:$B, 'Total Larvae to Date'!$A34, Collection!$A:$A, "&lt;"&amp;'Total Larvae to Date'!D$27)</f>
        <v>66100</v>
      </c>
      <c r="E34" s="152">
        <f>SUMIFS(Collection!$O:$O, Collection!$B:$B, 'Total Larvae to Date'!$A34, Collection!$A:$A, "&lt;"&amp;'Total Larvae to Date'!E$27)</f>
        <v>127833.33333333334</v>
      </c>
      <c r="F34" s="152">
        <f>SUMIFS(Collection!$O:$O, Collection!$B:$B, 'Total Larvae to Date'!$A34, Collection!$A:$A, "&lt;"&amp;'Total Larvae to Date'!F$27)</f>
        <v>137233.33333333334</v>
      </c>
      <c r="G34" s="152">
        <f>SUMIFS(Collection!$O:$O, Collection!$B:$B, 'Total Larvae to Date'!$A34, Collection!$A:$A, "&lt;"&amp;'Total Larvae to Date'!G$27)</f>
        <v>137233.33333333334</v>
      </c>
      <c r="H34" s="152">
        <f>SUMIFS(Collection!$O:$O, Collection!$B:$B, 'Total Larvae to Date'!$A34, Collection!$A:$A, "&lt;"&amp;'Total Larvae to Date'!H$27)</f>
        <v>196873.33333333334</v>
      </c>
      <c r="I34" s="152">
        <f>SUMIFS(Collection!$O:$O, Collection!$B:$B, 'Total Larvae to Date'!$A34, Collection!$A:$A, "&lt;"&amp;'Total Larvae to Date'!I$27)</f>
        <v>197762.22222222222</v>
      </c>
      <c r="J34" s="152">
        <f>SUMIFS(Collection!$O:$O, Collection!$B:$B, 'Total Larvae to Date'!$A34, Collection!$A:$A, "&lt;"&amp;'Total Larvae to Date'!J$27)</f>
        <v>197762.22222222222</v>
      </c>
      <c r="K34" s="152">
        <f>SUMIFS(Collection!$O:$O, Collection!$B:$B, 'Total Larvae to Date'!$A34, Collection!$A:$A, "&lt;"&amp;'Total Larvae to Date'!K$27)</f>
        <v>197762.22222222222</v>
      </c>
      <c r="L34" s="152">
        <f>SUMIFS(Collection!$O:$O, Collection!$B:$B, 'Total Larvae to Date'!$A34, Collection!$A:$A, "&lt;"&amp;'Total Larvae to Date'!L$27)</f>
        <v>197762.22222222222</v>
      </c>
    </row>
    <row r="35" spans="1:12">
      <c r="A35" s="14" t="s">
        <v>97</v>
      </c>
      <c r="B35" s="118"/>
      <c r="C35" s="152">
        <f>SUMIFS(Collection!$O:$O, Collection!$B:$B, 'Total Larvae to Date'!$A35, Collection!$A:$A, "&lt;"&amp;'Total Larvae to Date'!C$27)</f>
        <v>120666.66666666667</v>
      </c>
      <c r="D35" s="152">
        <f>SUMIFS(Collection!$O:$O, Collection!$B:$B, 'Total Larvae to Date'!$A35, Collection!$A:$A, "&lt;"&amp;'Total Larvae to Date'!D$27)</f>
        <v>173253.33333333334</v>
      </c>
      <c r="E35" s="152">
        <f>SUMIFS(Collection!$O:$O, Collection!$B:$B, 'Total Larvae to Date'!$A35, Collection!$A:$A, "&lt;"&amp;'Total Larvae to Date'!E$27)</f>
        <v>173253.33333333334</v>
      </c>
      <c r="F35" s="152">
        <f>SUMIFS(Collection!$O:$O, Collection!$B:$B, 'Total Larvae to Date'!$A35, Collection!$A:$A, "&lt;"&amp;'Total Larvae to Date'!F$27)</f>
        <v>173253.33333333334</v>
      </c>
      <c r="G35" s="152">
        <f>SUMIFS(Collection!$O:$O, Collection!$B:$B, 'Total Larvae to Date'!$A35, Collection!$A:$A, "&lt;"&amp;'Total Larvae to Date'!G$27)</f>
        <v>173253.33333333334</v>
      </c>
      <c r="H35" s="152">
        <f>SUMIFS(Collection!$O:$O, Collection!$B:$B, 'Total Larvae to Date'!$A35, Collection!$A:$A, "&lt;"&amp;'Total Larvae to Date'!H$27)</f>
        <v>173253.33333333334</v>
      </c>
      <c r="I35" s="152">
        <f>SUMIFS(Collection!$O:$O, Collection!$B:$B, 'Total Larvae to Date'!$A35, Collection!$A:$A, "&lt;"&amp;'Total Larvae to Date'!I$27)</f>
        <v>173253.33333333334</v>
      </c>
      <c r="J35" s="152">
        <f>SUMIFS(Collection!$O:$O, Collection!$B:$B, 'Total Larvae to Date'!$A35, Collection!$A:$A, "&lt;"&amp;'Total Larvae to Date'!J$27)</f>
        <v>173253.33333333334</v>
      </c>
      <c r="K35" s="152">
        <f>SUMIFS(Collection!$O:$O, Collection!$B:$B, 'Total Larvae to Date'!$A35, Collection!$A:$A, "&lt;"&amp;'Total Larvae to Date'!K$27)</f>
        <v>173253.33333333334</v>
      </c>
      <c r="L35" s="152">
        <f>SUMIFS(Collection!$O:$O, Collection!$B:$B, 'Total Larvae to Date'!$A35, Collection!$A:$A, "&lt;"&amp;'Total Larvae to Date'!L$27)</f>
        <v>173253.33333333334</v>
      </c>
    </row>
    <row r="36" spans="1:12">
      <c r="A36" s="7" t="s">
        <v>27</v>
      </c>
      <c r="B36" s="118"/>
      <c r="C36" s="152">
        <f>SUMIFS(Collection!$O:$O, Collection!$B:$B, 'Total Larvae to Date'!$A36, Collection!$A:$A, "&lt;"&amp;'Total Larvae to Date'!C$27)</f>
        <v>368626.66666666669</v>
      </c>
      <c r="D36" s="152">
        <f>SUMIFS(Collection!$O:$O, Collection!$B:$B, 'Total Larvae to Date'!$A36, Collection!$A:$A, "&lt;"&amp;'Total Larvae to Date'!D$27)</f>
        <v>368626.66666666669</v>
      </c>
      <c r="E36" s="152">
        <f>SUMIFS(Collection!$O:$O, Collection!$B:$B, 'Total Larvae to Date'!$A36, Collection!$A:$A, "&lt;"&amp;'Total Larvae to Date'!E$27)</f>
        <v>368626.66666666669</v>
      </c>
      <c r="F36" s="152">
        <f>SUMIFS(Collection!$O:$O, Collection!$B:$B, 'Total Larvae to Date'!$A36, Collection!$A:$A, "&lt;"&amp;'Total Larvae to Date'!F$27)</f>
        <v>368626.66666666669</v>
      </c>
      <c r="G36" s="152">
        <f>SUMIFS(Collection!$O:$O, Collection!$B:$B, 'Total Larvae to Date'!$A36, Collection!$A:$A, "&lt;"&amp;'Total Larvae to Date'!G$27)</f>
        <v>368626.66666666669</v>
      </c>
      <c r="H36" s="152">
        <f>SUMIFS(Collection!$O:$O, Collection!$B:$B, 'Total Larvae to Date'!$A36, Collection!$A:$A, "&lt;"&amp;'Total Larvae to Date'!H$27)</f>
        <v>368626.66666666669</v>
      </c>
      <c r="I36" s="152">
        <f>SUMIFS(Collection!$O:$O, Collection!$B:$B, 'Total Larvae to Date'!$A36, Collection!$A:$A, "&lt;"&amp;'Total Larvae to Date'!I$27)</f>
        <v>368626.66666666669</v>
      </c>
      <c r="J36" s="152">
        <f>SUMIFS(Collection!$O:$O, Collection!$B:$B, 'Total Larvae to Date'!$A36, Collection!$A:$A, "&lt;"&amp;'Total Larvae to Date'!J$27)</f>
        <v>368626.66666666669</v>
      </c>
      <c r="K36" s="152">
        <f>SUMIFS(Collection!$O:$O, Collection!$B:$B, 'Total Larvae to Date'!$A36, Collection!$A:$A, "&lt;"&amp;'Total Larvae to Date'!K$27)</f>
        <v>368626.66666666669</v>
      </c>
      <c r="L36" s="152">
        <f>SUMIFS(Collection!$O:$O, Collection!$B:$B, 'Total Larvae to Date'!$A36, Collection!$A:$A, "&lt;"&amp;'Total Larvae to Date'!L$27)</f>
        <v>368626.66666666669</v>
      </c>
    </row>
    <row r="37" spans="1:12">
      <c r="A37" s="7" t="s">
        <v>23</v>
      </c>
      <c r="B37" s="118"/>
      <c r="C37" s="152">
        <f>SUMIFS(Collection!$O:$O, Collection!$B:$B, 'Total Larvae to Date'!$A37, Collection!$A:$A, "&lt;"&amp;'Total Larvae to Date'!C$27)</f>
        <v>293333.33333333337</v>
      </c>
      <c r="D37" s="152">
        <f>SUMIFS(Collection!$O:$O, Collection!$B:$B, 'Total Larvae to Date'!$A37, Collection!$A:$A, "&lt;"&amp;'Total Larvae to Date'!D$27)</f>
        <v>293333.33333333337</v>
      </c>
      <c r="E37" s="152">
        <f>SUMIFS(Collection!$O:$O, Collection!$B:$B, 'Total Larvae to Date'!$A37, Collection!$A:$A, "&lt;"&amp;'Total Larvae to Date'!E$27)</f>
        <v>293333.33333333337</v>
      </c>
      <c r="F37" s="152">
        <f>SUMIFS(Collection!$O:$O, Collection!$B:$B, 'Total Larvae to Date'!$A37, Collection!$A:$A, "&lt;"&amp;'Total Larvae to Date'!F$27)</f>
        <v>332333.33333333337</v>
      </c>
      <c r="G37" s="152">
        <f>SUMIFS(Collection!$O:$O, Collection!$B:$B, 'Total Larvae to Date'!$A37, Collection!$A:$A, "&lt;"&amp;'Total Larvae to Date'!G$27)</f>
        <v>382166.66666666674</v>
      </c>
      <c r="H37" s="152">
        <f>SUMIFS(Collection!$O:$O, Collection!$B:$B, 'Total Larvae to Date'!$A37, Collection!$A:$A, "&lt;"&amp;'Total Larvae to Date'!H$27)</f>
        <v>382166.66666666674</v>
      </c>
      <c r="I37" s="152">
        <f>SUMIFS(Collection!$O:$O, Collection!$B:$B, 'Total Larvae to Date'!$A37, Collection!$A:$A, "&lt;"&amp;'Total Larvae to Date'!I$27)</f>
        <v>382166.66666666674</v>
      </c>
      <c r="J37" s="152">
        <f>SUMIFS(Collection!$O:$O, Collection!$B:$B, 'Total Larvae to Date'!$A37, Collection!$A:$A, "&lt;"&amp;'Total Larvae to Date'!J$27)</f>
        <v>382166.66666666674</v>
      </c>
      <c r="K37" s="152">
        <f>SUMIFS(Collection!$O:$O, Collection!$B:$B, 'Total Larvae to Date'!$A37, Collection!$A:$A, "&lt;"&amp;'Total Larvae to Date'!K$27)</f>
        <v>382166.66666666674</v>
      </c>
      <c r="L37" s="152">
        <f>SUMIFS(Collection!$O:$O, Collection!$B:$B, 'Total Larvae to Date'!$A37, Collection!$A:$A, "&lt;"&amp;'Total Larvae to Date'!L$27)</f>
        <v>382166.66666666674</v>
      </c>
    </row>
    <row r="38" spans="1:12">
      <c r="A38" s="7" t="s">
        <v>24</v>
      </c>
      <c r="B38" s="118"/>
      <c r="C38" s="152">
        <f>SUMIFS(Collection!$O:$O, Collection!$B:$B, 'Total Larvae to Date'!$A38, Collection!$A:$A, "&lt;"&amp;'Total Larvae to Date'!C$27)</f>
        <v>250333.33333333334</v>
      </c>
      <c r="D38" s="152">
        <f>SUMIFS(Collection!$O:$O, Collection!$B:$B, 'Total Larvae to Date'!$A38, Collection!$A:$A, "&lt;"&amp;'Total Larvae to Date'!D$27)</f>
        <v>250333.33333333334</v>
      </c>
      <c r="E38" s="152">
        <f>SUMIFS(Collection!$O:$O, Collection!$B:$B, 'Total Larvae to Date'!$A38, Collection!$A:$A, "&lt;"&amp;'Total Larvae to Date'!E$27)</f>
        <v>250333.33333333334</v>
      </c>
      <c r="F38" s="152">
        <f>SUMIFS(Collection!$O:$O, Collection!$B:$B, 'Total Larvae to Date'!$A38, Collection!$A:$A, "&lt;"&amp;'Total Larvae to Date'!F$27)</f>
        <v>250333.33333333334</v>
      </c>
      <c r="G38" s="152">
        <f>SUMIFS(Collection!$O:$O, Collection!$B:$B, 'Total Larvae to Date'!$A38, Collection!$A:$A, "&lt;"&amp;'Total Larvae to Date'!G$27)</f>
        <v>250333.33333333334</v>
      </c>
      <c r="H38" s="152">
        <f>SUMIFS(Collection!$O:$O, Collection!$B:$B, 'Total Larvae to Date'!$A38, Collection!$A:$A, "&lt;"&amp;'Total Larvae to Date'!H$27)</f>
        <v>250333.33333333334</v>
      </c>
      <c r="I38" s="152">
        <f>SUMIFS(Collection!$O:$O, Collection!$B:$B, 'Total Larvae to Date'!$A38, Collection!$A:$A, "&lt;"&amp;'Total Larvae to Date'!I$27)</f>
        <v>327900</v>
      </c>
      <c r="J38" s="152">
        <f>SUMIFS(Collection!$O:$O, Collection!$B:$B, 'Total Larvae to Date'!$A38, Collection!$A:$A, "&lt;"&amp;'Total Larvae to Date'!J$27)</f>
        <v>327900</v>
      </c>
      <c r="K38" s="152">
        <f>SUMIFS(Collection!$O:$O, Collection!$B:$B, 'Total Larvae to Date'!$A38, Collection!$A:$A, "&lt;"&amp;'Total Larvae to Date'!K$27)</f>
        <v>327900</v>
      </c>
      <c r="L38" s="152">
        <f>SUMIFS(Collection!$O:$O, Collection!$B:$B, 'Total Larvae to Date'!$A38, Collection!$A:$A, "&lt;"&amp;'Total Larvae to Date'!L$27)</f>
        <v>327900</v>
      </c>
    </row>
    <row r="39" spans="1:12">
      <c r="A39" s="14" t="s">
        <v>34</v>
      </c>
      <c r="B39" s="118"/>
      <c r="C39" s="152">
        <f>SUMIFS(Collection!$O:$O, Collection!$B:$B, 'Total Larvae to Date'!$A39, Collection!$A:$A, "&lt;"&amp;'Total Larvae to Date'!C$27)</f>
        <v>202250</v>
      </c>
      <c r="D39" s="152">
        <f>SUMIFS(Collection!$O:$O, Collection!$B:$B, 'Total Larvae to Date'!$A39, Collection!$A:$A, "&lt;"&amp;'Total Larvae to Date'!D$27)</f>
        <v>202250</v>
      </c>
      <c r="E39" s="152">
        <f>SUMIFS(Collection!$O:$O, Collection!$B:$B, 'Total Larvae to Date'!$A39, Collection!$A:$A, "&lt;"&amp;'Total Larvae to Date'!E$27)</f>
        <v>202250</v>
      </c>
      <c r="F39" s="152">
        <f>SUMIFS(Collection!$O:$O, Collection!$B:$B, 'Total Larvae to Date'!$A39, Collection!$A:$A, "&lt;"&amp;'Total Larvae to Date'!F$27)</f>
        <v>281816.66666666669</v>
      </c>
      <c r="G39" s="152">
        <f>SUMIFS(Collection!$O:$O, Collection!$B:$B, 'Total Larvae to Date'!$A39, Collection!$A:$A, "&lt;"&amp;'Total Larvae to Date'!G$27)</f>
        <v>331683.33333333337</v>
      </c>
      <c r="H39" s="152">
        <f>SUMIFS(Collection!$O:$O, Collection!$B:$B, 'Total Larvae to Date'!$A39, Collection!$A:$A, "&lt;"&amp;'Total Larvae to Date'!H$27)</f>
        <v>331683.33333333337</v>
      </c>
      <c r="I39" s="152">
        <f>SUMIFS(Collection!$O:$O, Collection!$B:$B, 'Total Larvae to Date'!$A39, Collection!$A:$A, "&lt;"&amp;'Total Larvae to Date'!I$27)</f>
        <v>332550.00000000006</v>
      </c>
      <c r="J39" s="152">
        <f>SUMIFS(Collection!$O:$O, Collection!$B:$B, 'Total Larvae to Date'!$A39, Collection!$A:$A, "&lt;"&amp;'Total Larvae to Date'!J$27)</f>
        <v>332550.00000000006</v>
      </c>
      <c r="K39" s="152">
        <f>SUMIFS(Collection!$O:$O, Collection!$B:$B, 'Total Larvae to Date'!$A39, Collection!$A:$A, "&lt;"&amp;'Total Larvae to Date'!K$27)</f>
        <v>332550.00000000006</v>
      </c>
      <c r="L39" s="152">
        <f>SUMIFS(Collection!$O:$O, Collection!$B:$B, 'Total Larvae to Date'!$A39, Collection!$A:$A, "&lt;"&amp;'Total Larvae to Date'!L$27)</f>
        <v>332550.00000000006</v>
      </c>
    </row>
    <row r="40" spans="1:12">
      <c r="A40" s="14" t="s">
        <v>25</v>
      </c>
      <c r="B40" s="118"/>
      <c r="C40" s="152">
        <f>SUMIFS(Collection!$O:$O, Collection!$B:$B, 'Total Larvae to Date'!$A40, Collection!$A:$A, "&lt;"&amp;'Total Larvae to Date'!C$27)</f>
        <v>1400</v>
      </c>
      <c r="D40" s="152">
        <f>SUMIFS(Collection!$O:$O, Collection!$B:$B, 'Total Larvae to Date'!$A40, Collection!$A:$A, "&lt;"&amp;'Total Larvae to Date'!D$27)</f>
        <v>1400</v>
      </c>
      <c r="E40" s="152">
        <f>SUMIFS(Collection!$O:$O, Collection!$B:$B, 'Total Larvae to Date'!$A40, Collection!$A:$A, "&lt;"&amp;'Total Larvae to Date'!E$27)</f>
        <v>1400</v>
      </c>
      <c r="F40" s="152">
        <f>SUMIFS(Collection!$O:$O, Collection!$B:$B, 'Total Larvae to Date'!$A40, Collection!$A:$A, "&lt;"&amp;'Total Larvae to Date'!F$27)</f>
        <v>1400</v>
      </c>
      <c r="G40" s="152">
        <f>SUMIFS(Collection!$O:$O, Collection!$B:$B, 'Total Larvae to Date'!$A40, Collection!$A:$A, "&lt;"&amp;'Total Larvae to Date'!G$27)</f>
        <v>1400</v>
      </c>
      <c r="H40" s="152">
        <f>SUMIFS(Collection!$O:$O, Collection!$B:$B, 'Total Larvae to Date'!$A40, Collection!$A:$A, "&lt;"&amp;'Total Larvae to Date'!H$27)</f>
        <v>57500</v>
      </c>
      <c r="I40" s="152">
        <f>SUMIFS(Collection!$O:$O, Collection!$B:$B, 'Total Larvae to Date'!$A40, Collection!$A:$A, "&lt;"&amp;'Total Larvae to Date'!I$27)</f>
        <v>57500</v>
      </c>
      <c r="J40" s="152">
        <f>SUMIFS(Collection!$O:$O, Collection!$B:$B, 'Total Larvae to Date'!$A40, Collection!$A:$A, "&lt;"&amp;'Total Larvae to Date'!J$27)</f>
        <v>57500</v>
      </c>
      <c r="K40" s="152">
        <f>SUMIFS(Collection!$O:$O, Collection!$B:$B, 'Total Larvae to Date'!$A40, Collection!$A:$A, "&lt;"&amp;'Total Larvae to Date'!K$27)</f>
        <v>57500</v>
      </c>
      <c r="L40" s="152">
        <f>SUMIFS(Collection!$O:$O, Collection!$B:$B, 'Total Larvae to Date'!$A40, Collection!$A:$A, "&lt;"&amp;'Total Larvae to Date'!L$27)</f>
        <v>57500</v>
      </c>
    </row>
    <row r="41" spans="1:12">
      <c r="A41" s="7" t="s">
        <v>36</v>
      </c>
      <c r="B41" s="118"/>
      <c r="C41" s="152">
        <f>SUMIFS(Collection!$O:$O, Collection!$B:$B, 'Total Larvae to Date'!$A41, Collection!$A:$A, "&lt;"&amp;'Total Larvae to Date'!C$27)</f>
        <v>159916.66666666666</v>
      </c>
      <c r="D41" s="152">
        <f>SUMIFS(Collection!$O:$O, Collection!$B:$B, 'Total Larvae to Date'!$A41, Collection!$A:$A, "&lt;"&amp;'Total Larvae to Date'!D$27)</f>
        <v>265850</v>
      </c>
      <c r="E41" s="152">
        <f>SUMIFS(Collection!$O:$O, Collection!$B:$B, 'Total Larvae to Date'!$A41, Collection!$A:$A, "&lt;"&amp;'Total Larvae to Date'!E$27)</f>
        <v>265850</v>
      </c>
      <c r="F41" s="152">
        <f>SUMIFS(Collection!$O:$O, Collection!$B:$B, 'Total Larvae to Date'!$A41, Collection!$A:$A, "&lt;"&amp;'Total Larvae to Date'!F$27)</f>
        <v>265850</v>
      </c>
      <c r="G41" s="152">
        <f>SUMIFS(Collection!$O:$O, Collection!$B:$B, 'Total Larvae to Date'!$A41, Collection!$A:$A, "&lt;"&amp;'Total Larvae to Date'!G$27)</f>
        <v>389983.33333333331</v>
      </c>
      <c r="H41" s="152">
        <f>SUMIFS(Collection!$O:$O, Collection!$B:$B, 'Total Larvae to Date'!$A41, Collection!$A:$A, "&lt;"&amp;'Total Larvae to Date'!H$27)</f>
        <v>419903.33333333331</v>
      </c>
      <c r="I41" s="152">
        <f>SUMIFS(Collection!$O:$O, Collection!$B:$B, 'Total Larvae to Date'!$A41, Collection!$A:$A, "&lt;"&amp;'Total Larvae to Date'!I$27)</f>
        <v>419903.33333333331</v>
      </c>
      <c r="J41" s="152">
        <f>SUMIFS(Collection!$O:$O, Collection!$B:$B, 'Total Larvae to Date'!$A41, Collection!$A:$A, "&lt;"&amp;'Total Larvae to Date'!J$27)</f>
        <v>419903.33333333331</v>
      </c>
      <c r="K41" s="152">
        <f>SUMIFS(Collection!$O:$O, Collection!$B:$B, 'Total Larvae to Date'!$A41, Collection!$A:$A, "&lt;"&amp;'Total Larvae to Date'!K$27)</f>
        <v>419903.33333333331</v>
      </c>
      <c r="L41" s="152">
        <f>SUMIFS(Collection!$O:$O, Collection!$B:$B, 'Total Larvae to Date'!$A41, Collection!$A:$A, "&lt;"&amp;'Total Larvae to Date'!L$27)</f>
        <v>419903.33333333331</v>
      </c>
    </row>
    <row r="42" spans="1:12">
      <c r="A42" s="7" t="s">
        <v>44</v>
      </c>
      <c r="B42" s="118"/>
      <c r="C42" s="152">
        <f>SUMIFS(Collection!$O:$O, Collection!$B:$B, 'Total Larvae to Date'!$A42, Collection!$A:$A, "&lt;"&amp;'Total Larvae to Date'!C$27)</f>
        <v>152583.33333333334</v>
      </c>
      <c r="D42" s="152">
        <f>SUMIFS(Collection!$O:$O, Collection!$B:$B, 'Total Larvae to Date'!$A42, Collection!$A:$A, "&lt;"&amp;'Total Larvae to Date'!D$27)</f>
        <v>152583.33333333334</v>
      </c>
      <c r="E42" s="152">
        <f>SUMIFS(Collection!$O:$O, Collection!$B:$B, 'Total Larvae to Date'!$A42, Collection!$A:$A, "&lt;"&amp;'Total Larvae to Date'!E$27)</f>
        <v>152583.33333333334</v>
      </c>
      <c r="F42" s="152">
        <f>SUMIFS(Collection!$O:$O, Collection!$B:$B, 'Total Larvae to Date'!$A42, Collection!$A:$A, "&lt;"&amp;'Total Larvae to Date'!F$27)</f>
        <v>152583.33333333334</v>
      </c>
      <c r="G42" s="152">
        <f>SUMIFS(Collection!$O:$O, Collection!$B:$B, 'Total Larvae to Date'!$A42, Collection!$A:$A, "&lt;"&amp;'Total Larvae to Date'!G$27)</f>
        <v>210583.33333333334</v>
      </c>
      <c r="H42" s="152">
        <f>SUMIFS(Collection!$O:$O, Collection!$B:$B, 'Total Larvae to Date'!$A42, Collection!$A:$A, "&lt;"&amp;'Total Larvae to Date'!H$27)</f>
        <v>210583.33333333334</v>
      </c>
      <c r="I42" s="152">
        <f>SUMIFS(Collection!$O:$O, Collection!$B:$B, 'Total Larvae to Date'!$A42, Collection!$A:$A, "&lt;"&amp;'Total Larvae to Date'!I$27)</f>
        <v>210583.33333333334</v>
      </c>
      <c r="J42" s="152">
        <f>SUMIFS(Collection!$O:$O, Collection!$B:$B, 'Total Larvae to Date'!$A42, Collection!$A:$A, "&lt;"&amp;'Total Larvae to Date'!J$27)</f>
        <v>210583.33333333334</v>
      </c>
      <c r="K42" s="152">
        <f>SUMIFS(Collection!$O:$O, Collection!$B:$B, 'Total Larvae to Date'!$A42, Collection!$A:$A, "&lt;"&amp;'Total Larvae to Date'!K$27)</f>
        <v>210583.33333333334</v>
      </c>
      <c r="L42" s="152">
        <f>SUMIFS(Collection!$O:$O, Collection!$B:$B, 'Total Larvae to Date'!$A42, Collection!$A:$A, "&lt;"&amp;'Total Larvae to Date'!L$27)</f>
        <v>210583.33333333334</v>
      </c>
    </row>
    <row r="43" spans="1:12">
      <c r="A43" s="7" t="s">
        <v>48</v>
      </c>
      <c r="B43" s="118"/>
      <c r="C43" s="152">
        <f>SUMIFS(Collection!$O:$O, Collection!$B:$B, 'Total Larvae to Date'!$A43, Collection!$A:$A, "&lt;"&amp;'Total Larvae to Date'!C$27)</f>
        <v>138400</v>
      </c>
      <c r="D43" s="152">
        <f>SUMIFS(Collection!$O:$O, Collection!$B:$B, 'Total Larvae to Date'!$A43, Collection!$A:$A, "&lt;"&amp;'Total Larvae to Date'!D$27)</f>
        <v>138400</v>
      </c>
      <c r="E43" s="152">
        <f>SUMIFS(Collection!$O:$O, Collection!$B:$B, 'Total Larvae to Date'!$A43, Collection!$A:$A, "&lt;"&amp;'Total Larvae to Date'!E$27)</f>
        <v>138400</v>
      </c>
      <c r="F43" s="152">
        <f>SUMIFS(Collection!$O:$O, Collection!$B:$B, 'Total Larvae to Date'!$A43, Collection!$A:$A, "&lt;"&amp;'Total Larvae to Date'!F$27)</f>
        <v>274600</v>
      </c>
      <c r="G43" s="152">
        <f>SUMIFS(Collection!$O:$O, Collection!$B:$B, 'Total Larvae to Date'!$A43, Collection!$A:$A, "&lt;"&amp;'Total Larvae to Date'!G$27)</f>
        <v>321833.33333333331</v>
      </c>
      <c r="H43" s="152">
        <f>SUMIFS(Collection!$O:$O, Collection!$B:$B, 'Total Larvae to Date'!$A43, Collection!$A:$A, "&lt;"&amp;'Total Larvae to Date'!H$27)</f>
        <v>321833.33333333331</v>
      </c>
      <c r="I43" s="152">
        <f>SUMIFS(Collection!$O:$O, Collection!$B:$B, 'Total Larvae to Date'!$A43, Collection!$A:$A, "&lt;"&amp;'Total Larvae to Date'!I$27)</f>
        <v>321833.33333333331</v>
      </c>
      <c r="J43" s="152">
        <f>SUMIFS(Collection!$O:$O, Collection!$B:$B, 'Total Larvae to Date'!$A43, Collection!$A:$A, "&lt;"&amp;'Total Larvae to Date'!J$27)</f>
        <v>321833.33333333331</v>
      </c>
      <c r="K43" s="152">
        <f>SUMIFS(Collection!$O:$O, Collection!$B:$B, 'Total Larvae to Date'!$A43, Collection!$A:$A, "&lt;"&amp;'Total Larvae to Date'!K$27)</f>
        <v>321833.33333333331</v>
      </c>
      <c r="L43" s="152">
        <f>SUMIFS(Collection!$O:$O, Collection!$B:$B, 'Total Larvae to Date'!$A43, Collection!$A:$A, "&lt;"&amp;'Total Larvae to Date'!L$27)</f>
        <v>321833.33333333331</v>
      </c>
    </row>
    <row r="44" spans="1:12">
      <c r="A44" s="14" t="s">
        <v>88</v>
      </c>
      <c r="C44" s="152">
        <f>SUMIFS(Collection!$O:$O, Collection!$B:$B, 'Total Larvae to Date'!$A44, Collection!$A:$A, "&lt;"&amp;'Total Larvae to Date'!C$27)</f>
        <v>153386.66666666666</v>
      </c>
      <c r="D44" s="152">
        <f>SUMIFS(Collection!$O:$O, Collection!$B:$B, 'Total Larvae to Date'!$A44, Collection!$A:$A, "&lt;"&amp;'Total Larvae to Date'!D$27)</f>
        <v>153386.66666666666</v>
      </c>
      <c r="E44" s="152">
        <f>SUMIFS(Collection!$O:$O, Collection!$B:$B, 'Total Larvae to Date'!$A44, Collection!$A:$A, "&lt;"&amp;'Total Larvae to Date'!E$27)</f>
        <v>153386.66666666666</v>
      </c>
      <c r="F44" s="152">
        <f>SUMIFS(Collection!$O:$O, Collection!$B:$B, 'Total Larvae to Date'!$A44, Collection!$A:$A, "&lt;"&amp;'Total Larvae to Date'!F$27)</f>
        <v>153386.66666666666</v>
      </c>
      <c r="G44" s="152">
        <f>SUMIFS(Collection!$O:$O, Collection!$B:$B, 'Total Larvae to Date'!$A44, Collection!$A:$A, "&lt;"&amp;'Total Larvae to Date'!G$27)</f>
        <v>153386.66666666666</v>
      </c>
      <c r="H44" s="152">
        <f>SUMIFS(Collection!$O:$O, Collection!$B:$B, 'Total Larvae to Date'!$A44, Collection!$A:$A, "&lt;"&amp;'Total Larvae to Date'!H$27)</f>
        <v>206843.33333333331</v>
      </c>
      <c r="I44" s="152">
        <f>SUMIFS(Collection!$O:$O, Collection!$B:$B, 'Total Larvae to Date'!$A44, Collection!$A:$A, "&lt;"&amp;'Total Larvae to Date'!I$27)</f>
        <v>208407.77777777775</v>
      </c>
      <c r="J44" s="152">
        <f>SUMIFS(Collection!$O:$O, Collection!$B:$B, 'Total Larvae to Date'!$A44, Collection!$A:$A, "&lt;"&amp;'Total Larvae to Date'!J$27)</f>
        <v>208407.77777777775</v>
      </c>
      <c r="K44" s="152">
        <f>SUMIFS(Collection!$O:$O, Collection!$B:$B, 'Total Larvae to Date'!$A44, Collection!$A:$A, "&lt;"&amp;'Total Larvae to Date'!K$27)</f>
        <v>283857.77777777775</v>
      </c>
      <c r="L44" s="152">
        <f>SUMIFS(Collection!$O:$O, Collection!$B:$B, 'Total Larvae to Date'!$A44, Collection!$A:$A, "&lt;"&amp;'Total Larvae to Date'!L$27)</f>
        <v>283857.77777777775</v>
      </c>
    </row>
    <row r="45" spans="1:12">
      <c r="A45" s="14" t="s">
        <v>109</v>
      </c>
      <c r="C45" s="152">
        <f>SUMIFS(Collection!$O:$O, Collection!$B:$B, 'Total Larvae to Date'!$A45, Collection!$A:$A, "&lt;"&amp;'Total Larvae to Date'!C$27)</f>
        <v>162066.66666666669</v>
      </c>
      <c r="D45" s="152">
        <f>SUMIFS(Collection!$O:$O, Collection!$B:$B, 'Total Larvae to Date'!$A45, Collection!$A:$A, "&lt;"&amp;'Total Larvae to Date'!D$27)</f>
        <v>162066.66666666669</v>
      </c>
      <c r="E45" s="152">
        <f>SUMIFS(Collection!$O:$O, Collection!$B:$B, 'Total Larvae to Date'!$A45, Collection!$A:$A, "&lt;"&amp;'Total Larvae to Date'!E$27)</f>
        <v>216266.66666666669</v>
      </c>
      <c r="F45" s="152">
        <f>SUMIFS(Collection!$O:$O, Collection!$B:$B, 'Total Larvae to Date'!$A45, Collection!$A:$A, "&lt;"&amp;'Total Larvae to Date'!F$27)</f>
        <v>269600</v>
      </c>
      <c r="G45" s="152">
        <f>SUMIFS(Collection!$O:$O, Collection!$B:$B, 'Total Larvae to Date'!$A45, Collection!$A:$A, "&lt;"&amp;'Total Larvae to Date'!G$27)</f>
        <v>300750</v>
      </c>
      <c r="H45" s="152">
        <f>SUMIFS(Collection!$O:$O, Collection!$B:$B, 'Total Larvae to Date'!$A45, Collection!$A:$A, "&lt;"&amp;'Total Larvae to Date'!H$27)</f>
        <v>300875</v>
      </c>
      <c r="I45" s="152">
        <f>SUMIFS(Collection!$O:$O, Collection!$B:$B, 'Total Larvae to Date'!$A45, Collection!$A:$A, "&lt;"&amp;'Total Larvae to Date'!I$27)</f>
        <v>310875</v>
      </c>
      <c r="J45" s="152">
        <f>SUMIFS(Collection!$O:$O, Collection!$B:$B, 'Total Larvae to Date'!$A45, Collection!$A:$A, "&lt;"&amp;'Total Larvae to Date'!J$27)</f>
        <v>310875</v>
      </c>
      <c r="K45" s="152">
        <f>SUMIFS(Collection!$O:$O, Collection!$B:$B, 'Total Larvae to Date'!$A45, Collection!$A:$A, "&lt;"&amp;'Total Larvae to Date'!K$27)</f>
        <v>310875</v>
      </c>
      <c r="L45" s="152">
        <f>SUMIFS(Collection!$O:$O, Collection!$B:$B, 'Total Larvae to Date'!$A45, Collection!$A:$A, "&lt;"&amp;'Total Larvae to Date'!L$27)</f>
        <v>310875</v>
      </c>
    </row>
    <row r="46" spans="1:12">
      <c r="A46" s="14" t="s">
        <v>119</v>
      </c>
      <c r="C46" s="152">
        <f>SUMIFS(Collection!$O:$O, Collection!$B:$B, 'Total Larvae to Date'!$A46, Collection!$A:$A, "&lt;"&amp;'Total Larvae to Date'!C$27)</f>
        <v>0</v>
      </c>
      <c r="D46" s="152">
        <f>SUMIFS(Collection!$O:$O, Collection!$B:$B, 'Total Larvae to Date'!$A46, Collection!$A:$A, "&lt;"&amp;'Total Larvae to Date'!D$27)</f>
        <v>0</v>
      </c>
      <c r="E46" s="152">
        <f>SUMIFS(Collection!$O:$O, Collection!$B:$B, 'Total Larvae to Date'!$A46, Collection!$A:$A, "&lt;"&amp;'Total Larvae to Date'!E$27)</f>
        <v>0</v>
      </c>
      <c r="F46" s="152">
        <f>SUMIFS(Collection!$O:$O, Collection!$B:$B, 'Total Larvae to Date'!$A46, Collection!$A:$A, "&lt;"&amp;'Total Larvae to Date'!F$27)</f>
        <v>65666.666666666672</v>
      </c>
      <c r="G46" s="152">
        <f>SUMIFS(Collection!$O:$O, Collection!$B:$B, 'Total Larvae to Date'!$A46, Collection!$A:$A, "&lt;"&amp;'Total Larvae to Date'!G$27)</f>
        <v>65666.666666666672</v>
      </c>
      <c r="H46" s="152">
        <f>SUMIFS(Collection!$O:$O, Collection!$B:$B, 'Total Larvae to Date'!$A46, Collection!$A:$A, "&lt;"&amp;'Total Larvae to Date'!H$27)</f>
        <v>65666.666666666672</v>
      </c>
      <c r="I46" s="152">
        <f>SUMIFS(Collection!$O:$O, Collection!$B:$B, 'Total Larvae to Date'!$A46, Collection!$A:$A, "&lt;"&amp;'Total Larvae to Date'!I$27)</f>
        <v>65666.666666666672</v>
      </c>
      <c r="J46" s="152">
        <f>SUMIFS(Collection!$O:$O, Collection!$B:$B, 'Total Larvae to Date'!$A46, Collection!$A:$A, "&lt;"&amp;'Total Larvae to Date'!J$27)</f>
        <v>65666.666666666672</v>
      </c>
      <c r="K46" s="152">
        <f>SUMIFS(Collection!$O:$O, Collection!$B:$B, 'Total Larvae to Date'!$A46, Collection!$A:$A, "&lt;"&amp;'Total Larvae to Date'!K$27)</f>
        <v>65666.666666666672</v>
      </c>
      <c r="L46" s="152">
        <f>SUMIFS(Collection!$O:$O, Collection!$B:$B, 'Total Larvae to Date'!$A46, Collection!$A:$A, "&lt;"&amp;'Total Larvae to Date'!L$27)</f>
        <v>65666.666666666672</v>
      </c>
    </row>
    <row r="47" spans="1:12">
      <c r="A47" s="7" t="s">
        <v>21</v>
      </c>
      <c r="C47" s="152">
        <f>SUMIFS(Collection!$O:$O, Collection!$B:$B, 'Total Larvae to Date'!$A47, Collection!$A:$A, "&lt;"&amp;'Total Larvae to Date'!C$27)</f>
        <v>0</v>
      </c>
      <c r="D47" s="152">
        <f>SUMIFS(Collection!$O:$O, Collection!$B:$B, 'Total Larvae to Date'!$A47, Collection!$A:$A, "&lt;"&amp;'Total Larvae to Date'!D$27)</f>
        <v>92558.333333333343</v>
      </c>
      <c r="E47" s="152">
        <f>SUMIFS(Collection!$O:$O, Collection!$B:$B, 'Total Larvae to Date'!$A47, Collection!$A:$A, "&lt;"&amp;'Total Larvae to Date'!E$27)</f>
        <v>92558.333333333343</v>
      </c>
      <c r="F47" s="152">
        <f>SUMIFS(Collection!$O:$O, Collection!$B:$B, 'Total Larvae to Date'!$A47, Collection!$A:$A, "&lt;"&amp;'Total Larvae to Date'!F$27)</f>
        <v>92558.333333333343</v>
      </c>
      <c r="G47" s="152">
        <f>SUMIFS(Collection!$O:$O, Collection!$B:$B, 'Total Larvae to Date'!$A47, Collection!$A:$A, "&lt;"&amp;'Total Larvae to Date'!G$27)</f>
        <v>204375</v>
      </c>
      <c r="H47" s="152">
        <f>SUMIFS(Collection!$O:$O, Collection!$B:$B, 'Total Larvae to Date'!$A47, Collection!$A:$A, "&lt;"&amp;'Total Larvae to Date'!H$27)</f>
        <v>254375</v>
      </c>
      <c r="I47" s="152">
        <f>SUMIFS(Collection!$O:$O, Collection!$B:$B, 'Total Larvae to Date'!$A47, Collection!$A:$A, "&lt;"&amp;'Total Larvae to Date'!I$27)</f>
        <v>255370.55555555556</v>
      </c>
      <c r="J47" s="152">
        <f>SUMIFS(Collection!$O:$O, Collection!$B:$B, 'Total Larvae to Date'!$A47, Collection!$A:$A, "&lt;"&amp;'Total Larvae to Date'!J$27)</f>
        <v>255370.55555555556</v>
      </c>
      <c r="K47" s="152">
        <f>SUMIFS(Collection!$O:$O, Collection!$B:$B, 'Total Larvae to Date'!$A47, Collection!$A:$A, "&lt;"&amp;'Total Larvae to Date'!K$27)</f>
        <v>255370.55555555556</v>
      </c>
      <c r="L47" s="152">
        <f>SUMIFS(Collection!$O:$O, Collection!$B:$B, 'Total Larvae to Date'!$A47, Collection!$A:$A, "&lt;"&amp;'Total Larvae to Date'!L$27)</f>
        <v>255370.55555555556</v>
      </c>
    </row>
    <row r="48" spans="1:12">
      <c r="A48" s="14" t="s">
        <v>17</v>
      </c>
      <c r="C48" s="152">
        <f>SUMIFS(Collection!$O:$O, Collection!$B:$B, 'Total Larvae to Date'!$A48, Collection!$A:$A, "&lt;"&amp;'Total Larvae to Date'!C$27)</f>
        <v>268031.66666666669</v>
      </c>
      <c r="D48" s="152">
        <f>SUMIFS(Collection!$O:$O, Collection!$B:$B, 'Total Larvae to Date'!$A48, Collection!$A:$A, "&lt;"&amp;'Total Larvae to Date'!D$27)</f>
        <v>293198.33333333337</v>
      </c>
      <c r="E48" s="152">
        <f>SUMIFS(Collection!$O:$O, Collection!$B:$B, 'Total Larvae to Date'!$A48, Collection!$A:$A, "&lt;"&amp;'Total Larvae to Date'!E$27)</f>
        <v>293198.33333333337</v>
      </c>
      <c r="F48" s="152">
        <f>SUMIFS(Collection!$O:$O, Collection!$B:$B, 'Total Larvae to Date'!$A48, Collection!$A:$A, "&lt;"&amp;'Total Larvae to Date'!F$27)</f>
        <v>293198.33333333337</v>
      </c>
      <c r="G48" s="152">
        <f>SUMIFS(Collection!$O:$O, Collection!$B:$B, 'Total Larvae to Date'!$A48, Collection!$A:$A, "&lt;"&amp;'Total Larvae to Date'!G$27)</f>
        <v>324165.00000000006</v>
      </c>
      <c r="H48" s="152">
        <f>SUMIFS(Collection!$O:$O, Collection!$B:$B, 'Total Larvae to Date'!$A48, Collection!$A:$A, "&lt;"&amp;'Total Larvae to Date'!H$27)</f>
        <v>324165.00000000006</v>
      </c>
      <c r="I48" s="152">
        <f>SUMIFS(Collection!$O:$O, Collection!$B:$B, 'Total Larvae to Date'!$A48, Collection!$A:$A, "&lt;"&amp;'Total Larvae to Date'!I$27)</f>
        <v>324165.00000000006</v>
      </c>
      <c r="J48" s="152">
        <f>SUMIFS(Collection!$O:$O, Collection!$B:$B, 'Total Larvae to Date'!$A48, Collection!$A:$A, "&lt;"&amp;'Total Larvae to Date'!J$27)</f>
        <v>324165.00000000006</v>
      </c>
      <c r="K48" s="152">
        <f>SUMIFS(Collection!$O:$O, Collection!$B:$B, 'Total Larvae to Date'!$A48, Collection!$A:$A, "&lt;"&amp;'Total Larvae to Date'!K$27)</f>
        <v>324165.00000000006</v>
      </c>
      <c r="L48" s="152">
        <f>SUMIFS(Collection!$O:$O, Collection!$B:$B, 'Total Larvae to Date'!$A48, Collection!$A:$A, "&lt;"&amp;'Total Larvae to Date'!L$27)</f>
        <v>324165.00000000006</v>
      </c>
    </row>
    <row r="49" spans="1:12">
      <c r="A49" s="7" t="s">
        <v>20</v>
      </c>
      <c r="C49" s="152">
        <f>SUMIFS(Collection!$O:$O, Collection!$B:$B, 'Total Larvae to Date'!$A49, Collection!$A:$A, "&lt;"&amp;'Total Larvae to Date'!C$27)</f>
        <v>195566.66666666666</v>
      </c>
      <c r="D49" s="152">
        <f>SUMIFS(Collection!$O:$O, Collection!$B:$B, 'Total Larvae to Date'!$A49, Collection!$A:$A, "&lt;"&amp;'Total Larvae to Date'!D$27)</f>
        <v>212873.33333333331</v>
      </c>
      <c r="E49" s="152">
        <f>SUMIFS(Collection!$O:$O, Collection!$B:$B, 'Total Larvae to Date'!$A49, Collection!$A:$A, "&lt;"&amp;'Total Larvae to Date'!E$27)</f>
        <v>212873.33333333331</v>
      </c>
      <c r="F49" s="152">
        <f>SUMIFS(Collection!$O:$O, Collection!$B:$B, 'Total Larvae to Date'!$A49, Collection!$A:$A, "&lt;"&amp;'Total Larvae to Date'!F$27)</f>
        <v>212873.33333333331</v>
      </c>
      <c r="G49" s="152">
        <f>SUMIFS(Collection!$O:$O, Collection!$B:$B, 'Total Larvae to Date'!$A49, Collection!$A:$A, "&lt;"&amp;'Total Larvae to Date'!G$27)</f>
        <v>212873.33333333331</v>
      </c>
      <c r="H49" s="152">
        <f>SUMIFS(Collection!$O:$O, Collection!$B:$B, 'Total Larvae to Date'!$A49, Collection!$A:$A, "&lt;"&amp;'Total Larvae to Date'!H$27)</f>
        <v>225873.33333333331</v>
      </c>
      <c r="I49" s="152">
        <f>SUMIFS(Collection!$O:$O, Collection!$B:$B, 'Total Larvae to Date'!$A49, Collection!$A:$A, "&lt;"&amp;'Total Larvae to Date'!I$27)</f>
        <v>225873.33333333331</v>
      </c>
      <c r="J49" s="152">
        <f>SUMIFS(Collection!$O:$O, Collection!$B:$B, 'Total Larvae to Date'!$A49, Collection!$A:$A, "&lt;"&amp;'Total Larvae to Date'!J$27)</f>
        <v>225873.33333333331</v>
      </c>
      <c r="K49" s="152">
        <f>SUMIFS(Collection!$O:$O, Collection!$B:$B, 'Total Larvae to Date'!$A49, Collection!$A:$A, "&lt;"&amp;'Total Larvae to Date'!K$27)</f>
        <v>225873.33333333331</v>
      </c>
      <c r="L49" s="152">
        <f>SUMIFS(Collection!$O:$O, Collection!$B:$B, 'Total Larvae to Date'!$A49, Collection!$A:$A, "&lt;"&amp;'Total Larvae to Date'!L$27)</f>
        <v>225873.33333333331</v>
      </c>
    </row>
    <row r="50" spans="1:12">
      <c r="A50" s="7" t="s">
        <v>38</v>
      </c>
      <c r="C50" s="152">
        <f>SUMIFS(Collection!$O:$O, Collection!$B:$B, 'Total Larvae to Date'!$A50, Collection!$A:$A, "&lt;"&amp;'Total Larvae to Date'!C$27)</f>
        <v>194225</v>
      </c>
      <c r="D50" s="152">
        <f>SUMIFS(Collection!$O:$O, Collection!$B:$B, 'Total Larvae to Date'!$A50, Collection!$A:$A, "&lt;"&amp;'Total Larvae to Date'!D$27)</f>
        <v>194225</v>
      </c>
      <c r="E50" s="152">
        <f>SUMIFS(Collection!$O:$O, Collection!$B:$B, 'Total Larvae to Date'!$A50, Collection!$A:$A, "&lt;"&amp;'Total Larvae to Date'!E$27)</f>
        <v>245691.66666666666</v>
      </c>
      <c r="F50" s="152">
        <f>SUMIFS(Collection!$O:$O, Collection!$B:$B, 'Total Larvae to Date'!$A50, Collection!$A:$A, "&lt;"&amp;'Total Larvae to Date'!F$27)</f>
        <v>249891.66666666666</v>
      </c>
      <c r="G50" s="152">
        <f>SUMIFS(Collection!$O:$O, Collection!$B:$B, 'Total Larvae to Date'!$A50, Collection!$A:$A, "&lt;"&amp;'Total Larvae to Date'!G$27)</f>
        <v>249891.66666666666</v>
      </c>
      <c r="H50" s="152">
        <f>SUMIFS(Collection!$O:$O, Collection!$B:$B, 'Total Larvae to Date'!$A50, Collection!$A:$A, "&lt;"&amp;'Total Larvae to Date'!H$27)</f>
        <v>353574.99999999994</v>
      </c>
      <c r="I50" s="152">
        <f>SUMIFS(Collection!$O:$O, Collection!$B:$B, 'Total Larvae to Date'!$A50, Collection!$A:$A, "&lt;"&amp;'Total Larvae to Date'!I$27)</f>
        <v>353768.33333333326</v>
      </c>
      <c r="J50" s="152">
        <f>SUMIFS(Collection!$O:$O, Collection!$B:$B, 'Total Larvae to Date'!$A50, Collection!$A:$A, "&lt;"&amp;'Total Larvae to Date'!J$27)</f>
        <v>353768.33333333326</v>
      </c>
      <c r="K50" s="152">
        <f>SUMIFS(Collection!$O:$O, Collection!$B:$B, 'Total Larvae to Date'!$A50, Collection!$A:$A, "&lt;"&amp;'Total Larvae to Date'!K$27)</f>
        <v>353768.33333333326</v>
      </c>
      <c r="L50" s="152">
        <f>SUMIFS(Collection!$O:$O, Collection!$B:$B, 'Total Larvae to Date'!$A50, Collection!$A:$A, "&lt;"&amp;'Total Larvae to Date'!L$27)</f>
        <v>353768.33333333326</v>
      </c>
    </row>
    <row r="51" spans="1:12" s="212" customFormat="1" ht="16" thickBot="1">
      <c r="A51" s="213" t="s">
        <v>46</v>
      </c>
      <c r="B51" s="214"/>
      <c r="C51" s="152">
        <f>SUMIFS(Collection!$O:$O, Collection!$B:$B, 'Total Larvae to Date'!$A51, Collection!$A:$A, "&lt;"&amp;'Total Larvae to Date'!C$27)</f>
        <v>131900</v>
      </c>
      <c r="D51" s="152">
        <f>SUMIFS(Collection!$O:$O, Collection!$B:$B, 'Total Larvae to Date'!$A51, Collection!$A:$A, "&lt;"&amp;'Total Larvae to Date'!D$27)</f>
        <v>179716.66666666666</v>
      </c>
      <c r="E51" s="152">
        <f>SUMIFS(Collection!$O:$O, Collection!$B:$B, 'Total Larvae to Date'!$A51, Collection!$A:$A, "&lt;"&amp;'Total Larvae to Date'!E$27)</f>
        <v>179716.66666666666</v>
      </c>
      <c r="F51" s="152">
        <f>SUMIFS(Collection!$O:$O, Collection!$B:$B, 'Total Larvae to Date'!$A51, Collection!$A:$A, "&lt;"&amp;'Total Larvae to Date'!F$27)</f>
        <v>179716.66666666666</v>
      </c>
      <c r="G51" s="152">
        <f>SUMIFS(Collection!$O:$O, Collection!$B:$B, 'Total Larvae to Date'!$A51, Collection!$A:$A, "&lt;"&amp;'Total Larvae to Date'!G$27)</f>
        <v>179716.66666666666</v>
      </c>
      <c r="H51" s="152">
        <f>SUMIFS(Collection!$O:$O, Collection!$B:$B, 'Total Larvae to Date'!$A51, Collection!$A:$A, "&lt;"&amp;'Total Larvae to Date'!H$27)</f>
        <v>179716.66666666666</v>
      </c>
      <c r="I51" s="152">
        <f>SUMIFS(Collection!$O:$O, Collection!$B:$B, 'Total Larvae to Date'!$A51, Collection!$A:$A, "&lt;"&amp;'Total Larvae to Date'!I$27)</f>
        <v>179716.66666666666</v>
      </c>
      <c r="J51" s="152">
        <f>SUMIFS(Collection!$O:$O, Collection!$B:$B, 'Total Larvae to Date'!$A51, Collection!$A:$A, "&lt;"&amp;'Total Larvae to Date'!J$27)</f>
        <v>179716.66666666666</v>
      </c>
      <c r="K51" s="152">
        <f>SUMIFS(Collection!$O:$O, Collection!$B:$B, 'Total Larvae to Date'!$A51, Collection!$A:$A, "&lt;"&amp;'Total Larvae to Date'!K$27)</f>
        <v>179716.66666666666</v>
      </c>
      <c r="L51" s="301">
        <f>SUMIFS(Collection!$O:$O, Collection!$B:$B, 'Total Larvae to Date'!$A51, Collection!$A:$A, "&lt;"&amp;'Total Larvae to Date'!L$27)</f>
        <v>179716.66666666666</v>
      </c>
    </row>
    <row r="52" spans="1:12" s="23" customFormat="1" ht="21" thickTop="1">
      <c r="A52" s="7"/>
      <c r="B52" s="118"/>
      <c r="C52" s="420" t="s">
        <v>220</v>
      </c>
      <c r="D52" s="420"/>
      <c r="E52" s="420"/>
      <c r="F52" s="420"/>
      <c r="G52" s="420"/>
      <c r="H52" s="420"/>
      <c r="I52" s="420"/>
      <c r="J52" s="420"/>
      <c r="K52" s="420"/>
    </row>
    <row r="53" spans="1:12" ht="18">
      <c r="A53" s="200" t="s">
        <v>137</v>
      </c>
      <c r="B53" s="118"/>
      <c r="C53" s="217">
        <f t="shared" ref="C53:L53" si="8">C27</f>
        <v>42891</v>
      </c>
      <c r="D53" s="217">
        <f t="shared" si="8"/>
        <v>42895</v>
      </c>
      <c r="E53" s="217">
        <f t="shared" si="8"/>
        <v>42898</v>
      </c>
      <c r="F53" s="217">
        <f t="shared" si="8"/>
        <v>42901</v>
      </c>
      <c r="G53" s="217">
        <f t="shared" si="8"/>
        <v>42905</v>
      </c>
      <c r="H53" s="217">
        <f t="shared" si="8"/>
        <v>42908</v>
      </c>
      <c r="I53" s="217">
        <f t="shared" si="8"/>
        <v>42912</v>
      </c>
      <c r="J53" s="217">
        <f t="shared" si="8"/>
        <v>42915</v>
      </c>
      <c r="K53" s="217">
        <f t="shared" si="8"/>
        <v>42919</v>
      </c>
      <c r="L53" s="217">
        <f t="shared" si="8"/>
        <v>42922</v>
      </c>
    </row>
    <row r="54" spans="1:12">
      <c r="A54" s="24" t="s">
        <v>84</v>
      </c>
      <c r="B54" s="118"/>
      <c r="C54" s="118">
        <f>(SUMIFS('Bucket Counts'!$P:$P, 'Bucket Counts'!$D:$D, 'Total Larvae to Date'!$A54, 'Bucket Counts'!$A:$A, "="&amp;C$27))</f>
        <v>108943.33333333334</v>
      </c>
      <c r="D54" s="118">
        <f>(SUMIFS('Bucket Counts'!$P:$P, 'Bucket Counts'!$D:$D, 'Total Larvae to Date'!$A54, 'Bucket Counts'!$A:$A, "="&amp;D$27))</f>
        <v>87303.333333333343</v>
      </c>
      <c r="E54" s="118">
        <f>(SUMIFS('Bucket Counts'!$P:$P, 'Bucket Counts'!$D:$D, 'Total Larvae to Date'!$A54, 'Bucket Counts'!$A:$A, "="&amp;E$27))</f>
        <v>83783.333333333328</v>
      </c>
      <c r="F54" s="118">
        <f>(SUMIFS('Bucket Counts'!$P:$P, 'Bucket Counts'!$D:$D, 'Total Larvae to Date'!$A54, 'Bucket Counts'!$A:$A, "="&amp;F$27))</f>
        <v>94250</v>
      </c>
      <c r="G54" s="118">
        <f>(SUMIFS('Bucket Counts'!$P:$P, 'Bucket Counts'!$D:$D, 'Total Larvae to Date'!$A54, 'Bucket Counts'!$A:$A, "="&amp;G$27))</f>
        <v>74000</v>
      </c>
      <c r="H54" s="118">
        <f>(SUMIFS('Bucket Counts'!$P:$P, 'Bucket Counts'!$D:$D, 'Total Larvae to Date'!$A54, 'Bucket Counts'!$A:$A, "="&amp;H$27))</f>
        <v>24358.333333333336</v>
      </c>
      <c r="I54" s="118">
        <f>(SUMIFS('Bucket Counts'!$P:$P, 'Bucket Counts'!$D:$D, 'Total Larvae to Date'!$A54, 'Bucket Counts'!$A:$A, "="&amp;I$27))</f>
        <v>10166.666666666666</v>
      </c>
      <c r="J54" s="118">
        <f>(SUMIFS('Bucket Counts'!$P:$P, 'Bucket Counts'!$D:$D, 'Total Larvae to Date'!$A54, 'Bucket Counts'!$A:$A, "="&amp;J$27))</f>
        <v>21619.999999999996</v>
      </c>
      <c r="K54" s="118">
        <f>(SUMIFS('Bucket Counts'!$P:$P, 'Bucket Counts'!$D:$D, 'Total Larvae to Date'!$A54, 'Bucket Counts'!$A:$A, "="&amp;K$27))</f>
        <v>1210</v>
      </c>
      <c r="L54" s="118">
        <f>(SUMIFS('Bucket Counts'!$P:$P, 'Bucket Counts'!$D:$D, 'Total Larvae to Date'!$A54, 'Bucket Counts'!$A:$A, "="&amp;L$27))</f>
        <v>466</v>
      </c>
    </row>
    <row r="55" spans="1:12">
      <c r="A55" s="24" t="s">
        <v>76</v>
      </c>
      <c r="B55" s="118"/>
      <c r="C55" s="118">
        <f>(SUMIFS('Bucket Counts'!$P:$P, 'Bucket Counts'!$D:$D, 'Total Larvae to Date'!$A55, 'Bucket Counts'!$A:$A, "="&amp;C$27))</f>
        <v>0</v>
      </c>
      <c r="D55" s="118">
        <f>(SUMIFS('Bucket Counts'!$P:$P, 'Bucket Counts'!$D:$D, 'Total Larvae to Date'!$A55, 'Bucket Counts'!$A:$A, "="&amp;D$27))</f>
        <v>0</v>
      </c>
      <c r="E55" s="118">
        <f>(SUMIFS('Bucket Counts'!$P:$P, 'Bucket Counts'!$D:$D, 'Total Larvae to Date'!$A55, 'Bucket Counts'!$A:$A, "="&amp;E$27))</f>
        <v>0</v>
      </c>
      <c r="F55" s="118">
        <f>(SUMIFS('Bucket Counts'!$P:$P, 'Bucket Counts'!$D:$D, 'Total Larvae to Date'!$A55, 'Bucket Counts'!$A:$A, "="&amp;F$27))</f>
        <v>0</v>
      </c>
      <c r="G55" s="118">
        <f>(SUMIFS('Bucket Counts'!$P:$P, 'Bucket Counts'!$D:$D, 'Total Larvae to Date'!$A55, 'Bucket Counts'!$A:$A, "="&amp;G$27))</f>
        <v>0</v>
      </c>
      <c r="H55" s="118">
        <f>(SUMIFS('Bucket Counts'!$P:$P, 'Bucket Counts'!$D:$D, 'Total Larvae to Date'!$A55, 'Bucket Counts'!$A:$A, "="&amp;H$27))</f>
        <v>0</v>
      </c>
      <c r="I55" s="118">
        <f>(SUMIFS('Bucket Counts'!$P:$P, 'Bucket Counts'!$D:$D, 'Total Larvae to Date'!$A55, 'Bucket Counts'!$A:$A, "="&amp;I$27))</f>
        <v>0</v>
      </c>
      <c r="J55" s="118">
        <f>(SUMIFS('Bucket Counts'!$P:$P, 'Bucket Counts'!$D:$D, 'Total Larvae to Date'!$A55, 'Bucket Counts'!$A:$A, "="&amp;J$27))</f>
        <v>0</v>
      </c>
      <c r="K55" s="118">
        <f>(SUMIFS('Bucket Counts'!$P:$P, 'Bucket Counts'!$D:$D, 'Total Larvae to Date'!$A55, 'Bucket Counts'!$A:$A, "="&amp;K$27))</f>
        <v>0</v>
      </c>
      <c r="L55" s="118">
        <f>(SUMIFS('Bucket Counts'!$P:$P, 'Bucket Counts'!$D:$D, 'Total Larvae to Date'!$A55, 'Bucket Counts'!$A:$A, "="&amp;L$27))</f>
        <v>0</v>
      </c>
    </row>
    <row r="56" spans="1:12">
      <c r="A56" s="24" t="s">
        <v>85</v>
      </c>
      <c r="B56" s="118"/>
      <c r="C56" s="118">
        <f>(SUMIFS('Bucket Counts'!$P:$P, 'Bucket Counts'!$D:$D, 'Total Larvae to Date'!$A56, 'Bucket Counts'!$A:$A, "="&amp;C$27))</f>
        <v>53308.333333333336</v>
      </c>
      <c r="D56" s="118">
        <f>(SUMIFS('Bucket Counts'!$P:$P, 'Bucket Counts'!$D:$D, 'Total Larvae to Date'!$A56, 'Bucket Counts'!$A:$A, "="&amp;D$27))</f>
        <v>50126.666666666664</v>
      </c>
      <c r="E56" s="118">
        <f>(SUMIFS('Bucket Counts'!$P:$P, 'Bucket Counts'!$D:$D, 'Total Larvae to Date'!$A56, 'Bucket Counts'!$A:$A, "="&amp;E$27))</f>
        <v>46103.333333333336</v>
      </c>
      <c r="F56" s="118">
        <f>(SUMIFS('Bucket Counts'!$P:$P, 'Bucket Counts'!$D:$D, 'Total Larvae to Date'!$A56, 'Bucket Counts'!$A:$A, "="&amp;F$27))</f>
        <v>25116.666666666664</v>
      </c>
      <c r="G56" s="118">
        <f>(SUMIFS('Bucket Counts'!$P:$P, 'Bucket Counts'!$D:$D, 'Total Larvae to Date'!$A56, 'Bucket Counts'!$A:$A, "="&amp;G$27))</f>
        <v>20360</v>
      </c>
      <c r="H56" s="118">
        <f>(SUMIFS('Bucket Counts'!$P:$P, 'Bucket Counts'!$D:$D, 'Total Larvae to Date'!$A56, 'Bucket Counts'!$A:$A, "="&amp;H$27))</f>
        <v>9720</v>
      </c>
      <c r="I56" s="118">
        <f>(SUMIFS('Bucket Counts'!$P:$P, 'Bucket Counts'!$D:$D, 'Total Larvae to Date'!$A56, 'Bucket Counts'!$A:$A, "="&amp;I$27))</f>
        <v>4570</v>
      </c>
      <c r="J56" s="118">
        <f>(SUMIFS('Bucket Counts'!$P:$P, 'Bucket Counts'!$D:$D, 'Total Larvae to Date'!$A56, 'Bucket Counts'!$A:$A, "="&amp;J$27))</f>
        <v>2250</v>
      </c>
      <c r="K56" s="118">
        <f>(SUMIFS('Bucket Counts'!$P:$P, 'Bucket Counts'!$D:$D, 'Total Larvae to Date'!$A56, 'Bucket Counts'!$A:$A, "="&amp;K$27))</f>
        <v>917.77777777777794</v>
      </c>
      <c r="L56" s="118">
        <f>(SUMIFS('Bucket Counts'!$P:$P, 'Bucket Counts'!$D:$D, 'Total Larvae to Date'!$A56, 'Bucket Counts'!$A:$A, "="&amp;L$27))</f>
        <v>200</v>
      </c>
    </row>
    <row r="57" spans="1:12">
      <c r="A57" s="24" t="s">
        <v>105</v>
      </c>
      <c r="B57" s="118"/>
      <c r="C57" s="118">
        <f>(SUMIFS('Bucket Counts'!$P:$P, 'Bucket Counts'!$D:$D, 'Total Larvae to Date'!$A57, 'Bucket Counts'!$A:$A, "="&amp;C$27))</f>
        <v>7908.8888888888887</v>
      </c>
      <c r="D57" s="118">
        <f>(SUMIFS('Bucket Counts'!$P:$P, 'Bucket Counts'!$D:$D, 'Total Larvae to Date'!$A57, 'Bucket Counts'!$A:$A, "="&amp;D$27))</f>
        <v>39116.666666666664</v>
      </c>
      <c r="E57" s="118">
        <f>(SUMIFS('Bucket Counts'!$P:$P, 'Bucket Counts'!$D:$D, 'Total Larvae to Date'!$A57, 'Bucket Counts'!$A:$A, "="&amp;E$27))</f>
        <v>70011.111111111109</v>
      </c>
      <c r="F57" s="118">
        <f>(SUMIFS('Bucket Counts'!$P:$P, 'Bucket Counts'!$D:$D, 'Total Larvae to Date'!$A57, 'Bucket Counts'!$A:$A, "="&amp;F$27))</f>
        <v>69823.333333333328</v>
      </c>
      <c r="G57" s="118">
        <f>(SUMIFS('Bucket Counts'!$P:$P, 'Bucket Counts'!$D:$D, 'Total Larvae to Date'!$A57, 'Bucket Counts'!$A:$A, "="&amp;G$27))</f>
        <v>65113.333333333336</v>
      </c>
      <c r="H57" s="118">
        <f>(SUMIFS('Bucket Counts'!$P:$P, 'Bucket Counts'!$D:$D, 'Total Larvae to Date'!$A57, 'Bucket Counts'!$A:$A, "="&amp;H$27))</f>
        <v>64806.666666666657</v>
      </c>
      <c r="I57" s="118">
        <f>(SUMIFS('Bucket Counts'!$P:$P, 'Bucket Counts'!$D:$D, 'Total Larvae to Date'!$A57, 'Bucket Counts'!$A:$A, "="&amp;I$27))</f>
        <v>48846.666666666672</v>
      </c>
      <c r="J57" s="118">
        <f>(SUMIFS('Bucket Counts'!$P:$P, 'Bucket Counts'!$D:$D, 'Total Larvae to Date'!$A57, 'Bucket Counts'!$A:$A, "="&amp;J$27))</f>
        <v>32100</v>
      </c>
      <c r="K57" s="118">
        <f>(SUMIFS('Bucket Counts'!$P:$P, 'Bucket Counts'!$D:$D, 'Total Larvae to Date'!$A57, 'Bucket Counts'!$A:$A, "="&amp;K$27))</f>
        <v>27896.666666666668</v>
      </c>
      <c r="L57" s="118">
        <f>(SUMIFS('Bucket Counts'!$P:$P, 'Bucket Counts'!$D:$D, 'Total Larvae to Date'!$A57, 'Bucket Counts'!$A:$A, "="&amp;L$27))</f>
        <v>20583.333333333336</v>
      </c>
    </row>
    <row r="58" spans="1:12">
      <c r="A58" s="24" t="s">
        <v>86</v>
      </c>
      <c r="B58" s="118"/>
      <c r="C58" s="118">
        <f>(SUMIFS('Bucket Counts'!$P:$P, 'Bucket Counts'!$D:$D, 'Total Larvae to Date'!$A58, 'Bucket Counts'!$A:$A, "="&amp;C$27))</f>
        <v>138919.99999999997</v>
      </c>
      <c r="D58" s="118">
        <f>(SUMIFS('Bucket Counts'!$P:$P, 'Bucket Counts'!$D:$D, 'Total Larvae to Date'!$A58, 'Bucket Counts'!$A:$A, "="&amp;D$27))</f>
        <v>147516.66666666669</v>
      </c>
      <c r="E58" s="118">
        <f>(SUMIFS('Bucket Counts'!$P:$P, 'Bucket Counts'!$D:$D, 'Total Larvae to Date'!$A58, 'Bucket Counts'!$A:$A, "="&amp;E$27))</f>
        <v>111925</v>
      </c>
      <c r="F58" s="118">
        <f>(SUMIFS('Bucket Counts'!$P:$P, 'Bucket Counts'!$D:$D, 'Total Larvae to Date'!$A58, 'Bucket Counts'!$A:$A, "="&amp;F$27))</f>
        <v>129910</v>
      </c>
      <c r="G58" s="118">
        <f>(SUMIFS('Bucket Counts'!$P:$P, 'Bucket Counts'!$D:$D, 'Total Larvae to Date'!$A58, 'Bucket Counts'!$A:$A, "="&amp;G$27))</f>
        <v>103206.66666666666</v>
      </c>
      <c r="H58" s="118">
        <f>(SUMIFS('Bucket Counts'!$P:$P, 'Bucket Counts'!$D:$D, 'Total Larvae to Date'!$A58, 'Bucket Counts'!$A:$A, "="&amp;H$27))</f>
        <v>26591.666666666664</v>
      </c>
      <c r="I58" s="118">
        <f>(SUMIFS('Bucket Counts'!$P:$P, 'Bucket Counts'!$D:$D, 'Total Larvae to Date'!$A58, 'Bucket Counts'!$A:$A, "="&amp;I$27))</f>
        <v>450</v>
      </c>
      <c r="J58" s="118">
        <f>(SUMIFS('Bucket Counts'!$P:$P, 'Bucket Counts'!$D:$D, 'Total Larvae to Date'!$A58, 'Bucket Counts'!$A:$A, "="&amp;J$27))</f>
        <v>1886.6666666666667</v>
      </c>
      <c r="K58" s="118">
        <f>(SUMIFS('Bucket Counts'!$P:$P, 'Bucket Counts'!$D:$D, 'Total Larvae to Date'!$A58, 'Bucket Counts'!$A:$A, "="&amp;K$27))</f>
        <v>322.99999999999994</v>
      </c>
      <c r="L58" s="118">
        <f>(SUMIFS('Bucket Counts'!$P:$P, 'Bucket Counts'!$D:$D, 'Total Larvae to Date'!$A58, 'Bucket Counts'!$A:$A, "="&amp;L$27))</f>
        <v>35.777777777777771</v>
      </c>
    </row>
    <row r="59" spans="1:12">
      <c r="A59" s="24" t="s">
        <v>135</v>
      </c>
      <c r="B59" s="118"/>
      <c r="C59" s="118">
        <f>(SUMIFS('Bucket Counts'!$P:$P, 'Bucket Counts'!$D:$D, 'Total Larvae to Date'!$A59, 'Bucket Counts'!$A:$A, "="&amp;C$27))</f>
        <v>46304.722222222219</v>
      </c>
      <c r="D59" s="118">
        <f>(SUMIFS('Bucket Counts'!$P:$P, 'Bucket Counts'!$D:$D, 'Total Larvae to Date'!$A59, 'Bucket Counts'!$A:$A, "="&amp;D$27))</f>
        <v>0</v>
      </c>
      <c r="E59" s="118">
        <f>(SUMIFS('Bucket Counts'!$P:$P, 'Bucket Counts'!$D:$D, 'Total Larvae to Date'!$A59, 'Bucket Counts'!$A:$A, "="&amp;E$27))</f>
        <v>0</v>
      </c>
      <c r="F59" s="118">
        <f>(SUMIFS('Bucket Counts'!$P:$P, 'Bucket Counts'!$D:$D, 'Total Larvae to Date'!$A59, 'Bucket Counts'!$A:$A, "="&amp;F$27))</f>
        <v>0</v>
      </c>
      <c r="G59" s="118">
        <f>(SUMIFS('Bucket Counts'!$P:$P, 'Bucket Counts'!$D:$D, 'Total Larvae to Date'!$A59, 'Bucket Counts'!$A:$A, "="&amp;G$27))</f>
        <v>0</v>
      </c>
      <c r="H59" s="118">
        <f>(SUMIFS('Bucket Counts'!$P:$P, 'Bucket Counts'!$D:$D, 'Total Larvae to Date'!$A59, 'Bucket Counts'!$A:$A, "="&amp;H$27))</f>
        <v>0</v>
      </c>
      <c r="I59" s="118">
        <f>(SUMIFS('Bucket Counts'!$P:$P, 'Bucket Counts'!$D:$D, 'Total Larvae to Date'!$A59, 'Bucket Counts'!$A:$A, "="&amp;I$27))</f>
        <v>0</v>
      </c>
      <c r="J59" s="118">
        <f>(SUMIFS('Bucket Counts'!$P:$P, 'Bucket Counts'!$D:$D, 'Total Larvae to Date'!$A59, 'Bucket Counts'!$A:$A, "="&amp;J$27))</f>
        <v>0</v>
      </c>
      <c r="K59" s="118">
        <f>(SUMIFS('Bucket Counts'!$P:$P, 'Bucket Counts'!$D:$D, 'Total Larvae to Date'!$A59, 'Bucket Counts'!$A:$A, "="&amp;K$27))</f>
        <v>0</v>
      </c>
      <c r="L59" s="118">
        <f>(SUMIFS('Bucket Counts'!$P:$P, 'Bucket Counts'!$D:$D, 'Total Larvae to Date'!$A59, 'Bucket Counts'!$A:$A, "="&amp;L$27))</f>
        <v>0</v>
      </c>
    </row>
    <row r="60" spans="1:12">
      <c r="A60" s="24" t="s">
        <v>87</v>
      </c>
      <c r="B60" s="118"/>
      <c r="C60" s="118">
        <f>(SUMIFS('Bucket Counts'!$P:$P, 'Bucket Counts'!$D:$D, 'Total Larvae to Date'!$A60, 'Bucket Counts'!$A:$A, "="&amp;C$27))</f>
        <v>39096.666666666664</v>
      </c>
      <c r="D60" s="118">
        <f>(SUMIFS('Bucket Counts'!$P:$P, 'Bucket Counts'!$D:$D, 'Total Larvae to Date'!$A60, 'Bucket Counts'!$A:$A, "="&amp;D$27))</f>
        <v>32666.666666666668</v>
      </c>
      <c r="E60" s="118">
        <f>(SUMIFS('Bucket Counts'!$P:$P, 'Bucket Counts'!$D:$D, 'Total Larvae to Date'!$A60, 'Bucket Counts'!$A:$A, "="&amp;E$27))</f>
        <v>38150</v>
      </c>
      <c r="F60" s="118">
        <f>(SUMIFS('Bucket Counts'!$P:$P, 'Bucket Counts'!$D:$D, 'Total Larvae to Date'!$A60, 'Bucket Counts'!$A:$A, "="&amp;F$27))</f>
        <v>21824.999999999996</v>
      </c>
      <c r="G60" s="118">
        <f>(SUMIFS('Bucket Counts'!$P:$P, 'Bucket Counts'!$D:$D, 'Total Larvae to Date'!$A60, 'Bucket Counts'!$A:$A, "="&amp;G$27))</f>
        <v>55603.333333333336</v>
      </c>
      <c r="H60" s="118">
        <f>(SUMIFS('Bucket Counts'!$P:$P, 'Bucket Counts'!$D:$D, 'Total Larvae to Date'!$A60, 'Bucket Counts'!$A:$A, "="&amp;H$27))</f>
        <v>86901.666666666657</v>
      </c>
      <c r="I60" s="118">
        <f>(SUMIFS('Bucket Counts'!$P:$P, 'Bucket Counts'!$D:$D, 'Total Larvae to Date'!$A60, 'Bucket Counts'!$A:$A, "="&amp;I$27))</f>
        <v>42900</v>
      </c>
      <c r="J60" s="118">
        <f>(SUMIFS('Bucket Counts'!$P:$P, 'Bucket Counts'!$D:$D, 'Total Larvae to Date'!$A60, 'Bucket Counts'!$A:$A, "="&amp;J$27))</f>
        <v>7516.6666666666661</v>
      </c>
      <c r="K60" s="118">
        <f>(SUMIFS('Bucket Counts'!$P:$P, 'Bucket Counts'!$D:$D, 'Total Larvae to Date'!$A60, 'Bucket Counts'!$A:$A, "="&amp;K$27))</f>
        <v>2714.4444444444443</v>
      </c>
      <c r="L60" s="118">
        <f>(SUMIFS('Bucket Counts'!$P:$P, 'Bucket Counts'!$D:$D, 'Total Larvae to Date'!$A60, 'Bucket Counts'!$A:$A, "="&amp;L$27))</f>
        <v>1245.1111111111111</v>
      </c>
    </row>
    <row r="61" spans="1:12">
      <c r="A61" s="24" t="s">
        <v>77</v>
      </c>
      <c r="B61" s="118"/>
      <c r="C61" s="118">
        <f>(SUMIFS('Bucket Counts'!$P:$P, 'Bucket Counts'!$D:$D, 'Total Larvae to Date'!$A61, 'Bucket Counts'!$A:$A, "="&amp;C$27))</f>
        <v>95347.222222222219</v>
      </c>
      <c r="D61" s="118">
        <f>(SUMIFS('Bucket Counts'!$P:$P, 'Bucket Counts'!$D:$D, 'Total Larvae to Date'!$A61, 'Bucket Counts'!$A:$A, "="&amp;D$27))</f>
        <v>42716.666666666672</v>
      </c>
      <c r="E61" s="118">
        <f>(SUMIFS('Bucket Counts'!$P:$P, 'Bucket Counts'!$D:$D, 'Total Larvae to Date'!$A61, 'Bucket Counts'!$A:$A, "="&amp;E$27))</f>
        <v>54606.666666666664</v>
      </c>
      <c r="F61" s="118">
        <f>(SUMIFS('Bucket Counts'!$P:$P, 'Bucket Counts'!$D:$D, 'Total Larvae to Date'!$A61, 'Bucket Counts'!$A:$A, "="&amp;F$27))</f>
        <v>98686.666666666672</v>
      </c>
      <c r="G61" s="118">
        <f>(SUMIFS('Bucket Counts'!$P:$P, 'Bucket Counts'!$D:$D, 'Total Larvae to Date'!$A61, 'Bucket Counts'!$A:$A, "="&amp;G$27))</f>
        <v>47473.333333333343</v>
      </c>
      <c r="H61" s="118">
        <f>(SUMIFS('Bucket Counts'!$P:$P, 'Bucket Counts'!$D:$D, 'Total Larvae to Date'!$A61, 'Bucket Counts'!$A:$A, "="&amp;H$27))</f>
        <v>23826.666666666668</v>
      </c>
      <c r="I61" s="118">
        <f>(SUMIFS('Bucket Counts'!$P:$P, 'Bucket Counts'!$D:$D, 'Total Larvae to Date'!$A61, 'Bucket Counts'!$A:$A, "="&amp;I$27))</f>
        <v>6210</v>
      </c>
      <c r="J61" s="118">
        <f>(SUMIFS('Bucket Counts'!$P:$P, 'Bucket Counts'!$D:$D, 'Total Larvae to Date'!$A61, 'Bucket Counts'!$A:$A, "="&amp;J$27))</f>
        <v>2668.3333333333335</v>
      </c>
      <c r="K61" s="118">
        <f>(SUMIFS('Bucket Counts'!$P:$P, 'Bucket Counts'!$D:$D, 'Total Larvae to Date'!$A61, 'Bucket Counts'!$A:$A, "="&amp;K$27))</f>
        <v>1193.8888888888889</v>
      </c>
      <c r="L61" s="118">
        <f>(SUMIFS('Bucket Counts'!$P:$P, 'Bucket Counts'!$D:$D, 'Total Larvae to Date'!$A61, 'Bucket Counts'!$A:$A, "="&amp;L$27))</f>
        <v>396</v>
      </c>
    </row>
    <row r="62" spans="1:12">
      <c r="A62" s="24" t="s">
        <v>88</v>
      </c>
      <c r="B62" s="118"/>
      <c r="C62" s="118">
        <f>(SUMIFS('Bucket Counts'!$P:$P, 'Bucket Counts'!$D:$D, 'Total Larvae to Date'!$A62, 'Bucket Counts'!$A:$A, "="&amp;C$27))</f>
        <v>88226.666666666672</v>
      </c>
      <c r="D62" s="118">
        <f>(SUMIFS('Bucket Counts'!$P:$P, 'Bucket Counts'!$D:$D, 'Total Larvae to Date'!$A62, 'Bucket Counts'!$A:$A, "="&amp;D$27))</f>
        <v>93497.222222222219</v>
      </c>
      <c r="E62" s="118">
        <f>(SUMIFS('Bucket Counts'!$P:$P, 'Bucket Counts'!$D:$D, 'Total Larvae to Date'!$A62, 'Bucket Counts'!$A:$A, "="&amp;E$27))</f>
        <v>77303.333333333328</v>
      </c>
      <c r="F62" s="118">
        <f>(SUMIFS('Bucket Counts'!$P:$P, 'Bucket Counts'!$D:$D, 'Total Larvae to Date'!$A62, 'Bucket Counts'!$A:$A, "="&amp;F$27))</f>
        <v>52096.666666666664</v>
      </c>
      <c r="G62" s="118">
        <f>(SUMIFS('Bucket Counts'!$P:$P, 'Bucket Counts'!$D:$D, 'Total Larvae to Date'!$A62, 'Bucket Counts'!$A:$A, "="&amp;G$27))</f>
        <v>26033.333333333328</v>
      </c>
      <c r="H62" s="118">
        <f>(SUMIFS('Bucket Counts'!$P:$P, 'Bucket Counts'!$D:$D, 'Total Larvae to Date'!$A62, 'Bucket Counts'!$A:$A, "="&amp;H$27))</f>
        <v>42553.333333333336</v>
      </c>
      <c r="I62" s="118">
        <f>(SUMIFS('Bucket Counts'!$P:$P, 'Bucket Counts'!$D:$D, 'Total Larvae to Date'!$A62, 'Bucket Counts'!$A:$A, "="&amp;I$27))</f>
        <v>28913.333333333336</v>
      </c>
      <c r="J62" s="118">
        <f>(SUMIFS('Bucket Counts'!$P:$P, 'Bucket Counts'!$D:$D, 'Total Larvae to Date'!$A62, 'Bucket Counts'!$A:$A, "="&amp;J$27))</f>
        <v>12166.666666666668</v>
      </c>
      <c r="K62" s="118">
        <f>(SUMIFS('Bucket Counts'!$P:$P, 'Bucket Counts'!$D:$D, 'Total Larvae to Date'!$A62, 'Bucket Counts'!$A:$A, "="&amp;K$27))</f>
        <v>73835</v>
      </c>
      <c r="L62" s="118">
        <f>(SUMIFS('Bucket Counts'!$P:$P, 'Bucket Counts'!$D:$D, 'Total Larvae to Date'!$A62, 'Bucket Counts'!$A:$A, "="&amp;L$27))</f>
        <v>77396.666666666672</v>
      </c>
    </row>
    <row r="63" spans="1:12">
      <c r="A63" s="24" t="s">
        <v>134</v>
      </c>
      <c r="B63" s="118"/>
      <c r="C63" s="118">
        <f>(SUMIFS('Bucket Counts'!$P:$P, 'Bucket Counts'!$D:$D, 'Total Larvae to Date'!$A63, 'Bucket Counts'!$A:$A, "="&amp;C$27))</f>
        <v>70563.333333333328</v>
      </c>
      <c r="D63" s="118">
        <f>(SUMIFS('Bucket Counts'!$P:$P, 'Bucket Counts'!$D:$D, 'Total Larvae to Date'!$A63, 'Bucket Counts'!$A:$A, "="&amp;D$27))</f>
        <v>0</v>
      </c>
      <c r="E63" s="118">
        <f>(SUMIFS('Bucket Counts'!$P:$P, 'Bucket Counts'!$D:$D, 'Total Larvae to Date'!$A63, 'Bucket Counts'!$A:$A, "="&amp;E$27))</f>
        <v>0</v>
      </c>
      <c r="F63" s="118">
        <f>(SUMIFS('Bucket Counts'!$P:$P, 'Bucket Counts'!$D:$D, 'Total Larvae to Date'!$A63, 'Bucket Counts'!$A:$A, "="&amp;F$27))</f>
        <v>0</v>
      </c>
      <c r="G63" s="118">
        <f>(SUMIFS('Bucket Counts'!$P:$P, 'Bucket Counts'!$D:$D, 'Total Larvae to Date'!$A63, 'Bucket Counts'!$A:$A, "="&amp;G$27))</f>
        <v>0</v>
      </c>
      <c r="H63" s="118">
        <f>(SUMIFS('Bucket Counts'!$P:$P, 'Bucket Counts'!$D:$D, 'Total Larvae to Date'!$A63, 'Bucket Counts'!$A:$A, "="&amp;H$27))</f>
        <v>0</v>
      </c>
      <c r="I63" s="118">
        <f>(SUMIFS('Bucket Counts'!$P:$P, 'Bucket Counts'!$D:$D, 'Total Larvae to Date'!$A63, 'Bucket Counts'!$A:$A, "="&amp;I$27))</f>
        <v>0</v>
      </c>
      <c r="J63" s="118">
        <f>(SUMIFS('Bucket Counts'!$P:$P, 'Bucket Counts'!$D:$D, 'Total Larvae to Date'!$A63, 'Bucket Counts'!$A:$A, "="&amp;J$27))</f>
        <v>0</v>
      </c>
      <c r="K63" s="118">
        <f>(SUMIFS('Bucket Counts'!$P:$P, 'Bucket Counts'!$D:$D, 'Total Larvae to Date'!$A63, 'Bucket Counts'!$A:$A, "="&amp;K$27))</f>
        <v>0</v>
      </c>
      <c r="L63" s="118">
        <f>(SUMIFS('Bucket Counts'!$P:$P, 'Bucket Counts'!$D:$D, 'Total Larvae to Date'!$A63, 'Bucket Counts'!$A:$A, "="&amp;L$27))</f>
        <v>0</v>
      </c>
    </row>
    <row r="64" spans="1:12">
      <c r="A64" s="24" t="s">
        <v>119</v>
      </c>
      <c r="B64" s="118"/>
      <c r="C64" s="118">
        <f>(SUMIFS('Bucket Counts'!$P:$P, 'Bucket Counts'!$D:$D, 'Total Larvae to Date'!$A64, 'Bucket Counts'!$A:$A, "="&amp;C$27))</f>
        <v>0</v>
      </c>
      <c r="D64" s="118">
        <f>(SUMIFS('Bucket Counts'!$P:$P, 'Bucket Counts'!$D:$D, 'Total Larvae to Date'!$A64, 'Bucket Counts'!$A:$A, "="&amp;D$27))</f>
        <v>0</v>
      </c>
      <c r="E64" s="118">
        <f>(SUMIFS('Bucket Counts'!$P:$P, 'Bucket Counts'!$D:$D, 'Total Larvae to Date'!$A64, 'Bucket Counts'!$A:$A, "="&amp;E$27))</f>
        <v>0</v>
      </c>
      <c r="F64" s="118">
        <f>(SUMIFS('Bucket Counts'!$P:$P, 'Bucket Counts'!$D:$D, 'Total Larvae to Date'!$A64, 'Bucket Counts'!$A:$A, "="&amp;F$27))</f>
        <v>64266.666666666672</v>
      </c>
      <c r="G64" s="118">
        <f>(SUMIFS('Bucket Counts'!$P:$P, 'Bucket Counts'!$D:$D, 'Total Larvae to Date'!$A64, 'Bucket Counts'!$A:$A, "="&amp;G$27))</f>
        <v>37566.666666666672</v>
      </c>
      <c r="H64" s="118">
        <f>(SUMIFS('Bucket Counts'!$P:$P, 'Bucket Counts'!$D:$D, 'Total Larvae to Date'!$A64, 'Bucket Counts'!$A:$A, "="&amp;H$27))</f>
        <v>28180</v>
      </c>
      <c r="I64" s="118">
        <f>(SUMIFS('Bucket Counts'!$P:$P, 'Bucket Counts'!$D:$D, 'Total Larvae to Date'!$A64, 'Bucket Counts'!$A:$A, "="&amp;I$27))</f>
        <v>27800</v>
      </c>
      <c r="J64" s="118">
        <f>(SUMIFS('Bucket Counts'!$P:$P, 'Bucket Counts'!$D:$D, 'Total Larvae to Date'!$A64, 'Bucket Counts'!$A:$A, "="&amp;J$27))</f>
        <v>19116.666666666668</v>
      </c>
      <c r="K64" s="118">
        <f>(SUMIFS('Bucket Counts'!$P:$P, 'Bucket Counts'!$D:$D, 'Total Larvae to Date'!$A64, 'Bucket Counts'!$A:$A, "="&amp;K$27))</f>
        <v>5666.666666666667</v>
      </c>
      <c r="L64" s="118">
        <f>(SUMIFS('Bucket Counts'!$P:$P, 'Bucket Counts'!$D:$D, 'Total Larvae to Date'!$A64, 'Bucket Counts'!$A:$A, "="&amp;L$27))</f>
        <v>3669.4444444444443</v>
      </c>
    </row>
    <row r="65" spans="1:19">
      <c r="A65" s="24" t="s">
        <v>21</v>
      </c>
      <c r="B65" s="118"/>
      <c r="C65" s="118">
        <f>(SUMIFS('Bucket Counts'!$P:$P, 'Bucket Counts'!$D:$D, 'Total Larvae to Date'!$A65, 'Bucket Counts'!$A:$A, "="&amp;C$27))</f>
        <v>0</v>
      </c>
      <c r="D65" s="118">
        <f>(SUMIFS('Bucket Counts'!$P:$P, 'Bucket Counts'!$D:$D, 'Total Larvae to Date'!$A65, 'Bucket Counts'!$A:$A, "="&amp;D$27))</f>
        <v>64533.333333333336</v>
      </c>
      <c r="E65" s="118">
        <f>(SUMIFS('Bucket Counts'!$P:$P, 'Bucket Counts'!$D:$D, 'Total Larvae to Date'!$A65, 'Bucket Counts'!$A:$A, "="&amp;E$27))</f>
        <v>71136.666666666657</v>
      </c>
      <c r="F65" s="118">
        <f>(SUMIFS('Bucket Counts'!$P:$P, 'Bucket Counts'!$D:$D, 'Total Larvae to Date'!$A65, 'Bucket Counts'!$A:$A, "="&amp;F$27))</f>
        <v>28333.333333333332</v>
      </c>
      <c r="G65" s="118">
        <f>(SUMIFS('Bucket Counts'!$P:$P, 'Bucket Counts'!$D:$D, 'Total Larvae to Date'!$A65, 'Bucket Counts'!$A:$A, "="&amp;G$27))</f>
        <v>102833.33333333334</v>
      </c>
      <c r="H65" s="118">
        <f>(SUMIFS('Bucket Counts'!$P:$P, 'Bucket Counts'!$D:$D, 'Total Larvae to Date'!$A65, 'Bucket Counts'!$A:$A, "="&amp;H$27))</f>
        <v>88626.666666666672</v>
      </c>
      <c r="I65" s="118">
        <f>(SUMIFS('Bucket Counts'!$P:$P, 'Bucket Counts'!$D:$D, 'Total Larvae to Date'!$A65, 'Bucket Counts'!$A:$A, "="&amp;I$27))</f>
        <v>27298.333333333332</v>
      </c>
      <c r="J65" s="118">
        <f>(SUMIFS('Bucket Counts'!$P:$P, 'Bucket Counts'!$D:$D, 'Total Larvae to Date'!$A65, 'Bucket Counts'!$A:$A, "="&amp;J$27))</f>
        <v>44716.666666666672</v>
      </c>
      <c r="K65" s="118">
        <f>(SUMIFS('Bucket Counts'!$P:$P, 'Bucket Counts'!$D:$D, 'Total Larvae to Date'!$A65, 'Bucket Counts'!$A:$A, "="&amp;K$27))</f>
        <v>21683.333333333328</v>
      </c>
      <c r="L65" s="118">
        <f>(SUMIFS('Bucket Counts'!$P:$P, 'Bucket Counts'!$D:$D, 'Total Larvae to Date'!$A65, 'Bucket Counts'!$A:$A, "="&amp;L$27))</f>
        <v>20135</v>
      </c>
    </row>
    <row r="66" spans="1:19">
      <c r="A66" s="24" t="s">
        <v>17</v>
      </c>
      <c r="B66" s="118"/>
      <c r="C66" s="118">
        <f>(SUMIFS('Bucket Counts'!$P:$P, 'Bucket Counts'!$D:$D, 'Total Larvae to Date'!$A66, 'Bucket Counts'!$A:$A, "="&amp;C$27))</f>
        <v>130033.33333333333</v>
      </c>
      <c r="D66" s="118">
        <f>(SUMIFS('Bucket Counts'!$P:$P, 'Bucket Counts'!$D:$D, 'Total Larvae to Date'!$A66, 'Bucket Counts'!$A:$A, "="&amp;D$27))</f>
        <v>89683.333333333328</v>
      </c>
      <c r="E66" s="118">
        <f>(SUMIFS('Bucket Counts'!$P:$P, 'Bucket Counts'!$D:$D, 'Total Larvae to Date'!$A66, 'Bucket Counts'!$A:$A, "="&amp;E$27))</f>
        <v>67206.666666666672</v>
      </c>
      <c r="F66" s="118">
        <f>(SUMIFS('Bucket Counts'!$P:$P, 'Bucket Counts'!$D:$D, 'Total Larvae to Date'!$A66, 'Bucket Counts'!$A:$A, "="&amp;F$27))</f>
        <v>54416.666666666664</v>
      </c>
      <c r="G66" s="118">
        <f>(SUMIFS('Bucket Counts'!$P:$P, 'Bucket Counts'!$D:$D, 'Total Larvae to Date'!$A66, 'Bucket Counts'!$A:$A, "="&amp;G$27))</f>
        <v>35666.666666666664</v>
      </c>
      <c r="H66" s="118">
        <f>(SUMIFS('Bucket Counts'!$P:$P, 'Bucket Counts'!$D:$D, 'Total Larvae to Date'!$A66, 'Bucket Counts'!$A:$A, "="&amp;H$27))</f>
        <v>27966.666666666664</v>
      </c>
      <c r="I66" s="118">
        <f>(SUMIFS('Bucket Counts'!$P:$P, 'Bucket Counts'!$D:$D, 'Total Larvae to Date'!$A66, 'Bucket Counts'!$A:$A, "="&amp;I$27))</f>
        <v>12756.666666666666</v>
      </c>
      <c r="J66" s="118">
        <f>(SUMIFS('Bucket Counts'!$P:$P, 'Bucket Counts'!$D:$D, 'Total Larvae to Date'!$A66, 'Bucket Counts'!$A:$A, "="&amp;J$27))</f>
        <v>7763.333333333333</v>
      </c>
      <c r="K66" s="118">
        <f>(SUMIFS('Bucket Counts'!$P:$P, 'Bucket Counts'!$D:$D, 'Total Larvae to Date'!$A66, 'Bucket Counts'!$A:$A, "="&amp;K$27))</f>
        <v>5635.8333333333339</v>
      </c>
      <c r="L66" s="118">
        <f>(SUMIFS('Bucket Counts'!$P:$P, 'Bucket Counts'!$D:$D, 'Total Larvae to Date'!$A66, 'Bucket Counts'!$A:$A, "="&amp;L$27))</f>
        <v>3557.5000000000005</v>
      </c>
    </row>
    <row r="67" spans="1:19">
      <c r="A67" s="24" t="s">
        <v>37</v>
      </c>
      <c r="B67" s="118"/>
      <c r="C67" s="118">
        <f>(SUMIFS('Bucket Counts'!$P:$P, 'Bucket Counts'!$D:$D, 'Total Larvae to Date'!$A67, 'Bucket Counts'!$A:$A, "="&amp;C$27))</f>
        <v>96953.333333333314</v>
      </c>
      <c r="D67" s="118">
        <f>(SUMIFS('Bucket Counts'!$P:$P, 'Bucket Counts'!$D:$D, 'Total Larvae to Date'!$A67, 'Bucket Counts'!$A:$A, "="&amp;D$27))</f>
        <v>0</v>
      </c>
      <c r="E67" s="118">
        <f>(SUMIFS('Bucket Counts'!$P:$P, 'Bucket Counts'!$D:$D, 'Total Larvae to Date'!$A67, 'Bucket Counts'!$A:$A, "="&amp;E$27))</f>
        <v>0</v>
      </c>
      <c r="F67" s="118">
        <f>(SUMIFS('Bucket Counts'!$P:$P, 'Bucket Counts'!$D:$D, 'Total Larvae to Date'!$A67, 'Bucket Counts'!$A:$A, "="&amp;F$27))</f>
        <v>0</v>
      </c>
      <c r="G67" s="118">
        <f>(SUMIFS('Bucket Counts'!$P:$P, 'Bucket Counts'!$D:$D, 'Total Larvae to Date'!$A67, 'Bucket Counts'!$A:$A, "="&amp;G$27))</f>
        <v>0</v>
      </c>
      <c r="H67" s="118">
        <f>(SUMIFS('Bucket Counts'!$P:$P, 'Bucket Counts'!$D:$D, 'Total Larvae to Date'!$A67, 'Bucket Counts'!$A:$A, "="&amp;H$27))</f>
        <v>0</v>
      </c>
      <c r="I67" s="118">
        <f>(SUMIFS('Bucket Counts'!$P:$P, 'Bucket Counts'!$D:$D, 'Total Larvae to Date'!$A67, 'Bucket Counts'!$A:$A, "="&amp;I$27))</f>
        <v>0</v>
      </c>
      <c r="J67" s="118">
        <f>(SUMIFS('Bucket Counts'!$P:$P, 'Bucket Counts'!$D:$D, 'Total Larvae to Date'!$A67, 'Bucket Counts'!$A:$A, "="&amp;J$27))</f>
        <v>0</v>
      </c>
      <c r="K67" s="118">
        <f>(SUMIFS('Bucket Counts'!$P:$P, 'Bucket Counts'!$D:$D, 'Total Larvae to Date'!$A67, 'Bucket Counts'!$A:$A, "="&amp;K$27))</f>
        <v>0</v>
      </c>
      <c r="L67" s="118">
        <f>(SUMIFS('Bucket Counts'!$P:$P, 'Bucket Counts'!$D:$D, 'Total Larvae to Date'!$A67, 'Bucket Counts'!$A:$A, "="&amp;L$27))</f>
        <v>0</v>
      </c>
    </row>
    <row r="68" spans="1:19">
      <c r="A68" s="24" t="s">
        <v>38</v>
      </c>
      <c r="B68" s="118"/>
      <c r="C68" s="118">
        <f>(SUMIFS('Bucket Counts'!$P:$P, 'Bucket Counts'!$D:$D, 'Total Larvae to Date'!$A68, 'Bucket Counts'!$A:$A, "="&amp;C$27))</f>
        <v>64275.555555555562</v>
      </c>
      <c r="D68" s="118">
        <f>(SUMIFS('Bucket Counts'!$P:$P, 'Bucket Counts'!$D:$D, 'Total Larvae to Date'!$A68, 'Bucket Counts'!$A:$A, "="&amp;D$27))</f>
        <v>47496.666666666664</v>
      </c>
      <c r="E68" s="118">
        <f>(SUMIFS('Bucket Counts'!$P:$P, 'Bucket Counts'!$D:$D, 'Total Larvae to Date'!$A68, 'Bucket Counts'!$A:$A, "="&amp;E$27))</f>
        <v>92913.333333333343</v>
      </c>
      <c r="F68" s="118">
        <f>(SUMIFS('Bucket Counts'!$P:$P, 'Bucket Counts'!$D:$D, 'Total Larvae to Date'!$A68, 'Bucket Counts'!$A:$A, "="&amp;F$27))</f>
        <v>74338.333333333328</v>
      </c>
      <c r="G68" s="118">
        <f>(SUMIFS('Bucket Counts'!$P:$P, 'Bucket Counts'!$D:$D, 'Total Larvae to Date'!$A68, 'Bucket Counts'!$A:$A, "="&amp;G$27))</f>
        <v>40340</v>
      </c>
      <c r="H68" s="118">
        <f>(SUMIFS('Bucket Counts'!$P:$P, 'Bucket Counts'!$D:$D, 'Total Larvae to Date'!$A68, 'Bucket Counts'!$A:$A, "="&amp;H$27))</f>
        <v>75920</v>
      </c>
      <c r="I68" s="118">
        <f>(SUMIFS('Bucket Counts'!$P:$P, 'Bucket Counts'!$D:$D, 'Total Larvae to Date'!$A68, 'Bucket Counts'!$A:$A, "="&amp;I$27))</f>
        <v>45250</v>
      </c>
      <c r="J68" s="118">
        <f>(SUMIFS('Bucket Counts'!$P:$P, 'Bucket Counts'!$D:$D, 'Total Larvae to Date'!$A68, 'Bucket Counts'!$A:$A, "="&amp;J$27))</f>
        <v>49946.666666666664</v>
      </c>
      <c r="K68" s="118">
        <f>(SUMIFS('Bucket Counts'!$P:$P, 'Bucket Counts'!$D:$D, 'Total Larvae to Date'!$A68, 'Bucket Counts'!$A:$A, "="&amp;K$27))</f>
        <v>28153.333333333336</v>
      </c>
      <c r="L68" s="118">
        <f>(SUMIFS('Bucket Counts'!$P:$P, 'Bucket Counts'!$D:$D, 'Total Larvae to Date'!$A68, 'Bucket Counts'!$A:$A, "="&amp;L$27))</f>
        <v>17280</v>
      </c>
    </row>
    <row r="69" spans="1:19" s="212" customFormat="1" ht="16" thickBot="1">
      <c r="A69" s="215" t="s">
        <v>46</v>
      </c>
      <c r="B69" s="214"/>
      <c r="C69" s="214">
        <f>(SUMIFS('Bucket Counts'!$P:$P, 'Bucket Counts'!$D:$D, 'Total Larvae to Date'!$A69, 'Bucket Counts'!$A:$A, "="&amp;C$27))</f>
        <v>2175</v>
      </c>
      <c r="D69" s="214">
        <f>(SUMIFS('Bucket Counts'!$P:$P, 'Bucket Counts'!$D:$D, 'Total Larvae to Date'!$A69, 'Bucket Counts'!$A:$A, "="&amp;D$27))</f>
        <v>56316.666666666672</v>
      </c>
      <c r="E69" s="214">
        <f>(SUMIFS('Bucket Counts'!$P:$P, 'Bucket Counts'!$D:$D, 'Total Larvae to Date'!$A69, 'Bucket Counts'!$A:$A, "="&amp;E$27))</f>
        <v>49492.5</v>
      </c>
      <c r="F69" s="214">
        <f>(SUMIFS('Bucket Counts'!$P:$P, 'Bucket Counts'!$D:$D, 'Total Larvae to Date'!$A69, 'Bucket Counts'!$A:$A, "="&amp;F$27))</f>
        <v>33256.666666666672</v>
      </c>
      <c r="G69" s="214">
        <f>(SUMIFS('Bucket Counts'!$P:$P, 'Bucket Counts'!$D:$D, 'Total Larvae to Date'!$A69, 'Bucket Counts'!$A:$A, "="&amp;G$27))</f>
        <v>35316.666666666664</v>
      </c>
      <c r="H69" s="214">
        <f>(SUMIFS('Bucket Counts'!$P:$P, 'Bucket Counts'!$D:$D, 'Total Larvae to Date'!$A69, 'Bucket Counts'!$A:$A, "="&amp;H$27))</f>
        <v>29233.333333333336</v>
      </c>
      <c r="I69" s="214">
        <f>(SUMIFS('Bucket Counts'!$P:$P, 'Bucket Counts'!$D:$D, 'Total Larvae to Date'!$A69, 'Bucket Counts'!$A:$A, "="&amp;I$27))</f>
        <v>20500</v>
      </c>
      <c r="J69" s="214">
        <f>(SUMIFS('Bucket Counts'!$P:$P, 'Bucket Counts'!$D:$D, 'Total Larvae to Date'!$A69, 'Bucket Counts'!$A:$A, "="&amp;J$27))</f>
        <v>23533.333333333332</v>
      </c>
      <c r="K69" s="214">
        <f>(SUMIFS('Bucket Counts'!$P:$P, 'Bucket Counts'!$D:$D, 'Total Larvae to Date'!$A69, 'Bucket Counts'!$A:$A, "="&amp;K$27))</f>
        <v>16425</v>
      </c>
      <c r="L69" s="214">
        <f>(SUMIFS('Bucket Counts'!$P:$P, 'Bucket Counts'!$D:$D, 'Total Larvae to Date'!$A69, 'Bucket Counts'!$A:$A, "="&amp;L$27))</f>
        <v>7193.3333333333339</v>
      </c>
    </row>
    <row r="70" spans="1:19" s="23" customFormat="1" ht="21" thickTop="1">
      <c r="A70" s="118"/>
      <c r="B70" s="118"/>
      <c r="C70" s="422" t="s">
        <v>221</v>
      </c>
      <c r="D70" s="422"/>
      <c r="E70" s="422"/>
      <c r="F70" s="422"/>
      <c r="G70" s="422"/>
      <c r="H70" s="422"/>
      <c r="I70" s="422"/>
      <c r="J70" s="422"/>
      <c r="K70" s="422"/>
      <c r="Q70" s="23" t="s">
        <v>396</v>
      </c>
      <c r="S70" s="308"/>
    </row>
    <row r="71" spans="1:19" s="210" customFormat="1" ht="18">
      <c r="A71" s="211"/>
      <c r="B71" s="211"/>
      <c r="C71" s="216">
        <f>C27-1</f>
        <v>42890</v>
      </c>
      <c r="D71" s="216">
        <f t="shared" ref="D71:L71" si="9">D27-1</f>
        <v>42894</v>
      </c>
      <c r="E71" s="216">
        <f t="shared" si="9"/>
        <v>42897</v>
      </c>
      <c r="F71" s="216">
        <f t="shared" si="9"/>
        <v>42900</v>
      </c>
      <c r="G71" s="216">
        <f t="shared" si="9"/>
        <v>42904</v>
      </c>
      <c r="H71" s="216">
        <f t="shared" si="9"/>
        <v>42907</v>
      </c>
      <c r="I71" s="216">
        <f t="shared" si="9"/>
        <v>42911</v>
      </c>
      <c r="J71" s="216">
        <f t="shared" si="9"/>
        <v>42914</v>
      </c>
      <c r="K71" s="216">
        <f t="shared" si="9"/>
        <v>42918</v>
      </c>
      <c r="L71" s="216">
        <f t="shared" si="9"/>
        <v>42921</v>
      </c>
      <c r="M71" s="216">
        <v>42925</v>
      </c>
      <c r="N71" s="216">
        <v>42928</v>
      </c>
      <c r="O71" s="216">
        <v>42932</v>
      </c>
      <c r="P71" s="216">
        <v>42935</v>
      </c>
      <c r="Q71" s="216">
        <v>42937</v>
      </c>
    </row>
    <row r="72" spans="1:19" s="17" customFormat="1">
      <c r="A72" s="94" t="s">
        <v>84</v>
      </c>
      <c r="B72" s="118"/>
      <c r="C72" s="118">
        <f>SUMIFS('Bucket Counts'!$P:$P, 'Bucket Counts'!$F:$F, "224", 'Bucket Counts'!$D:$D, 'Total Larvae to Date'!$A72, 'Bucket Counts'!$A:$A, "&lt;="&amp;'Total Larvae to Date'!C$71)</f>
        <v>0</v>
      </c>
      <c r="D72" s="118">
        <f>SUMIFS('Bucket Counts'!$P:$P, 'Bucket Counts'!$F:$F, "224", 'Bucket Counts'!$D:$D, 'Total Larvae to Date'!$A72, 'Bucket Counts'!$A:$A, "&lt;="&amp;'Total Larvae to Date'!D$71)</f>
        <v>0</v>
      </c>
      <c r="E72" s="118">
        <f>SUMIFS('Bucket Counts'!$P:$P, 'Bucket Counts'!$F:$F, "224", 'Bucket Counts'!$D:$D, 'Total Larvae to Date'!$A72, 'Bucket Counts'!$A:$A, "&lt;="&amp;'Total Larvae to Date'!E$71)</f>
        <v>156.66666666666666</v>
      </c>
      <c r="F72" s="118">
        <f>SUMIFS('Bucket Counts'!$P:$P, 'Bucket Counts'!$F:$F, "224", 'Bucket Counts'!$D:$D, 'Total Larvae to Date'!$A72, 'Bucket Counts'!$A:$A, "&lt;="&amp;'Total Larvae to Date'!F$71)</f>
        <v>756.66666666666663</v>
      </c>
      <c r="G72" s="118">
        <f>SUMIFS('Bucket Counts'!$P:$P, 'Bucket Counts'!$F:$F, "224", 'Bucket Counts'!$D:$D, 'Total Larvae to Date'!$A72, 'Bucket Counts'!$A:$A, "&lt;="&amp;'Total Larvae to Date'!G$71)</f>
        <v>1223.3333333333333</v>
      </c>
      <c r="H72" s="118">
        <f>SUMIFS('Bucket Counts'!$P:$P, 'Bucket Counts'!$F:$F, "224", 'Bucket Counts'!$D:$D, 'Total Larvae to Date'!$A72, 'Bucket Counts'!$A:$A, "&lt;="&amp;'Total Larvae to Date'!H$71)</f>
        <v>2103.333333333333</v>
      </c>
      <c r="I72" s="118">
        <f>SUMIFS('Bucket Counts'!$P:$P, 'Bucket Counts'!$F:$F, "224", 'Bucket Counts'!$D:$D, 'Total Larvae to Date'!$A72, 'Bucket Counts'!$A:$A, "&lt;="&amp;'Total Larvae to Date'!I$71)</f>
        <v>2861.6666666666665</v>
      </c>
      <c r="J72" s="118">
        <f>SUMIFS('Bucket Counts'!$P:$P, 'Bucket Counts'!$F:$F, "224", 'Bucket Counts'!$D:$D, 'Total Larvae to Date'!$A72, 'Bucket Counts'!$A:$A, "&lt;="&amp;'Total Larvae to Date'!J$71)</f>
        <v>3511.6666666666665</v>
      </c>
      <c r="K72" s="118">
        <f>SUMIFS('Bucket Counts'!$P:$P, 'Bucket Counts'!$F:$F, "224", 'Bucket Counts'!$D:$D, 'Total Larvae to Date'!$A72, 'Bucket Counts'!$A:$A, "&lt;="&amp;'Total Larvae to Date'!K$71)</f>
        <v>3588.333333333333</v>
      </c>
      <c r="L72" s="118">
        <f>SUMIFS('Bucket Counts'!$P:$P, 'Bucket Counts'!$F:$F, "224", 'Bucket Counts'!$D:$D, 'Total Larvae to Date'!$A72, 'Bucket Counts'!$A:$A, "&lt;="&amp;'Total Larvae to Date'!L$71)</f>
        <v>3588.333333333333</v>
      </c>
      <c r="M72" s="118">
        <f>SUMIFS('Bucket Counts'!$P:$P, 'Bucket Counts'!$F:$F, "224", 'Bucket Counts'!$D:$D, 'Total Larvae to Date'!$A72, 'Bucket Counts'!$A:$A, "&lt;="&amp;'Total Larvae to Date'!M$71)</f>
        <v>3629.333333333333</v>
      </c>
      <c r="N72" s="118">
        <f>SUMIFS('Bucket Counts'!$P:$P, 'Bucket Counts'!$F:$F, "224", 'Bucket Counts'!$D:$D, 'Total Larvae to Date'!$A72, 'Bucket Counts'!$A:$A, "&lt;="&amp;'Total Larvae to Date'!N$71)</f>
        <v>3657.1111111111109</v>
      </c>
      <c r="O72" s="118">
        <f>SUMIFS('Bucket Counts'!$P:$P, 'Bucket Counts'!$F:$F, "224", 'Bucket Counts'!$D:$D, 'Total Larvae to Date'!$A72, 'Bucket Counts'!$A:$A, "&lt;="&amp;'Total Larvae to Date'!O$71)</f>
        <v>3658.1111111111109</v>
      </c>
      <c r="P72" s="118">
        <f>SUMIFS('Bucket Counts'!$P:$P, 'Bucket Counts'!$F:$F, "224", 'Bucket Counts'!$D:$D, 'Total Larvae to Date'!$A72, 'Bucket Counts'!$A:$A, "&lt;="&amp;'Total Larvae to Date'!P$71)</f>
        <v>3685.8888888888887</v>
      </c>
      <c r="Q72" s="118">
        <f>SUMIFS('Bucket Counts'!$P:$P, 'Bucket Counts'!$F:$F, "224", 'Bucket Counts'!$D:$D, 'Total Larvae to Date'!$A72, 'Bucket Counts'!$A:$A, "&lt;="&amp;'Total Larvae to Date'!Q$71)</f>
        <v>3697.8888888888887</v>
      </c>
    </row>
    <row r="73" spans="1:19">
      <c r="A73" s="24" t="s">
        <v>83</v>
      </c>
      <c r="C73" s="118">
        <f>SUMIFS('Bucket Counts'!$P:$P, 'Bucket Counts'!$F:$F, "224", 'Bucket Counts'!$D:$D, 'Total Larvae to Date'!$A73, 'Bucket Counts'!$A:$A, "&lt;="&amp;'Total Larvae to Date'!C$71)</f>
        <v>0</v>
      </c>
      <c r="D73" s="118">
        <f>SUMIFS('Bucket Counts'!$P:$P, 'Bucket Counts'!$F:$F, "224", 'Bucket Counts'!$D:$D, 'Total Larvae to Date'!$A73, 'Bucket Counts'!$A:$A, "&lt;="&amp;'Total Larvae to Date'!D$71)</f>
        <v>90</v>
      </c>
      <c r="E73" s="118">
        <f>SUMIFS('Bucket Counts'!$P:$P, 'Bucket Counts'!$F:$F, "224", 'Bucket Counts'!$D:$D, 'Total Larvae to Date'!$A73, 'Bucket Counts'!$A:$A, "&lt;="&amp;'Total Larvae to Date'!E$71)</f>
        <v>233.33333333333331</v>
      </c>
      <c r="F73" s="118">
        <f>SUMIFS('Bucket Counts'!$P:$P, 'Bucket Counts'!$F:$F, "224", 'Bucket Counts'!$D:$D, 'Total Larvae to Date'!$A73, 'Bucket Counts'!$A:$A, "&lt;="&amp;'Total Larvae to Date'!F$71)</f>
        <v>533.33333333333326</v>
      </c>
      <c r="G73" s="118">
        <f>SUMIFS('Bucket Counts'!$P:$P, 'Bucket Counts'!$F:$F, "224", 'Bucket Counts'!$D:$D, 'Total Larvae to Date'!$A73, 'Bucket Counts'!$A:$A, "&lt;="&amp;'Total Larvae to Date'!G$71)</f>
        <v>2400</v>
      </c>
      <c r="H73" s="118">
        <f>SUMIFS('Bucket Counts'!$P:$P, 'Bucket Counts'!$F:$F, "224", 'Bucket Counts'!$D:$D, 'Total Larvae to Date'!$A73, 'Bucket Counts'!$A:$A, "&lt;="&amp;'Total Larvae to Date'!H$71)</f>
        <v>2570</v>
      </c>
      <c r="I73" s="118">
        <f>SUMIFS('Bucket Counts'!$P:$P, 'Bucket Counts'!$F:$F, "224", 'Bucket Counts'!$D:$D, 'Total Larvae to Date'!$A73, 'Bucket Counts'!$A:$A, "&lt;="&amp;'Total Larvae to Date'!I$71)</f>
        <v>2786.6666666666665</v>
      </c>
      <c r="J73" s="118">
        <f>SUMIFS('Bucket Counts'!$P:$P, 'Bucket Counts'!$F:$F, "224", 'Bucket Counts'!$D:$D, 'Total Larvae to Date'!$A73, 'Bucket Counts'!$A:$A, "&lt;="&amp;'Total Larvae to Date'!J$71)</f>
        <v>2786.6666666666665</v>
      </c>
      <c r="K73" s="118">
        <f>SUMIFS('Bucket Counts'!$P:$P, 'Bucket Counts'!$F:$F, "224", 'Bucket Counts'!$D:$D, 'Total Larvae to Date'!$A73, 'Bucket Counts'!$A:$A, "&lt;="&amp;'Total Larvae to Date'!K$71)</f>
        <v>2786.6666666666665</v>
      </c>
      <c r="L73" s="118">
        <f>SUMIFS('Bucket Counts'!$P:$P, 'Bucket Counts'!$F:$F, "224", 'Bucket Counts'!$D:$D, 'Total Larvae to Date'!$A73, 'Bucket Counts'!$A:$A, "&lt;="&amp;'Total Larvae to Date'!L$71)</f>
        <v>2788.6666666666665</v>
      </c>
      <c r="M73" s="118">
        <f>SUMIFS('Bucket Counts'!$P:$P, 'Bucket Counts'!$F:$F, "224", 'Bucket Counts'!$D:$D, 'Total Larvae to Date'!$A73, 'Bucket Counts'!$A:$A, "&lt;="&amp;'Total Larvae to Date'!M$71)</f>
        <v>2801.6666666666665</v>
      </c>
      <c r="N73" s="118">
        <f>SUMIFS('Bucket Counts'!$P:$P, 'Bucket Counts'!$F:$F, "224", 'Bucket Counts'!$D:$D, 'Total Larvae to Date'!$A73, 'Bucket Counts'!$A:$A, "&lt;="&amp;'Total Larvae to Date'!N$71)</f>
        <v>2810.6666666666665</v>
      </c>
      <c r="O73" s="118">
        <f>SUMIFS('Bucket Counts'!$P:$P, 'Bucket Counts'!$F:$F, "224", 'Bucket Counts'!$D:$D, 'Total Larvae to Date'!$A73, 'Bucket Counts'!$A:$A, "&lt;="&amp;'Total Larvae to Date'!O$71)</f>
        <v>2810.6666666666665</v>
      </c>
      <c r="P73" s="118">
        <f>SUMIFS('Bucket Counts'!$P:$P, 'Bucket Counts'!$F:$F, "224", 'Bucket Counts'!$D:$D, 'Total Larvae to Date'!$A73, 'Bucket Counts'!$A:$A, "&lt;="&amp;'Total Larvae to Date'!P$71)</f>
        <v>2810.6666666666665</v>
      </c>
      <c r="Q73" s="118">
        <f>SUMIFS('Bucket Counts'!$P:$P, 'Bucket Counts'!$F:$F, "224", 'Bucket Counts'!$D:$D, 'Total Larvae to Date'!$A73, 'Bucket Counts'!$A:$A, "&lt;="&amp;'Total Larvae to Date'!Q$71)</f>
        <v>2977.333333333333</v>
      </c>
      <c r="R73" s="17"/>
    </row>
    <row r="74" spans="1:19">
      <c r="A74" s="24" t="s">
        <v>85</v>
      </c>
      <c r="C74" s="118">
        <f>SUMIFS('Bucket Counts'!$P:$P, 'Bucket Counts'!$F:$F, "224", 'Bucket Counts'!$D:$D, 'Total Larvae to Date'!$A74, 'Bucket Counts'!$A:$A, "&lt;="&amp;'Total Larvae to Date'!C$71)</f>
        <v>0</v>
      </c>
      <c r="D74" s="118">
        <f>SUMIFS('Bucket Counts'!$P:$P, 'Bucket Counts'!$F:$F, "224", 'Bucket Counts'!$D:$D, 'Total Larvae to Date'!$A74, 'Bucket Counts'!$A:$A, "&lt;="&amp;'Total Larvae to Date'!D$71)</f>
        <v>90</v>
      </c>
      <c r="E74" s="118">
        <f>SUMIFS('Bucket Counts'!$P:$P, 'Bucket Counts'!$F:$F, "224", 'Bucket Counts'!$D:$D, 'Total Larvae to Date'!$A74, 'Bucket Counts'!$A:$A, "&lt;="&amp;'Total Larvae to Date'!E$71)</f>
        <v>703.33333333333326</v>
      </c>
      <c r="F74" s="118">
        <f>SUMIFS('Bucket Counts'!$P:$P, 'Bucket Counts'!$F:$F, "224", 'Bucket Counts'!$D:$D, 'Total Larvae to Date'!$A74, 'Bucket Counts'!$A:$A, "&lt;="&amp;'Total Larvae to Date'!F$71)</f>
        <v>2713.333333333333</v>
      </c>
      <c r="G74" s="118">
        <f>SUMIFS('Bucket Counts'!$P:$P, 'Bucket Counts'!$F:$F, "224", 'Bucket Counts'!$D:$D, 'Total Larvae to Date'!$A74, 'Bucket Counts'!$A:$A, "&lt;="&amp;'Total Larvae to Date'!G$71)</f>
        <v>3913.333333333333</v>
      </c>
      <c r="H74" s="118">
        <f>SUMIFS('Bucket Counts'!$P:$P, 'Bucket Counts'!$F:$F, "224", 'Bucket Counts'!$D:$D, 'Total Larvae to Date'!$A74, 'Bucket Counts'!$A:$A, "&lt;="&amp;'Total Larvae to Date'!H$71)</f>
        <v>6080</v>
      </c>
      <c r="I74" s="118">
        <f>SUMIFS('Bucket Counts'!$P:$P, 'Bucket Counts'!$F:$F, "224", 'Bucket Counts'!$D:$D, 'Total Larvae to Date'!$A74, 'Bucket Counts'!$A:$A, "&lt;="&amp;'Total Larvae to Date'!I$71)</f>
        <v>9500</v>
      </c>
      <c r="J74" s="118">
        <f>SUMIFS('Bucket Counts'!$P:$P, 'Bucket Counts'!$F:$F, "224", 'Bucket Counts'!$D:$D, 'Total Larvae to Date'!$A74, 'Bucket Counts'!$A:$A, "&lt;="&amp;'Total Larvae to Date'!J$71)</f>
        <v>10666.666666666666</v>
      </c>
      <c r="K74" s="118">
        <f>SUMIFS('Bucket Counts'!$P:$P, 'Bucket Counts'!$F:$F, "224", 'Bucket Counts'!$D:$D, 'Total Larvae to Date'!$A74, 'Bucket Counts'!$A:$A, "&lt;="&amp;'Total Larvae to Date'!K$71)</f>
        <v>11016.666666666666</v>
      </c>
      <c r="L74" s="118">
        <f>SUMIFS('Bucket Counts'!$P:$P, 'Bucket Counts'!$F:$F, "224", 'Bucket Counts'!$D:$D, 'Total Larvae to Date'!$A74, 'Bucket Counts'!$A:$A, "&lt;="&amp;'Total Larvae to Date'!L$71)</f>
        <v>11074.444444444443</v>
      </c>
      <c r="M74" s="118">
        <f>SUMIFS('Bucket Counts'!$P:$P, 'Bucket Counts'!$F:$F, "224", 'Bucket Counts'!$D:$D, 'Total Larvae to Date'!$A74, 'Bucket Counts'!$A:$A, "&lt;="&amp;'Total Larvae to Date'!M$71)</f>
        <v>11099.444444444443</v>
      </c>
      <c r="N74" s="118">
        <f>SUMIFS('Bucket Counts'!$P:$P, 'Bucket Counts'!$F:$F, "224", 'Bucket Counts'!$D:$D, 'Total Larvae to Date'!$A74, 'Bucket Counts'!$A:$A, "&lt;="&amp;'Total Larvae to Date'!N$71)</f>
        <v>11106.444444444443</v>
      </c>
      <c r="O74" s="118">
        <f>SUMIFS('Bucket Counts'!$P:$P, 'Bucket Counts'!$F:$F, "224", 'Bucket Counts'!$D:$D, 'Total Larvae to Date'!$A74, 'Bucket Counts'!$A:$A, "&lt;="&amp;'Total Larvae to Date'!O$71)</f>
        <v>11106.444444444443</v>
      </c>
      <c r="P74" s="118">
        <f>SUMIFS('Bucket Counts'!$P:$P, 'Bucket Counts'!$F:$F, "224", 'Bucket Counts'!$D:$D, 'Total Larvae to Date'!$A74, 'Bucket Counts'!$A:$A, "&lt;="&amp;'Total Larvae to Date'!P$71)</f>
        <v>11106.444444444443</v>
      </c>
      <c r="Q74" s="118">
        <f>SUMIFS('Bucket Counts'!$P:$P, 'Bucket Counts'!$F:$F, "224", 'Bucket Counts'!$D:$D, 'Total Larvae to Date'!$A74, 'Bucket Counts'!$A:$A, "&lt;="&amp;'Total Larvae to Date'!Q$71)</f>
        <v>11106.444444444443</v>
      </c>
      <c r="R74" s="17"/>
    </row>
    <row r="75" spans="1:19">
      <c r="A75" s="24" t="s">
        <v>105</v>
      </c>
      <c r="C75" s="118">
        <f>SUMIFS('Bucket Counts'!$P:$P, 'Bucket Counts'!$F:$F, "224", 'Bucket Counts'!$D:$D, 'Total Larvae to Date'!$A75, 'Bucket Counts'!$A:$A, "&lt;="&amp;'Total Larvae to Date'!C$71)</f>
        <v>0</v>
      </c>
      <c r="D75" s="118">
        <f>SUMIFS('Bucket Counts'!$P:$P, 'Bucket Counts'!$F:$F, "224", 'Bucket Counts'!$D:$D, 'Total Larvae to Date'!$A75, 'Bucket Counts'!$A:$A, "&lt;="&amp;'Total Larvae to Date'!D$71)</f>
        <v>38.888888888888886</v>
      </c>
      <c r="E75" s="118">
        <f>SUMIFS('Bucket Counts'!$P:$P, 'Bucket Counts'!$F:$F, "224", 'Bucket Counts'!$D:$D, 'Total Larvae to Date'!$A75, 'Bucket Counts'!$A:$A, "&lt;="&amp;'Total Larvae to Date'!E$71)</f>
        <v>38.888888888888886</v>
      </c>
      <c r="F75" s="118">
        <f>SUMIFS('Bucket Counts'!$P:$P, 'Bucket Counts'!$F:$F, "224", 'Bucket Counts'!$D:$D, 'Total Larvae to Date'!$A75, 'Bucket Counts'!$A:$A, "&lt;="&amp;'Total Larvae to Date'!F$71)</f>
        <v>188.88888888888889</v>
      </c>
      <c r="G75" s="118">
        <f>SUMIFS('Bucket Counts'!$P:$P, 'Bucket Counts'!$F:$F, "224", 'Bucket Counts'!$D:$D, 'Total Larvae to Date'!$A75, 'Bucket Counts'!$A:$A, "&lt;="&amp;'Total Larvae to Date'!G$71)</f>
        <v>522.22222222222217</v>
      </c>
      <c r="H75" s="118">
        <f>SUMIFS('Bucket Counts'!$P:$P, 'Bucket Counts'!$F:$F, "224", 'Bucket Counts'!$D:$D, 'Total Larvae to Date'!$A75, 'Bucket Counts'!$A:$A, "&lt;="&amp;'Total Larvae to Date'!H$71)</f>
        <v>702.22222222222217</v>
      </c>
      <c r="I75" s="118">
        <f>SUMIFS('Bucket Counts'!$P:$P, 'Bucket Counts'!$F:$F, "224", 'Bucket Counts'!$D:$D, 'Total Larvae to Date'!$A75, 'Bucket Counts'!$A:$A, "&lt;="&amp;'Total Larvae to Date'!I$71)</f>
        <v>1128.8888888888887</v>
      </c>
      <c r="J75" s="118">
        <f>SUMIFS('Bucket Counts'!$P:$P, 'Bucket Counts'!$F:$F, "224", 'Bucket Counts'!$D:$D, 'Total Larvae to Date'!$A75, 'Bucket Counts'!$A:$A, "&lt;="&amp;'Total Larvae to Date'!J$71)</f>
        <v>3158.8888888888887</v>
      </c>
      <c r="K75" s="118">
        <f>SUMIFS('Bucket Counts'!$P:$P, 'Bucket Counts'!$F:$F, "224", 'Bucket Counts'!$D:$D, 'Total Larvae to Date'!$A75, 'Bucket Counts'!$A:$A, "&lt;="&amp;'Total Larvae to Date'!K$71)</f>
        <v>4258.8888888888887</v>
      </c>
      <c r="L75" s="118">
        <f>SUMIFS('Bucket Counts'!$P:$P, 'Bucket Counts'!$F:$F, "224", 'Bucket Counts'!$D:$D, 'Total Larvae to Date'!$A75, 'Bucket Counts'!$A:$A, "&lt;="&amp;'Total Larvae to Date'!L$71)</f>
        <v>5775.5555555555557</v>
      </c>
      <c r="M75" s="118">
        <f>SUMIFS('Bucket Counts'!$P:$P, 'Bucket Counts'!$F:$F, "224", 'Bucket Counts'!$D:$D, 'Total Larvae to Date'!$A75, 'Bucket Counts'!$A:$A, "&lt;="&amp;'Total Larvae to Date'!M$71)</f>
        <v>8675.5555555555547</v>
      </c>
      <c r="N75" s="118">
        <f>SUMIFS('Bucket Counts'!$P:$P, 'Bucket Counts'!$F:$F, "224", 'Bucket Counts'!$D:$D, 'Total Larvae to Date'!$A75, 'Bucket Counts'!$A:$A, "&lt;="&amp;'Total Larvae to Date'!N$71)</f>
        <v>11196.388888888887</v>
      </c>
      <c r="O75" s="118">
        <f>SUMIFS('Bucket Counts'!$P:$P, 'Bucket Counts'!$F:$F, "224", 'Bucket Counts'!$D:$D, 'Total Larvae to Date'!$A75, 'Bucket Counts'!$A:$A, "&lt;="&amp;'Total Larvae to Date'!O$71)</f>
        <v>11289.722222222221</v>
      </c>
      <c r="P75" s="118">
        <f>SUMIFS('Bucket Counts'!$P:$P, 'Bucket Counts'!$F:$F, "224", 'Bucket Counts'!$D:$D, 'Total Larvae to Date'!$A75, 'Bucket Counts'!$A:$A, "&lt;="&amp;'Total Larvae to Date'!P$71)</f>
        <v>11400.833333333332</v>
      </c>
      <c r="Q75" s="118">
        <f>SUMIFS('Bucket Counts'!$P:$P, 'Bucket Counts'!$F:$F, "224", 'Bucket Counts'!$D:$D, 'Total Larvae to Date'!$A75, 'Bucket Counts'!$A:$A, "&lt;="&amp;'Total Larvae to Date'!Q$71)</f>
        <v>11400.833333333332</v>
      </c>
      <c r="R75" s="17"/>
    </row>
    <row r="76" spans="1:19">
      <c r="A76" s="24" t="s">
        <v>86</v>
      </c>
      <c r="C76" s="118">
        <f>SUMIFS('Bucket Counts'!$P:$P, 'Bucket Counts'!$F:$F, "224", 'Bucket Counts'!$D:$D, 'Total Larvae to Date'!$A76, 'Bucket Counts'!$A:$A, "&lt;="&amp;'Total Larvae to Date'!C$71)</f>
        <v>0</v>
      </c>
      <c r="D76" s="118">
        <f>SUMIFS('Bucket Counts'!$P:$P, 'Bucket Counts'!$F:$F, "224", 'Bucket Counts'!$D:$D, 'Total Larvae to Date'!$A76, 'Bucket Counts'!$A:$A, "&lt;="&amp;'Total Larvae to Date'!D$71)</f>
        <v>0</v>
      </c>
      <c r="E76" s="118">
        <f>SUMIFS('Bucket Counts'!$P:$P, 'Bucket Counts'!$F:$F, "224", 'Bucket Counts'!$D:$D, 'Total Larvae to Date'!$A76, 'Bucket Counts'!$A:$A, "&lt;="&amp;'Total Larvae to Date'!E$71)</f>
        <v>150</v>
      </c>
      <c r="F76" s="118">
        <f>SUMIFS('Bucket Counts'!$P:$P, 'Bucket Counts'!$F:$F, "224", 'Bucket Counts'!$D:$D, 'Total Larvae to Date'!$A76, 'Bucket Counts'!$A:$A, "&lt;="&amp;'Total Larvae to Date'!F$71)</f>
        <v>1141.6666666666667</v>
      </c>
      <c r="G76" s="230">
        <f>SUMIFS('Bucket Counts'!$P:$P, 'Bucket Counts'!$F:$F, "224", 'Bucket Counts'!$D:$D, 'Total Larvae to Date'!$A76, 'Bucket Counts'!$A:$A, "&lt;="&amp;'Total Larvae to Date'!G$71)-'Bucket Counts'!$P$261</f>
        <v>1141.6666666666679</v>
      </c>
      <c r="H76" s="230">
        <f>SUMIFS('Bucket Counts'!$P:$P, 'Bucket Counts'!$F:$F, "224", 'Bucket Counts'!$D:$D, 'Total Larvae to Date'!$A76, 'Bucket Counts'!$A:$A, "&lt;="&amp;'Total Larvae to Date'!H$71)-'Bucket Counts'!$P$261</f>
        <v>20608.333333333332</v>
      </c>
      <c r="I76" s="230">
        <f>SUMIFS('Bucket Counts'!$P:$P, 'Bucket Counts'!$F:$F, "224", 'Bucket Counts'!$D:$D, 'Total Larvae to Date'!$A76, 'Bucket Counts'!$A:$A, "&lt;="&amp;'Total Larvae to Date'!I$71)-'Bucket Counts'!$P$261</f>
        <v>21608.333333333332</v>
      </c>
      <c r="J76" s="230">
        <f>SUMIFS('Bucket Counts'!$P:$P, 'Bucket Counts'!$F:$F, "224", 'Bucket Counts'!$D:$D, 'Total Larvae to Date'!$A76, 'Bucket Counts'!$A:$A, "&lt;="&amp;'Total Larvae to Date'!J$71)-'Bucket Counts'!$P$261</f>
        <v>21608.333333333332</v>
      </c>
      <c r="K76" s="230">
        <f>SUMIFS('Bucket Counts'!$P:$P, 'Bucket Counts'!$F:$F, "224", 'Bucket Counts'!$D:$D, 'Total Larvae to Date'!$A76, 'Bucket Counts'!$A:$A, "&lt;="&amp;'Total Larvae to Date'!K$71)-'Bucket Counts'!$P$261</f>
        <v>21608.333333333332</v>
      </c>
      <c r="L76" s="230">
        <f>SUMIFS('Bucket Counts'!$P:$P, 'Bucket Counts'!$F:$F, "224", 'Bucket Counts'!$D:$D, 'Total Larvae to Date'!$A76, 'Bucket Counts'!$A:$A, "&lt;="&amp;'Total Larvae to Date'!L$71)-'Bucket Counts'!$P$261</f>
        <v>21611.333333333332</v>
      </c>
      <c r="M76" s="230">
        <f>SUMIFS('Bucket Counts'!$P:$P, 'Bucket Counts'!$F:$F, "224", 'Bucket Counts'!$D:$D, 'Total Larvae to Date'!$A76, 'Bucket Counts'!$A:$A, "&lt;="&amp;'Total Larvae to Date'!M$71)-'Bucket Counts'!$P$261</f>
        <v>21619.333333333332</v>
      </c>
      <c r="N76" s="230">
        <f>SUMIFS('Bucket Counts'!$P:$P, 'Bucket Counts'!$F:$F, "224", 'Bucket Counts'!$D:$D, 'Total Larvae to Date'!$A76, 'Bucket Counts'!$A:$A, "&lt;="&amp;'Total Larvae to Date'!N$71)-'Bucket Counts'!$P$261</f>
        <v>21630.333333333332</v>
      </c>
      <c r="O76" s="230">
        <f>SUMIFS('Bucket Counts'!$P:$P, 'Bucket Counts'!$F:$F, "224", 'Bucket Counts'!$D:$D, 'Total Larvae to Date'!$A76, 'Bucket Counts'!$A:$A, "&lt;="&amp;'Total Larvae to Date'!O$71)-'Bucket Counts'!$P$261</f>
        <v>21630.333333333332</v>
      </c>
      <c r="P76" s="230">
        <f>SUMIFS('Bucket Counts'!$P:$P, 'Bucket Counts'!$F:$F, "224", 'Bucket Counts'!$D:$D, 'Total Larvae to Date'!$A76, 'Bucket Counts'!$A:$A, "&lt;="&amp;'Total Larvae to Date'!P$71)-'Bucket Counts'!$P$261</f>
        <v>21640.333333333332</v>
      </c>
      <c r="Q76" s="230">
        <f>SUMIFS('Bucket Counts'!$P:$P, 'Bucket Counts'!$F:$F, "224", 'Bucket Counts'!$D:$D, 'Total Larvae to Date'!$A76, 'Bucket Counts'!$A:$A, "&lt;="&amp;'Total Larvae to Date'!Q$71)-'Bucket Counts'!$P$261</f>
        <v>29595.333333333332</v>
      </c>
      <c r="R76" s="17"/>
    </row>
    <row r="77" spans="1:19">
      <c r="A77" s="24" t="s">
        <v>74</v>
      </c>
      <c r="C77" s="118" t="s">
        <v>75</v>
      </c>
      <c r="D77" s="118" t="s">
        <v>75</v>
      </c>
      <c r="E77" s="118" t="s">
        <v>75</v>
      </c>
      <c r="F77" s="118" t="s">
        <v>75</v>
      </c>
      <c r="G77" s="118">
        <f>SUMIFS('Bucket Counts'!$P:$P, 'Bucket Counts'!$F:$F, "224", 'Bucket Counts'!$D:$D, 'Total Larvae to Date'!$A77, 'Bucket Counts'!$A:$A, "&lt;="&amp;'Total Larvae to Date'!G$71, 'Bucket Counts'!$A:$A, "&gt;"&amp;"6/16/2017")</f>
        <v>0</v>
      </c>
      <c r="H77" s="118">
        <f>SUMIFS('Bucket Counts'!$P:$P, 'Bucket Counts'!$F:$F, "224", 'Bucket Counts'!$D:$D, 'Total Larvae to Date'!$A77, 'Bucket Counts'!$A:$A, "&lt;="&amp;'Total Larvae to Date'!H$71, 'Bucket Counts'!$A:$A, "&gt;"&amp;"6/16/2017")</f>
        <v>166.66666666666666</v>
      </c>
      <c r="I77" s="118">
        <f>SUMIFS('Bucket Counts'!$P:$P, 'Bucket Counts'!$F:$F, "224", 'Bucket Counts'!$D:$D, 'Total Larvae to Date'!$A77, 'Bucket Counts'!$A:$A, "&lt;="&amp;'Total Larvae to Date'!I$71, 'Bucket Counts'!$A:$A, "&gt;"&amp;"6/16/2017")</f>
        <v>366.66666666666663</v>
      </c>
      <c r="J77" s="118">
        <f>SUMIFS('Bucket Counts'!$P:$P, 'Bucket Counts'!$F:$F, "224", 'Bucket Counts'!$D:$D, 'Total Larvae to Date'!$A77, 'Bucket Counts'!$A:$A, "&lt;="&amp;'Total Larvae to Date'!J$71, 'Bucket Counts'!$A:$A, "&gt;"&amp;"6/16/2017")</f>
        <v>4426.666666666667</v>
      </c>
      <c r="K77" s="118">
        <f>SUMIFS('Bucket Counts'!$P:$P, 'Bucket Counts'!$F:$F, "224", 'Bucket Counts'!$D:$D, 'Total Larvae to Date'!$A77, 'Bucket Counts'!$A:$A, "&lt;="&amp;'Total Larvae to Date'!K$71, 'Bucket Counts'!$A:$A, "&gt;"&amp;"6/16/2017")</f>
        <v>4539.166666666667</v>
      </c>
      <c r="L77" s="118">
        <f>SUMIFS('Bucket Counts'!$P:$P, 'Bucket Counts'!$F:$F, "224", 'Bucket Counts'!$D:$D, 'Total Larvae to Date'!$A77, 'Bucket Counts'!$A:$A, "&lt;="&amp;'Total Larvae to Date'!L$71, 'Bucket Counts'!$A:$A, "&gt;"&amp;"6/16/2017")</f>
        <v>4590.2777777777783</v>
      </c>
      <c r="M77" s="118">
        <f>SUMIFS('Bucket Counts'!$P:$P, 'Bucket Counts'!$F:$F, "224", 'Bucket Counts'!$D:$D, 'Total Larvae to Date'!$A77, 'Bucket Counts'!$A:$A, "&lt;="&amp;'Total Larvae to Date'!M$71, 'Bucket Counts'!$A:$A, "&gt;"&amp;"6/16/2017")</f>
        <v>4649.2777777777783</v>
      </c>
      <c r="N77" s="118">
        <f>SUMIFS('Bucket Counts'!$P:$P, 'Bucket Counts'!$F:$F, "224", 'Bucket Counts'!$D:$D, 'Total Larvae to Date'!$A77, 'Bucket Counts'!$A:$A, "&lt;="&amp;'Total Larvae to Date'!N$71, 'Bucket Counts'!$A:$A, "&gt;"&amp;"6/16/2017")</f>
        <v>4710.2777777777783</v>
      </c>
      <c r="O77" s="118">
        <f>SUMIFS('Bucket Counts'!$P:$P, 'Bucket Counts'!$F:$F, "224", 'Bucket Counts'!$D:$D, 'Total Larvae to Date'!$A77, 'Bucket Counts'!$A:$A, "&lt;="&amp;'Total Larvae to Date'!O$71, 'Bucket Counts'!$A:$A, "&gt;"&amp;"6/16/2017")</f>
        <v>4719.2777777777783</v>
      </c>
      <c r="P77" s="118">
        <f>SUMIFS('Bucket Counts'!$P:$P, 'Bucket Counts'!$F:$F, "224", 'Bucket Counts'!$D:$D, 'Total Larvae to Date'!$A77, 'Bucket Counts'!$A:$A, "&lt;="&amp;'Total Larvae to Date'!P$71, 'Bucket Counts'!$A:$A, "&gt;"&amp;"6/16/2017")</f>
        <v>4720.2777777777783</v>
      </c>
      <c r="Q77" s="118">
        <f>SUMIFS('Bucket Counts'!$P:$P, 'Bucket Counts'!$F:$F, "224", 'Bucket Counts'!$D:$D, 'Total Larvae to Date'!$A77, 'Bucket Counts'!$A:$A, "&lt;="&amp;'Total Larvae to Date'!Q$71, 'Bucket Counts'!$A:$A, "&gt;"&amp;"6/16/2017")</f>
        <v>4720.2777777777783</v>
      </c>
      <c r="R77" s="17"/>
    </row>
    <row r="78" spans="1:19">
      <c r="A78" s="24" t="s">
        <v>87</v>
      </c>
      <c r="C78" s="118">
        <f>SUMIFS('Bucket Counts'!$P:$P, 'Bucket Counts'!$F:$F, "224", 'Bucket Counts'!$D:$D, 'Total Larvae to Date'!$A78, 'Bucket Counts'!$A:$A, "&lt;="&amp;'Total Larvae to Date'!C$71)</f>
        <v>0</v>
      </c>
      <c r="D78" s="118">
        <f>SUMIFS('Bucket Counts'!$P:$P, 'Bucket Counts'!$F:$F, "224", 'Bucket Counts'!$D:$D, 'Total Larvae to Date'!$A78, 'Bucket Counts'!$A:$A, "&lt;="&amp;'Total Larvae to Date'!D$71)</f>
        <v>123.33333333333333</v>
      </c>
      <c r="E78" s="118">
        <f>SUMIFS('Bucket Counts'!$P:$P, 'Bucket Counts'!$F:$F, "224", 'Bucket Counts'!$D:$D, 'Total Larvae to Date'!$A78, 'Bucket Counts'!$A:$A, "&lt;="&amp;'Total Larvae to Date'!E$71)</f>
        <v>123.33333333333333</v>
      </c>
      <c r="F78" s="118">
        <f>SUMIFS('Bucket Counts'!$P:$P, 'Bucket Counts'!$F:$F, "224", 'Bucket Counts'!$D:$D, 'Total Larvae to Date'!$A78, 'Bucket Counts'!$A:$A, "&lt;="&amp;'Total Larvae to Date'!F$71)</f>
        <v>123.33333333333333</v>
      </c>
      <c r="G78" s="118">
        <f>SUMIFS('Bucket Counts'!$P:$P, 'Bucket Counts'!$F:$F, "224", 'Bucket Counts'!$D:$D, 'Total Larvae to Date'!$A78, 'Bucket Counts'!$A:$A, "&lt;="&amp;'Total Larvae to Date'!G$71)</f>
        <v>473.33333333333331</v>
      </c>
      <c r="H78" s="118">
        <f>SUMIFS('Bucket Counts'!$P:$P, 'Bucket Counts'!$F:$F, "224", 'Bucket Counts'!$D:$D, 'Total Larvae to Date'!$A78, 'Bucket Counts'!$A:$A, "&lt;="&amp;'Total Larvae to Date'!H$71)</f>
        <v>5640</v>
      </c>
      <c r="I78" s="118">
        <f>SUMIFS('Bucket Counts'!$P:$P, 'Bucket Counts'!$F:$F, "224", 'Bucket Counts'!$D:$D, 'Total Larvae to Date'!$A78, 'Bucket Counts'!$A:$A, "&lt;="&amp;'Total Larvae to Date'!I$71)</f>
        <v>10140</v>
      </c>
      <c r="J78" s="118">
        <f>SUMIFS('Bucket Counts'!$P:$P, 'Bucket Counts'!$F:$F, "224", 'Bucket Counts'!$D:$D, 'Total Larvae to Date'!$A78, 'Bucket Counts'!$A:$A, "&lt;="&amp;'Total Larvae to Date'!J$71)</f>
        <v>11700</v>
      </c>
      <c r="K78" s="118">
        <f>SUMIFS('Bucket Counts'!$P:$P, 'Bucket Counts'!$F:$F, "224", 'Bucket Counts'!$D:$D, 'Total Larvae to Date'!$A78, 'Bucket Counts'!$A:$A, "&lt;="&amp;'Total Larvae to Date'!K$71)</f>
        <v>11740</v>
      </c>
      <c r="L78" s="118">
        <f>SUMIFS('Bucket Counts'!$P:$P, 'Bucket Counts'!$F:$F, "224", 'Bucket Counts'!$D:$D, 'Total Larvae to Date'!$A78, 'Bucket Counts'!$A:$A, "&lt;="&amp;'Total Larvae to Date'!L$71)</f>
        <v>11740</v>
      </c>
      <c r="M78" s="118">
        <f>SUMIFS('Bucket Counts'!$P:$P, 'Bucket Counts'!$F:$F, "224", 'Bucket Counts'!$D:$D, 'Total Larvae to Date'!$A78, 'Bucket Counts'!$A:$A, "&lt;="&amp;'Total Larvae to Date'!M$71)</f>
        <v>11769</v>
      </c>
      <c r="N78" s="118">
        <f>SUMIFS('Bucket Counts'!$P:$P, 'Bucket Counts'!$F:$F, "224", 'Bucket Counts'!$D:$D, 'Total Larvae to Date'!$A78, 'Bucket Counts'!$A:$A, "&lt;="&amp;'Total Larvae to Date'!N$71)</f>
        <v>11854</v>
      </c>
      <c r="O78" s="118">
        <f>SUMIFS('Bucket Counts'!$P:$P, 'Bucket Counts'!$F:$F, "224", 'Bucket Counts'!$D:$D, 'Total Larvae to Date'!$A78, 'Bucket Counts'!$A:$A, "&lt;="&amp;'Total Larvae to Date'!O$71)</f>
        <v>11902.888888888889</v>
      </c>
      <c r="P78" s="118">
        <f>SUMIFS('Bucket Counts'!$P:$P, 'Bucket Counts'!$F:$F, "224", 'Bucket Counts'!$D:$D, 'Total Larvae to Date'!$A78, 'Bucket Counts'!$A:$A, "&lt;="&amp;'Total Larvae to Date'!P$71)</f>
        <v>11930.666666666666</v>
      </c>
      <c r="Q78" s="118">
        <f>SUMIFS('Bucket Counts'!$P:$P, 'Bucket Counts'!$F:$F, "224", 'Bucket Counts'!$D:$D, 'Total Larvae to Date'!$A78, 'Bucket Counts'!$A:$A, "&lt;="&amp;'Total Larvae to Date'!Q$71)</f>
        <v>11930.666666666666</v>
      </c>
      <c r="R78" s="17"/>
    </row>
    <row r="79" spans="1:19">
      <c r="A79" s="24" t="s">
        <v>77</v>
      </c>
      <c r="C79" s="118">
        <f>SUMIFS('Bucket Counts'!$P:$P, 'Bucket Counts'!$F:$F, "224", 'Bucket Counts'!$D:$D, 'Total Larvae to Date'!$A79, 'Bucket Counts'!$A:$A, "&lt;="&amp;'Total Larvae to Date'!C$71)</f>
        <v>0</v>
      </c>
      <c r="D79" s="118">
        <f>SUMIFS('Bucket Counts'!$P:$P, 'Bucket Counts'!$F:$F, "224", 'Bucket Counts'!$D:$D, 'Total Larvae to Date'!$A79, 'Bucket Counts'!$A:$A, "&lt;="&amp;'Total Larvae to Date'!D$71)</f>
        <v>27.222222222222221</v>
      </c>
      <c r="E79" s="118">
        <f>SUMIFS('Bucket Counts'!$P:$P, 'Bucket Counts'!$F:$F, "224", 'Bucket Counts'!$D:$D, 'Total Larvae to Date'!$A79, 'Bucket Counts'!$A:$A, "&lt;="&amp;'Total Larvae to Date'!E$71)</f>
        <v>527.22222222222217</v>
      </c>
      <c r="F79" s="118">
        <f>SUMIFS('Bucket Counts'!$P:$P, 'Bucket Counts'!$F:$F, "224", 'Bucket Counts'!$D:$D, 'Total Larvae to Date'!$A79, 'Bucket Counts'!$A:$A, "&lt;="&amp;'Total Larvae to Date'!F$71)</f>
        <v>787.22222222222217</v>
      </c>
      <c r="G79" s="230">
        <f>SUMIFS('Bucket Counts'!$P:$P, 'Bucket Counts'!$F:$F, "224", 'Bucket Counts'!$D:$D, 'Total Larvae to Date'!$A79, 'Bucket Counts'!$A:$A, "&lt;="&amp;'Total Larvae to Date'!G$71)</f>
        <v>2787.2222222222222</v>
      </c>
      <c r="H79" s="230">
        <f>SUMIFS('Bucket Counts'!$P:$P, 'Bucket Counts'!$F:$F, "224", 'Bucket Counts'!$D:$D, 'Total Larvae to Date'!$A79, 'Bucket Counts'!$A:$A, "&lt;="&amp;'Total Larvae to Date'!H$71)</f>
        <v>5040.5555555555547</v>
      </c>
      <c r="I79" s="230">
        <f>SUMIFS('Bucket Counts'!$P:$P, 'Bucket Counts'!$F:$F, "224", 'Bucket Counts'!$D:$D, 'Total Larvae to Date'!$A79, 'Bucket Counts'!$A:$A, "&lt;="&amp;'Total Larvae to Date'!I$71)</f>
        <v>5440.5555555555547</v>
      </c>
      <c r="J79" s="230">
        <f>SUMIFS('Bucket Counts'!$P:$P, 'Bucket Counts'!$F:$F, "224", 'Bucket Counts'!$D:$D, 'Total Larvae to Date'!$A79, 'Bucket Counts'!$A:$A, "&lt;="&amp;'Total Larvae to Date'!J$71)</f>
        <v>5590.5555555555547</v>
      </c>
      <c r="K79" s="230">
        <f>SUMIFS('Bucket Counts'!$P:$P, 'Bucket Counts'!$F:$F, "224", 'Bucket Counts'!$D:$D, 'Total Larvae to Date'!$A79, 'Bucket Counts'!$A:$A, "&lt;="&amp;'Total Larvae to Date'!K$71)</f>
        <v>5632.2222222222217</v>
      </c>
      <c r="L79" s="230">
        <f>SUMIFS('Bucket Counts'!$P:$P, 'Bucket Counts'!$F:$F, "224", 'Bucket Counts'!$D:$D, 'Total Larvae to Date'!$A79, 'Bucket Counts'!$A:$A, "&lt;="&amp;'Total Larvae to Date'!L$71)</f>
        <v>5954.4444444444443</v>
      </c>
      <c r="M79" s="230">
        <f>SUMIFS('Bucket Counts'!$P:$P, 'Bucket Counts'!$F:$F, "224", 'Bucket Counts'!$D:$D, 'Total Larvae to Date'!$A79, 'Bucket Counts'!$A:$A, "&lt;="&amp;'Total Larvae to Date'!M$71)</f>
        <v>5990.4444444444443</v>
      </c>
      <c r="N79" s="230">
        <f>SUMIFS('Bucket Counts'!$P:$P, 'Bucket Counts'!$F:$F, "224", 'Bucket Counts'!$D:$D, 'Total Larvae to Date'!$A79, 'Bucket Counts'!$A:$A, "&lt;="&amp;'Total Larvae to Date'!N$71)</f>
        <v>6002.4444444444443</v>
      </c>
      <c r="O79" s="230">
        <f>SUMIFS('Bucket Counts'!$P:$P, 'Bucket Counts'!$F:$F, "224", 'Bucket Counts'!$D:$D, 'Total Larvae to Date'!$A79, 'Bucket Counts'!$A:$A, "&lt;="&amp;'Total Larvae to Date'!O$71)</f>
        <v>6002.4444444444443</v>
      </c>
      <c r="P79" s="230">
        <f>SUMIFS('Bucket Counts'!$P:$P, 'Bucket Counts'!$F:$F, "224", 'Bucket Counts'!$D:$D, 'Total Larvae to Date'!$A79, 'Bucket Counts'!$A:$A, "&lt;="&amp;'Total Larvae to Date'!P$71)</f>
        <v>6002.4444444444443</v>
      </c>
      <c r="Q79" s="230">
        <f>SUMIFS('Bucket Counts'!$P:$P, 'Bucket Counts'!$F:$F, "224", 'Bucket Counts'!$D:$D, 'Total Larvae to Date'!$A79, 'Bucket Counts'!$A:$A, "&lt;="&amp;'Total Larvae to Date'!Q$71)</f>
        <v>6002.4444444444443</v>
      </c>
      <c r="R79" s="17"/>
    </row>
    <row r="80" spans="1:19">
      <c r="A80" s="24" t="s">
        <v>88</v>
      </c>
      <c r="C80" s="118">
        <f>SUMIFS('Bucket Counts'!$P:$P, 'Bucket Counts'!$F:$F, "224", 'Bucket Counts'!$D:$D, 'Total Larvae to Date'!$A80, 'Bucket Counts'!$A:$A, "&lt;="&amp;'Total Larvae to Date'!C$71)</f>
        <v>0</v>
      </c>
      <c r="D80" s="118">
        <f>SUMIFS('Bucket Counts'!$P:$P, 'Bucket Counts'!$F:$F, "224", 'Bucket Counts'!$D:$D, 'Total Larvae to Date'!$A80, 'Bucket Counts'!$A:$A, "&lt;="&amp;'Total Larvae to Date'!D$71)</f>
        <v>0</v>
      </c>
      <c r="E80" s="118">
        <f>SUMIFS('Bucket Counts'!$P:$P, 'Bucket Counts'!$F:$F, "224", 'Bucket Counts'!$D:$D, 'Total Larvae to Date'!$A80, 'Bucket Counts'!$A:$A, "&lt;="&amp;'Total Larvae to Date'!E$71)</f>
        <v>30.555555555555554</v>
      </c>
      <c r="F80" s="118">
        <f>SUMIFS('Bucket Counts'!$P:$P, 'Bucket Counts'!$F:$F, "224", 'Bucket Counts'!$D:$D, 'Total Larvae to Date'!$A80, 'Bucket Counts'!$A:$A, "&lt;="&amp;'Total Larvae to Date'!F$71)</f>
        <v>1680.5555555555557</v>
      </c>
      <c r="G80" s="118">
        <f>SUMIFS('Bucket Counts'!$P:$P, 'Bucket Counts'!$F:$F, "224", 'Bucket Counts'!$D:$D, 'Total Larvae to Date'!$A80, 'Bucket Counts'!$A:$A, "&lt;="&amp;'Total Larvae to Date'!G$71)</f>
        <v>3197.2222222222226</v>
      </c>
      <c r="H80" s="118">
        <f>SUMIFS('Bucket Counts'!$P:$P, 'Bucket Counts'!$F:$F, "224", 'Bucket Counts'!$D:$D, 'Total Larvae to Date'!$A80, 'Bucket Counts'!$A:$A, "&lt;="&amp;'Total Larvae to Date'!H$71)</f>
        <v>6530.5555555555566</v>
      </c>
      <c r="I80" s="118">
        <f>SUMIFS('Bucket Counts'!$P:$P, 'Bucket Counts'!$F:$F, "224", 'Bucket Counts'!$D:$D, 'Total Larvae to Date'!$A80, 'Bucket Counts'!$A:$A, "&lt;="&amp;'Total Larvae to Date'!I$71)</f>
        <v>9527.2222222222226</v>
      </c>
      <c r="J80" s="118">
        <f>SUMIFS('Bucket Counts'!$P:$P, 'Bucket Counts'!$F:$F, "224", 'Bucket Counts'!$D:$D, 'Total Larvae to Date'!$A80, 'Bucket Counts'!$A:$A, "&lt;="&amp;'Total Larvae to Date'!J$71)</f>
        <v>11527.222222222223</v>
      </c>
      <c r="K80" s="118">
        <f>SUMIFS('Bucket Counts'!$P:$P, 'Bucket Counts'!$F:$F, "224", 'Bucket Counts'!$D:$D, 'Total Larvae to Date'!$A80, 'Bucket Counts'!$A:$A, "&lt;="&amp;'Total Larvae to Date'!K$71)</f>
        <v>11877.222222222223</v>
      </c>
      <c r="L80" s="118">
        <f>SUMIFS('Bucket Counts'!$P:$P, 'Bucket Counts'!$F:$F, "224", 'Bucket Counts'!$D:$D, 'Total Larvae to Date'!$A80, 'Bucket Counts'!$A:$A, "&lt;="&amp;'Total Larvae to Date'!L$71)</f>
        <v>12118.888888888889</v>
      </c>
      <c r="M80" s="118">
        <f>SUMIFS('Bucket Counts'!$P:$P, 'Bucket Counts'!$F:$F, "224", 'Bucket Counts'!$D:$D, 'Total Larvae to Date'!$A80, 'Bucket Counts'!$A:$A, "&lt;="&amp;'Total Larvae to Date'!M$71)</f>
        <v>12743.888888888889</v>
      </c>
      <c r="N80" s="118">
        <f>SUMIFS('Bucket Counts'!$P:$P, 'Bucket Counts'!$F:$F, "224", 'Bucket Counts'!$D:$D, 'Total Larvae to Date'!$A80, 'Bucket Counts'!$A:$A, "&lt;="&amp;'Total Larvae to Date'!N$71)</f>
        <v>13677.222222222223</v>
      </c>
      <c r="O80" s="118">
        <f>SUMIFS('Bucket Counts'!$P:$P, 'Bucket Counts'!$F:$F, "224", 'Bucket Counts'!$D:$D, 'Total Larvae to Date'!$A80, 'Bucket Counts'!$A:$A, "&lt;="&amp;'Total Larvae to Date'!O$71)</f>
        <v>13752.222222222223</v>
      </c>
      <c r="P80" s="118">
        <f>SUMIFS('Bucket Counts'!$P:$P, 'Bucket Counts'!$F:$F, "224", 'Bucket Counts'!$D:$D, 'Total Larvae to Date'!$A80, 'Bucket Counts'!$A:$A, "&lt;="&amp;'Total Larvae to Date'!P$71)</f>
        <v>13813.333333333334</v>
      </c>
      <c r="Q80" s="118">
        <f>SUMIFS('Bucket Counts'!$P:$P, 'Bucket Counts'!$F:$F, "224", 'Bucket Counts'!$D:$D, 'Total Larvae to Date'!$A80, 'Bucket Counts'!$A:$A, "&lt;="&amp;'Total Larvae to Date'!Q$71)</f>
        <v>13833.333333333334</v>
      </c>
      <c r="R80" s="17"/>
    </row>
    <row r="81" spans="1:18">
      <c r="A81" s="24" t="s">
        <v>109</v>
      </c>
      <c r="C81" s="118">
        <f>SUMIFS('Bucket Counts'!$P:$P, 'Bucket Counts'!$F:$F, "224", 'Bucket Counts'!$D:$D, 'Total Larvae to Date'!$A81, 'Bucket Counts'!$A:$A, "&lt;="&amp;'Total Larvae to Date'!C$71)</f>
        <v>0</v>
      </c>
      <c r="D81" s="118">
        <f>SUMIFS('Bucket Counts'!$P:$P, 'Bucket Counts'!$F:$F, "224", 'Bucket Counts'!$D:$D, 'Total Larvae to Date'!$A81, 'Bucket Counts'!$A:$A, "&lt;="&amp;'Total Larvae to Date'!D$71)</f>
        <v>0</v>
      </c>
      <c r="E81" s="118">
        <f>SUMIFS('Bucket Counts'!$P:$P, 'Bucket Counts'!$F:$F, "224", 'Bucket Counts'!$D:$D, 'Total Larvae to Date'!$A81, 'Bucket Counts'!$A:$A, "&lt;="&amp;'Total Larvae to Date'!E$71)</f>
        <v>87.5</v>
      </c>
      <c r="F81" s="118">
        <f>SUMIFS('Bucket Counts'!$P:$P, 'Bucket Counts'!$F:$F, "224", 'Bucket Counts'!$D:$D, 'Total Larvae to Date'!$A81, 'Bucket Counts'!$A:$A, "&lt;="&amp;'Total Larvae to Date'!F$71)</f>
        <v>3497.5</v>
      </c>
      <c r="G81" s="118">
        <f>SUMIFS('Bucket Counts'!$P:$P, 'Bucket Counts'!$F:$F, "224", 'Bucket Counts'!$D:$D, 'Total Larvae to Date'!$A81, 'Bucket Counts'!$A:$A, "&lt;="&amp;'Total Larvae to Date'!G$71)</f>
        <v>9097.5</v>
      </c>
      <c r="H81" s="118">
        <f>SUMIFS('Bucket Counts'!$P:$P, 'Bucket Counts'!$F:$F, "224", 'Bucket Counts'!$D:$D, 'Total Larvae to Date'!$A81, 'Bucket Counts'!$A:$A, "&lt;="&amp;'Total Larvae to Date'!H$71)</f>
        <v>9930.8333333333339</v>
      </c>
      <c r="I81" s="118">
        <f>SUMIFS('Bucket Counts'!$P:$P, 'Bucket Counts'!$F:$F, "224", 'Bucket Counts'!$D:$D, 'Total Larvae to Date'!$A81, 'Bucket Counts'!$A:$A, "&lt;="&amp;'Total Larvae to Date'!I$71)</f>
        <v>10905.833333333334</v>
      </c>
      <c r="J81" s="118">
        <f>SUMIFS('Bucket Counts'!$P:$P, 'Bucket Counts'!$F:$F, "224", 'Bucket Counts'!$D:$D, 'Total Larvae to Date'!$A81, 'Bucket Counts'!$A:$A, "&lt;="&amp;'Total Larvae to Date'!J$71)</f>
        <v>11559.166666666668</v>
      </c>
      <c r="K81" s="118">
        <f>SUMIFS('Bucket Counts'!$P:$P, 'Bucket Counts'!$F:$F, "224", 'Bucket Counts'!$D:$D, 'Total Larvae to Date'!$A81, 'Bucket Counts'!$A:$A, "&lt;="&amp;'Total Larvae to Date'!K$71)</f>
        <v>11779.166666666668</v>
      </c>
      <c r="L81" s="118">
        <f>SUMIFS('Bucket Counts'!$P:$P, 'Bucket Counts'!$F:$F, "224", 'Bucket Counts'!$D:$D, 'Total Larvae to Date'!$A81, 'Bucket Counts'!$A:$A, "&lt;="&amp;'Total Larvae to Date'!L$71)</f>
        <v>12549.166666666668</v>
      </c>
      <c r="M81" s="118">
        <f>SUMIFS('Bucket Counts'!$P:$P, 'Bucket Counts'!$F:$F, "224", 'Bucket Counts'!$D:$D, 'Total Larvae to Date'!$A81, 'Bucket Counts'!$A:$A, "&lt;="&amp;'Total Larvae to Date'!M$71)</f>
        <v>14632.500000000002</v>
      </c>
      <c r="N81" s="118">
        <f>SUMIFS('Bucket Counts'!$P:$P, 'Bucket Counts'!$F:$F, "224", 'Bucket Counts'!$D:$D, 'Total Larvae to Date'!$A81, 'Bucket Counts'!$A:$A, "&lt;="&amp;'Total Larvae to Date'!N$71)</f>
        <v>18287.5</v>
      </c>
      <c r="O81" s="118">
        <f>SUMIFS('Bucket Counts'!$P:$P, 'Bucket Counts'!$F:$F, "224", 'Bucket Counts'!$D:$D, 'Total Larvae to Date'!$A81, 'Bucket Counts'!$A:$A, "&lt;="&amp;'Total Larvae to Date'!O$71)</f>
        <v>18620.833333333332</v>
      </c>
      <c r="P81" s="118">
        <f>SUMIFS('Bucket Counts'!$P:$P, 'Bucket Counts'!$F:$F, "224", 'Bucket Counts'!$D:$D, 'Total Larvae to Date'!$A81, 'Bucket Counts'!$A:$A, "&lt;="&amp;'Total Larvae to Date'!P$71)</f>
        <v>19140.833333333332</v>
      </c>
      <c r="Q81" s="118">
        <f>SUMIFS('Bucket Counts'!$P:$P, 'Bucket Counts'!$F:$F, "224", 'Bucket Counts'!$D:$D, 'Total Larvae to Date'!$A81, 'Bucket Counts'!$A:$A, "&lt;="&amp;'Total Larvae to Date'!Q$71)</f>
        <v>19690.833333333332</v>
      </c>
      <c r="R81" s="17"/>
    </row>
    <row r="82" spans="1:18">
      <c r="A82" s="24" t="s">
        <v>119</v>
      </c>
      <c r="C82" s="118">
        <f>SUMIFS('Bucket Counts'!$P:$P, 'Bucket Counts'!$F:$F, "224", 'Bucket Counts'!$D:$D, 'Total Larvae to Date'!$A82, 'Bucket Counts'!$A:$A, "&lt;="&amp;'Total Larvae to Date'!C$71)</f>
        <v>0</v>
      </c>
      <c r="D82" s="118">
        <f>SUMIFS('Bucket Counts'!$P:$P, 'Bucket Counts'!$F:$F, "224", 'Bucket Counts'!$D:$D, 'Total Larvae to Date'!$A82, 'Bucket Counts'!$A:$A, "&lt;="&amp;'Total Larvae to Date'!D$71)</f>
        <v>0</v>
      </c>
      <c r="E82" s="118">
        <f>SUMIFS('Bucket Counts'!$P:$P, 'Bucket Counts'!$F:$F, "224", 'Bucket Counts'!$D:$D, 'Total Larvae to Date'!$A82, 'Bucket Counts'!$A:$A, "&lt;="&amp;'Total Larvae to Date'!E$71)</f>
        <v>0</v>
      </c>
      <c r="F82" s="118">
        <f>SUMIFS('Bucket Counts'!$P:$P, 'Bucket Counts'!$F:$F, "224", 'Bucket Counts'!$D:$D, 'Total Larvae to Date'!$A82, 'Bucket Counts'!$A:$A, "&lt;="&amp;'Total Larvae to Date'!F$71)</f>
        <v>0</v>
      </c>
      <c r="G82" s="118">
        <f>SUMIFS('Bucket Counts'!$P:$P, 'Bucket Counts'!$F:$F, "224", 'Bucket Counts'!$D:$D, 'Total Larvae to Date'!$A82, 'Bucket Counts'!$A:$A, "&lt;="&amp;'Total Larvae to Date'!G$71)</f>
        <v>0</v>
      </c>
      <c r="H82" s="118">
        <f>SUMIFS('Bucket Counts'!$P:$P, 'Bucket Counts'!$F:$F, "224", 'Bucket Counts'!$D:$D, 'Total Larvae to Date'!$A82, 'Bucket Counts'!$A:$A, "&lt;="&amp;'Total Larvae to Date'!H$71)</f>
        <v>0</v>
      </c>
      <c r="I82" s="118">
        <f>SUMIFS('Bucket Counts'!$P:$P, 'Bucket Counts'!$F:$F, "224", 'Bucket Counts'!$D:$D, 'Total Larvae to Date'!$A82, 'Bucket Counts'!$A:$A, "&lt;="&amp;'Total Larvae to Date'!I$71)</f>
        <v>0</v>
      </c>
      <c r="J82" s="118">
        <f>SUMIFS('Bucket Counts'!$P:$P, 'Bucket Counts'!$F:$F, "224", 'Bucket Counts'!$D:$D, 'Total Larvae to Date'!$A82, 'Bucket Counts'!$A:$A, "&lt;="&amp;'Total Larvae to Date'!J$71)</f>
        <v>0</v>
      </c>
      <c r="K82" s="118">
        <f>SUMIFS('Bucket Counts'!$P:$P, 'Bucket Counts'!$F:$F, "224", 'Bucket Counts'!$D:$D, 'Total Larvae to Date'!$A82, 'Bucket Counts'!$A:$A, "&lt;="&amp;'Total Larvae to Date'!K$71)</f>
        <v>0</v>
      </c>
      <c r="L82" s="118">
        <f>SUMIFS('Bucket Counts'!$P:$P, 'Bucket Counts'!$F:$F, "224", 'Bucket Counts'!$D:$D, 'Total Larvae to Date'!$A82, 'Bucket Counts'!$A:$A, "&lt;="&amp;'Total Larvae to Date'!L$71)</f>
        <v>333.33333333333331</v>
      </c>
      <c r="M82" s="118">
        <f>SUMIFS('Bucket Counts'!$P:$P, 'Bucket Counts'!$F:$F, "224", 'Bucket Counts'!$D:$D, 'Total Larvae to Date'!$A82, 'Bucket Counts'!$A:$A, "&lt;="&amp;'Total Larvae to Date'!M$71)</f>
        <v>883.33333333333326</v>
      </c>
      <c r="N82" s="118">
        <f>SUMIFS('Bucket Counts'!$P:$P, 'Bucket Counts'!$F:$F, "224", 'Bucket Counts'!$D:$D, 'Total Larvae to Date'!$A82, 'Bucket Counts'!$A:$A, "&lt;="&amp;'Total Larvae to Date'!N$71)</f>
        <v>2033.3333333333333</v>
      </c>
      <c r="O82" s="118">
        <f>SUMIFS('Bucket Counts'!$P:$P, 'Bucket Counts'!$F:$F, "224", 'Bucket Counts'!$D:$D, 'Total Larvae to Date'!$A82, 'Bucket Counts'!$A:$A, "&lt;="&amp;'Total Larvae to Date'!O$71)</f>
        <v>2145.833333333333</v>
      </c>
      <c r="P82" s="118">
        <f>SUMIFS('Bucket Counts'!$P:$P, 'Bucket Counts'!$F:$F, "224", 'Bucket Counts'!$D:$D, 'Total Larvae to Date'!$A82, 'Bucket Counts'!$A:$A, "&lt;="&amp;'Total Larvae to Date'!P$71)</f>
        <v>2245.833333333333</v>
      </c>
      <c r="Q82" s="118">
        <f>SUMIFS('Bucket Counts'!$P:$P, 'Bucket Counts'!$F:$F, "224", 'Bucket Counts'!$D:$D, 'Total Larvae to Date'!$A82, 'Bucket Counts'!$A:$A, "&lt;="&amp;'Total Larvae to Date'!Q$71)</f>
        <v>2245.833333333333</v>
      </c>
      <c r="R82" s="17"/>
    </row>
    <row r="83" spans="1:18">
      <c r="A83" s="24" t="s">
        <v>21</v>
      </c>
      <c r="C83" s="118">
        <f>SUMIFS('Bucket Counts'!$P:$P, 'Bucket Counts'!$F:$F, "224", 'Bucket Counts'!$D:$D, 'Total Larvae to Date'!$A83, 'Bucket Counts'!$A:$A, "&lt;="&amp;'Total Larvae to Date'!C$71)</f>
        <v>0</v>
      </c>
      <c r="D83" s="118">
        <f>SUMIFS('Bucket Counts'!$P:$P, 'Bucket Counts'!$F:$F, "224", 'Bucket Counts'!$D:$D, 'Total Larvae to Date'!$A83, 'Bucket Counts'!$A:$A, "&lt;="&amp;'Total Larvae to Date'!D$71)</f>
        <v>0</v>
      </c>
      <c r="E83" s="118">
        <f>SUMIFS('Bucket Counts'!$P:$P, 'Bucket Counts'!$F:$F, "224", 'Bucket Counts'!$D:$D, 'Total Larvae to Date'!$A83, 'Bucket Counts'!$A:$A, "&lt;="&amp;'Total Larvae to Date'!E$71)</f>
        <v>0</v>
      </c>
      <c r="F83" s="118">
        <f>SUMIFS('Bucket Counts'!$P:$P, 'Bucket Counts'!$F:$F, "224", 'Bucket Counts'!$D:$D, 'Total Larvae to Date'!$A83, 'Bucket Counts'!$A:$A, "&lt;="&amp;'Total Larvae to Date'!F$71)</f>
        <v>0</v>
      </c>
      <c r="G83" s="118">
        <f>SUMIFS('Bucket Counts'!$P:$P, 'Bucket Counts'!$F:$F, "224", 'Bucket Counts'!$D:$D, 'Total Larvae to Date'!$A83, 'Bucket Counts'!$A:$A, "&lt;="&amp;'Total Larvae to Date'!G$71)</f>
        <v>0</v>
      </c>
      <c r="H83" s="118">
        <f>SUMIFS('Bucket Counts'!$P:$P, 'Bucket Counts'!$F:$F, "224", 'Bucket Counts'!$D:$D, 'Total Larvae to Date'!$A83, 'Bucket Counts'!$A:$A, "&lt;="&amp;'Total Larvae to Date'!H$71)</f>
        <v>0</v>
      </c>
      <c r="I83" s="118">
        <f>SUMIFS('Bucket Counts'!$P:$P, 'Bucket Counts'!$F:$F, "224", 'Bucket Counts'!$D:$D, 'Total Larvae to Date'!$A83, 'Bucket Counts'!$A:$A, "&lt;="&amp;'Total Larvae to Date'!I$71)</f>
        <v>0</v>
      </c>
      <c r="J83" s="118">
        <f>SUMIFS('Bucket Counts'!$P:$P, 'Bucket Counts'!$F:$F, "224", 'Bucket Counts'!$D:$D, 'Total Larvae to Date'!$A83, 'Bucket Counts'!$A:$A, "&lt;="&amp;'Total Larvae to Date'!J$71)</f>
        <v>680</v>
      </c>
      <c r="K83" s="118">
        <f>SUMIFS('Bucket Counts'!$P:$P, 'Bucket Counts'!$F:$F, "224", 'Bucket Counts'!$D:$D, 'Total Larvae to Date'!$A83, 'Bucket Counts'!$A:$A, "&lt;="&amp;'Total Larvae to Date'!K$71)</f>
        <v>930</v>
      </c>
      <c r="L83" s="118">
        <f>SUMIFS('Bucket Counts'!$P:$P, 'Bucket Counts'!$F:$F, "224", 'Bucket Counts'!$D:$D, 'Total Larvae to Date'!$A83, 'Bucket Counts'!$A:$A, "&lt;="&amp;'Total Larvae to Date'!L$71)</f>
        <v>7220</v>
      </c>
      <c r="M83" s="118">
        <f>SUMIFS('Bucket Counts'!$P:$P, 'Bucket Counts'!$F:$F, "224", 'Bucket Counts'!$D:$D, 'Total Larvae to Date'!$A83, 'Bucket Counts'!$A:$A, "&lt;="&amp;'Total Larvae to Date'!M$71)</f>
        <v>8455</v>
      </c>
      <c r="N83" s="118">
        <f>SUMIFS('Bucket Counts'!$P:$P, 'Bucket Counts'!$F:$F, "224", 'Bucket Counts'!$D:$D, 'Total Larvae to Date'!$A83, 'Bucket Counts'!$A:$A, "&lt;="&amp;'Total Larvae to Date'!N$71)</f>
        <v>10188.333333333334</v>
      </c>
      <c r="O83" s="118">
        <f>SUMIFS('Bucket Counts'!$P:$P, 'Bucket Counts'!$F:$F, "224", 'Bucket Counts'!$D:$D, 'Total Larvae to Date'!$A83, 'Bucket Counts'!$A:$A, "&lt;="&amp;'Total Larvae to Date'!O$71)</f>
        <v>10408.333333333334</v>
      </c>
      <c r="P83" s="118">
        <f>SUMIFS('Bucket Counts'!$P:$P, 'Bucket Counts'!$F:$F, "224", 'Bucket Counts'!$D:$D, 'Total Larvae to Date'!$A83, 'Bucket Counts'!$A:$A, "&lt;="&amp;'Total Larvae to Date'!P$71)</f>
        <v>10486.111111111111</v>
      </c>
      <c r="Q83" s="118">
        <f>SUMIFS('Bucket Counts'!$P:$P, 'Bucket Counts'!$F:$F, "224", 'Bucket Counts'!$D:$D, 'Total Larvae to Date'!$A83, 'Bucket Counts'!$A:$A, "&lt;="&amp;'Total Larvae to Date'!Q$71)</f>
        <v>10552.777777777777</v>
      </c>
      <c r="R83" s="17"/>
    </row>
    <row r="84" spans="1:18">
      <c r="A84" s="24" t="s">
        <v>17</v>
      </c>
      <c r="C84" s="118">
        <f>SUMIFS('Bucket Counts'!$P:$P, 'Bucket Counts'!$F:$F, "224", 'Bucket Counts'!$D:$D, 'Total Larvae to Date'!$A84, 'Bucket Counts'!$A:$A, "&lt;="&amp;'Total Larvae to Date'!C$71)</f>
        <v>0</v>
      </c>
      <c r="D84" s="118">
        <f>SUMIFS('Bucket Counts'!$P:$P, 'Bucket Counts'!$F:$F, "224", 'Bucket Counts'!$D:$D, 'Total Larvae to Date'!$A84, 'Bucket Counts'!$A:$A, "&lt;="&amp;'Total Larvae to Date'!D$71)</f>
        <v>200</v>
      </c>
      <c r="E84" s="118">
        <f>SUMIFS('Bucket Counts'!$P:$P, 'Bucket Counts'!$F:$F, "224", 'Bucket Counts'!$D:$D, 'Total Larvae to Date'!$A84, 'Bucket Counts'!$A:$A, "&lt;="&amp;'Total Larvae to Date'!E$71)</f>
        <v>2800</v>
      </c>
      <c r="F84" s="118">
        <f>SUMIFS('Bucket Counts'!$P:$P, 'Bucket Counts'!$F:$F, "224", 'Bucket Counts'!$D:$D, 'Total Larvae to Date'!$A84, 'Bucket Counts'!$A:$A, "&lt;="&amp;'Total Larvae to Date'!F$71)</f>
        <v>6416.666666666667</v>
      </c>
      <c r="G84" s="118">
        <f>SUMIFS('Bucket Counts'!$P:$P, 'Bucket Counts'!$F:$F, "224", 'Bucket Counts'!$D:$D, 'Total Larvae to Date'!$A84, 'Bucket Counts'!$A:$A, "&lt;="&amp;'Total Larvae to Date'!G$71)</f>
        <v>8666.6666666666679</v>
      </c>
      <c r="H84" s="118">
        <f>SUMIFS('Bucket Counts'!$P:$P, 'Bucket Counts'!$F:$F, "224", 'Bucket Counts'!$D:$D, 'Total Larvae to Date'!$A84, 'Bucket Counts'!$A:$A, "&lt;="&amp;'Total Larvae to Date'!H$71)</f>
        <v>10833.333333333334</v>
      </c>
      <c r="I84" s="118">
        <f>SUMIFS('Bucket Counts'!$P:$P, 'Bucket Counts'!$F:$F, "224", 'Bucket Counts'!$D:$D, 'Total Larvae to Date'!$A84, 'Bucket Counts'!$A:$A, "&lt;="&amp;'Total Larvae to Date'!I$71)</f>
        <v>11500</v>
      </c>
      <c r="J84" s="118">
        <f>SUMIFS('Bucket Counts'!$P:$P, 'Bucket Counts'!$F:$F, "224", 'Bucket Counts'!$D:$D, 'Total Larvae to Date'!$A84, 'Bucket Counts'!$A:$A, "&lt;="&amp;'Total Larvae to Date'!J$71)</f>
        <v>12100</v>
      </c>
      <c r="K84" s="118">
        <f>SUMIFS('Bucket Counts'!$P:$P, 'Bucket Counts'!$F:$F, "224", 'Bucket Counts'!$D:$D, 'Total Larvae to Date'!$A84, 'Bucket Counts'!$A:$A, "&lt;="&amp;'Total Larvae to Date'!K$71)</f>
        <v>12330</v>
      </c>
      <c r="L84" s="118">
        <f>SUMIFS('Bucket Counts'!$P:$P, 'Bucket Counts'!$F:$F, "224", 'Bucket Counts'!$D:$D, 'Total Larvae to Date'!$A84, 'Bucket Counts'!$A:$A, "&lt;="&amp;'Total Larvae to Date'!L$71)</f>
        <v>13017.5</v>
      </c>
      <c r="M84" s="118">
        <f>SUMIFS('Bucket Counts'!$P:$P, 'Bucket Counts'!$F:$F, "224", 'Bucket Counts'!$D:$D, 'Total Larvae to Date'!$A84, 'Bucket Counts'!$A:$A, "&lt;="&amp;'Total Larvae to Date'!M$71)</f>
        <v>13350.833333333334</v>
      </c>
      <c r="N84" s="118">
        <f>SUMIFS('Bucket Counts'!$P:$P, 'Bucket Counts'!$F:$F, "224", 'Bucket Counts'!$D:$D, 'Total Larvae to Date'!$A84, 'Bucket Counts'!$A:$A, "&lt;="&amp;'Total Larvae to Date'!N$71)</f>
        <v>13875.833333333334</v>
      </c>
      <c r="O84" s="118">
        <f>SUMIFS('Bucket Counts'!$P:$P, 'Bucket Counts'!$F:$F, "224", 'Bucket Counts'!$D:$D, 'Total Larvae to Date'!$A84, 'Bucket Counts'!$A:$A, "&lt;="&amp;'Total Larvae to Date'!O$71)</f>
        <v>13900.833333333334</v>
      </c>
      <c r="P84" s="118">
        <f>SUMIFS('Bucket Counts'!$P:$P, 'Bucket Counts'!$F:$F, "224", 'Bucket Counts'!$D:$D, 'Total Larvae to Date'!$A84, 'Bucket Counts'!$A:$A, "&lt;="&amp;'Total Larvae to Date'!P$71)</f>
        <v>13903.833333333334</v>
      </c>
      <c r="Q84" s="118">
        <f>SUMIFS('Bucket Counts'!$P:$P, 'Bucket Counts'!$F:$F, "224", 'Bucket Counts'!$D:$D, 'Total Larvae to Date'!$A84, 'Bucket Counts'!$A:$A, "&lt;="&amp;'Total Larvae to Date'!Q$71)</f>
        <v>13903.833333333334</v>
      </c>
      <c r="R84" s="17"/>
    </row>
    <row r="85" spans="1:18">
      <c r="A85" s="24" t="s">
        <v>20</v>
      </c>
      <c r="C85" s="118">
        <f>SUMIFS('Bucket Counts'!$P:$P, 'Bucket Counts'!$F:$F, "224", 'Bucket Counts'!$D:$D, 'Total Larvae to Date'!$A85, 'Bucket Counts'!$A:$A, "&lt;="&amp;'Total Larvae to Date'!C$71)</f>
        <v>0</v>
      </c>
      <c r="D85" s="118">
        <f>SUMIFS('Bucket Counts'!$P:$P, 'Bucket Counts'!$F:$F, "224", 'Bucket Counts'!$D:$D, 'Total Larvae to Date'!$A85, 'Bucket Counts'!$A:$A, "&lt;="&amp;'Total Larvae to Date'!D$71)</f>
        <v>0</v>
      </c>
      <c r="E85" s="118">
        <f>SUMIFS('Bucket Counts'!$P:$P, 'Bucket Counts'!$F:$F, "224", 'Bucket Counts'!$D:$D, 'Total Larvae to Date'!$A85, 'Bucket Counts'!$A:$A, "&lt;="&amp;'Total Larvae to Date'!E$71)</f>
        <v>1400</v>
      </c>
      <c r="F85" s="118">
        <f>SUMIFS('Bucket Counts'!$P:$P, 'Bucket Counts'!$F:$F, "224", 'Bucket Counts'!$D:$D, 'Total Larvae to Date'!$A85, 'Bucket Counts'!$A:$A, "&lt;="&amp;'Total Larvae to Date'!F$71)</f>
        <v>1400</v>
      </c>
      <c r="G85" s="118">
        <f>SUMIFS('Bucket Counts'!$P:$P, 'Bucket Counts'!$F:$F, "224", 'Bucket Counts'!$D:$D, 'Total Larvae to Date'!$A85, 'Bucket Counts'!$A:$A, "&lt;="&amp;'Total Larvae to Date'!G$71)</f>
        <v>1400</v>
      </c>
      <c r="H85" s="118">
        <f>SUMIFS('Bucket Counts'!$P:$P, 'Bucket Counts'!$F:$F, "224", 'Bucket Counts'!$D:$D, 'Total Larvae to Date'!$A85, 'Bucket Counts'!$A:$A, "&lt;="&amp;'Total Larvae to Date'!H$71)</f>
        <v>1500</v>
      </c>
      <c r="I85" s="118">
        <f>SUMIFS('Bucket Counts'!$P:$P, 'Bucket Counts'!$F:$F, "224", 'Bucket Counts'!$D:$D, 'Total Larvae to Date'!$A85, 'Bucket Counts'!$A:$A, "&lt;="&amp;'Total Larvae to Date'!I$71)</f>
        <v>1500</v>
      </c>
      <c r="J85" s="118">
        <f>SUMIFS('Bucket Counts'!$P:$P, 'Bucket Counts'!$F:$F, "224", 'Bucket Counts'!$D:$D, 'Total Larvae to Date'!$A85, 'Bucket Counts'!$A:$A, "&lt;="&amp;'Total Larvae to Date'!J$71)</f>
        <v>1625</v>
      </c>
      <c r="K85" s="118">
        <f>SUMIFS('Bucket Counts'!$P:$P, 'Bucket Counts'!$F:$F, "224", 'Bucket Counts'!$D:$D, 'Total Larvae to Date'!$A85, 'Bucket Counts'!$A:$A, "&lt;="&amp;'Total Larvae to Date'!K$71)</f>
        <v>1760</v>
      </c>
      <c r="L85" s="118">
        <f>SUMIFS('Bucket Counts'!$P:$P, 'Bucket Counts'!$F:$F, "224", 'Bucket Counts'!$D:$D, 'Total Larvae to Date'!$A85, 'Bucket Counts'!$A:$A, "&lt;="&amp;'Total Larvae to Date'!L$71)</f>
        <v>1821.1111111111111</v>
      </c>
      <c r="M85" s="118">
        <f>SUMIFS('Bucket Counts'!$P:$P, 'Bucket Counts'!$F:$F, "224", 'Bucket Counts'!$D:$D, 'Total Larvae to Date'!$A85, 'Bucket Counts'!$A:$A, "&lt;="&amp;'Total Larvae to Date'!M$71)</f>
        <v>1954.4444444444443</v>
      </c>
      <c r="N85" s="118">
        <f>SUMIFS('Bucket Counts'!$P:$P, 'Bucket Counts'!$F:$F, "224", 'Bucket Counts'!$D:$D, 'Total Larvae to Date'!$A85, 'Bucket Counts'!$A:$A, "&lt;="&amp;'Total Larvae to Date'!N$71)</f>
        <v>2047.7777777777776</v>
      </c>
      <c r="O85" s="118">
        <f>SUMIFS('Bucket Counts'!$P:$P, 'Bucket Counts'!$F:$F, "224", 'Bucket Counts'!$D:$D, 'Total Larvae to Date'!$A85, 'Bucket Counts'!$A:$A, "&lt;="&amp;'Total Larvae to Date'!O$71)</f>
        <v>2071.7777777777774</v>
      </c>
      <c r="P85" s="118">
        <f>SUMIFS('Bucket Counts'!$P:$P, 'Bucket Counts'!$F:$F, "224", 'Bucket Counts'!$D:$D, 'Total Larvae to Date'!$A85, 'Bucket Counts'!$A:$A, "&lt;="&amp;'Total Larvae to Date'!P$71)</f>
        <v>2077.7777777777774</v>
      </c>
      <c r="Q85" s="118">
        <f>SUMIFS('Bucket Counts'!$P:$P, 'Bucket Counts'!$F:$F, "224", 'Bucket Counts'!$D:$D, 'Total Larvae to Date'!$A85, 'Bucket Counts'!$A:$A, "&lt;="&amp;'Total Larvae to Date'!Q$71)</f>
        <v>2105.5555555555552</v>
      </c>
      <c r="R85" s="17"/>
    </row>
    <row r="86" spans="1:18">
      <c r="A86" s="24" t="s">
        <v>38</v>
      </c>
      <c r="C86" s="118">
        <f>SUMIFS('Bucket Counts'!$P:$P, 'Bucket Counts'!$F:$F, "224", 'Bucket Counts'!$D:$D, 'Total Larvae to Date'!$A86, 'Bucket Counts'!$A:$A, "&lt;="&amp;'Total Larvae to Date'!C$71)</f>
        <v>0</v>
      </c>
      <c r="D86" s="118">
        <f>SUMIFS('Bucket Counts'!$P:$P, 'Bucket Counts'!$F:$F, "224", 'Bucket Counts'!$D:$D, 'Total Larvae to Date'!$A86, 'Bucket Counts'!$A:$A, "&lt;="&amp;'Total Larvae to Date'!D$71)</f>
        <v>55.55555555555555</v>
      </c>
      <c r="E86" s="118">
        <f>SUMIFS('Bucket Counts'!$P:$P, 'Bucket Counts'!$F:$F, "224", 'Bucket Counts'!$D:$D, 'Total Larvae to Date'!$A86, 'Bucket Counts'!$A:$A, "&lt;="&amp;'Total Larvae to Date'!E$71)</f>
        <v>1105.5555555555557</v>
      </c>
      <c r="F86" s="118">
        <f>SUMIFS('Bucket Counts'!$P:$P, 'Bucket Counts'!$F:$F, "224", 'Bucket Counts'!$D:$D, 'Total Larvae to Date'!$A86, 'Bucket Counts'!$A:$A, "&lt;="&amp;'Total Larvae to Date'!F$71)</f>
        <v>3238.8888888888887</v>
      </c>
      <c r="G86" s="118">
        <f>SUMIFS('Bucket Counts'!$P:$P, 'Bucket Counts'!$F:$F, "224", 'Bucket Counts'!$D:$D, 'Total Larvae to Date'!$A86, 'Bucket Counts'!$A:$A, "&lt;="&amp;'Total Larvae to Date'!G$71)</f>
        <v>7263.8888888888887</v>
      </c>
      <c r="H86" s="118">
        <f>SUMIFS('Bucket Counts'!$P:$P, 'Bucket Counts'!$F:$F, "224", 'Bucket Counts'!$D:$D, 'Total Larvae to Date'!$A86, 'Bucket Counts'!$A:$A, "&lt;="&amp;'Total Larvae to Date'!H$71)</f>
        <v>13513.888888888889</v>
      </c>
      <c r="I86" s="118">
        <f>SUMIFS('Bucket Counts'!$P:$P, 'Bucket Counts'!$F:$F, "224", 'Bucket Counts'!$D:$D, 'Total Larvae to Date'!$A86, 'Bucket Counts'!$A:$A, "&lt;="&amp;'Total Larvae to Date'!I$71)</f>
        <v>15413.888888888889</v>
      </c>
      <c r="J86" s="118">
        <f>SUMIFS('Bucket Counts'!$P:$P, 'Bucket Counts'!$F:$F, "224", 'Bucket Counts'!$D:$D, 'Total Larvae to Date'!$A86, 'Bucket Counts'!$A:$A, "&lt;="&amp;'Total Larvae to Date'!J$71)</f>
        <v>17263.888888888891</v>
      </c>
      <c r="K86" s="118">
        <f>SUMIFS('Bucket Counts'!$P:$P, 'Bucket Counts'!$F:$F, "224", 'Bucket Counts'!$D:$D, 'Total Larvae to Date'!$A86, 'Bucket Counts'!$A:$A, "&lt;="&amp;'Total Larvae to Date'!K$71)</f>
        <v>17903.888888888891</v>
      </c>
      <c r="L86" s="118">
        <f>SUMIFS('Bucket Counts'!$P:$P, 'Bucket Counts'!$F:$F, "224", 'Bucket Counts'!$D:$D, 'Total Larvae to Date'!$A86, 'Bucket Counts'!$A:$A, "&lt;="&amp;'Total Larvae to Date'!L$71)</f>
        <v>21063.888888888891</v>
      </c>
      <c r="M86" s="118">
        <f>SUMIFS('Bucket Counts'!$P:$P, 'Bucket Counts'!$F:$F, "224", 'Bucket Counts'!$D:$D, 'Total Larvae to Date'!$A86, 'Bucket Counts'!$A:$A, "&lt;="&amp;'Total Larvae to Date'!M$71)</f>
        <v>21713.888888888891</v>
      </c>
      <c r="N86" s="118">
        <f>SUMIFS('Bucket Counts'!$P:$P, 'Bucket Counts'!$F:$F, "224", 'Bucket Counts'!$D:$D, 'Total Larvae to Date'!$A86, 'Bucket Counts'!$A:$A, "&lt;="&amp;'Total Larvae to Date'!N$71)</f>
        <v>21908.333333333336</v>
      </c>
      <c r="O86" s="118">
        <f>SUMIFS('Bucket Counts'!$P:$P, 'Bucket Counts'!$F:$F, "224", 'Bucket Counts'!$D:$D, 'Total Larvae to Date'!$A86, 'Bucket Counts'!$A:$A, "&lt;="&amp;'Total Larvae to Date'!O$71)</f>
        <v>21958.333333333336</v>
      </c>
      <c r="P86" s="118">
        <f>SUMIFS('Bucket Counts'!$P:$P, 'Bucket Counts'!$F:$F, "224", 'Bucket Counts'!$D:$D, 'Total Larvae to Date'!$A86, 'Bucket Counts'!$A:$A, "&lt;="&amp;'Total Larvae to Date'!P$71)</f>
        <v>22119.444444444445</v>
      </c>
      <c r="Q86" s="118">
        <f>SUMIFS('Bucket Counts'!$P:$P, 'Bucket Counts'!$F:$F, "224", 'Bucket Counts'!$D:$D, 'Total Larvae to Date'!$A86, 'Bucket Counts'!$A:$A, "&lt;="&amp;'Total Larvae to Date'!Q$71)</f>
        <v>22186.111111111113</v>
      </c>
      <c r="R86" s="17"/>
    </row>
    <row r="87" spans="1:18" s="23" customFormat="1">
      <c r="A87" s="24" t="s">
        <v>46</v>
      </c>
      <c r="B87" s="118"/>
      <c r="C87" s="118">
        <f>SUMIFS('Bucket Counts'!$P:$P, 'Bucket Counts'!$F:$F, "224", 'Bucket Counts'!$D:$D, 'Total Larvae to Date'!$A87, 'Bucket Counts'!$A:$A, "&lt;="&amp;'Total Larvae to Date'!C$71)</f>
        <v>0</v>
      </c>
      <c r="D87" s="118">
        <f>SUMIFS('Bucket Counts'!$P:$P, 'Bucket Counts'!$F:$F, "224", 'Bucket Counts'!$D:$D, 'Total Larvae to Date'!$A87, 'Bucket Counts'!$A:$A, "&lt;="&amp;'Total Larvae to Date'!D$71)</f>
        <v>0</v>
      </c>
      <c r="E87" s="118">
        <f>SUMIFS('Bucket Counts'!$P:$P, 'Bucket Counts'!$F:$F, "224", 'Bucket Counts'!$D:$D, 'Total Larvae to Date'!$A87, 'Bucket Counts'!$A:$A, "&lt;="&amp;'Total Larvae to Date'!E$71)</f>
        <v>183.33333333333331</v>
      </c>
      <c r="F87" s="118">
        <f>SUMIFS('Bucket Counts'!$P:$P, 'Bucket Counts'!$F:$F, "224", 'Bucket Counts'!$D:$D, 'Total Larvae to Date'!$A87, 'Bucket Counts'!$A:$A, "&lt;="&amp;'Total Larvae to Date'!F$71)</f>
        <v>995.83333333333326</v>
      </c>
      <c r="G87" s="118">
        <f>SUMIFS('Bucket Counts'!$P:$P, 'Bucket Counts'!$F:$F, "224", 'Bucket Counts'!$D:$D, 'Total Larvae to Date'!$A87, 'Bucket Counts'!$A:$A, "&lt;="&amp;'Total Larvae to Date'!G$71)</f>
        <v>1395.8333333333333</v>
      </c>
      <c r="H87" s="118">
        <f>SUMIFS('Bucket Counts'!$P:$P, 'Bucket Counts'!$F:$F, "224", 'Bucket Counts'!$D:$D, 'Total Larvae to Date'!$A87, 'Bucket Counts'!$A:$A, "&lt;="&amp;'Total Larvae to Date'!H$71)</f>
        <v>1395.8333333333333</v>
      </c>
      <c r="I87" s="118">
        <f>SUMIFS('Bucket Counts'!$P:$P, 'Bucket Counts'!$F:$F, "224", 'Bucket Counts'!$D:$D, 'Total Larvae to Date'!$A87, 'Bucket Counts'!$A:$A, "&lt;="&amp;'Total Larvae to Date'!I$71)</f>
        <v>2162.5</v>
      </c>
      <c r="J87" s="118">
        <f>SUMIFS('Bucket Counts'!$P:$P, 'Bucket Counts'!$F:$F, "224", 'Bucket Counts'!$D:$D, 'Total Larvae to Date'!$A87, 'Bucket Counts'!$A:$A, "&lt;="&amp;'Total Larvae to Date'!J$71)</f>
        <v>4162.5</v>
      </c>
      <c r="K87" s="118">
        <f>SUMIFS('Bucket Counts'!$P:$P, 'Bucket Counts'!$F:$F, "224", 'Bucket Counts'!$D:$D, 'Total Larvae to Date'!$A87, 'Bucket Counts'!$A:$A, "&lt;="&amp;'Total Larvae to Date'!K$71)</f>
        <v>6162.5</v>
      </c>
      <c r="L87" s="118">
        <f>SUMIFS('Bucket Counts'!$P:$P, 'Bucket Counts'!$F:$F, "224", 'Bucket Counts'!$D:$D, 'Total Larvae to Date'!$A87, 'Bucket Counts'!$A:$A, "&lt;="&amp;'Total Larvae to Date'!L$71)</f>
        <v>7562.5</v>
      </c>
      <c r="M87" s="118">
        <f>SUMIFS('Bucket Counts'!$P:$P, 'Bucket Counts'!$F:$F, "224", 'Bucket Counts'!$D:$D, 'Total Larvae to Date'!$A87, 'Bucket Counts'!$A:$A, "&lt;="&amp;'Total Larvae to Date'!M$71)</f>
        <v>8689.1666666666661</v>
      </c>
      <c r="N87" s="118">
        <f>SUMIFS('Bucket Counts'!$P:$P, 'Bucket Counts'!$F:$F, "224", 'Bucket Counts'!$D:$D, 'Total Larvae to Date'!$A87, 'Bucket Counts'!$A:$A, "&lt;="&amp;'Total Larvae to Date'!N$71)</f>
        <v>9689.1666666666661</v>
      </c>
      <c r="O87" s="118">
        <f>SUMIFS('Bucket Counts'!$P:$P, 'Bucket Counts'!$F:$F, "224", 'Bucket Counts'!$D:$D, 'Total Larvae to Date'!$A87, 'Bucket Counts'!$A:$A, "&lt;="&amp;'Total Larvae to Date'!O$71)</f>
        <v>9716.9444444444434</v>
      </c>
      <c r="P87" s="118">
        <f>SUMIFS('Bucket Counts'!$P:$P, 'Bucket Counts'!$F:$F, "224", 'Bucket Counts'!$D:$D, 'Total Larvae to Date'!$A87, 'Bucket Counts'!$A:$A, "&lt;="&amp;'Total Larvae to Date'!P$71)</f>
        <v>9734.9444444444434</v>
      </c>
      <c r="Q87" s="118">
        <f>SUMIFS('Bucket Counts'!$P:$P, 'Bucket Counts'!$F:$F, "224", 'Bucket Counts'!$D:$D, 'Total Larvae to Date'!$A87, 'Bucket Counts'!$A:$A, "&lt;="&amp;'Total Larvae to Date'!Q$71)</f>
        <v>9734.9444444444434</v>
      </c>
      <c r="R87" s="17"/>
    </row>
    <row r="88" spans="1:18" s="23" customFormat="1">
      <c r="A88" s="231" t="s">
        <v>250</v>
      </c>
      <c r="B88" s="232"/>
      <c r="C88" s="232">
        <f>SUMIFS('Bucket Counts'!$P:$P, 'Bucket Counts'!$F:$F, "224", 'Bucket Counts'!$D:$D, 'Total Larvae to Date'!$A88, 'Bucket Counts'!$A:$A, "&lt;="&amp;'Total Larvae to Date'!C$71)</f>
        <v>0</v>
      </c>
      <c r="D88" s="232">
        <f>'Bucket Counts'!P83</f>
        <v>115.83333333333333</v>
      </c>
      <c r="E88" s="232">
        <f>D88+'Bucket Counts'!P151</f>
        <v>442.49999999999994</v>
      </c>
      <c r="F88" s="232">
        <f>E88+'Bucket Counts'!P209</f>
        <v>4192.5</v>
      </c>
      <c r="G88" s="232"/>
      <c r="H88" s="118"/>
      <c r="I88" s="118"/>
      <c r="J88" s="118"/>
      <c r="K88" s="118"/>
    </row>
    <row r="89" spans="1:18" s="212" customFormat="1" ht="16" thickBot="1">
      <c r="A89" s="233" t="s">
        <v>249</v>
      </c>
      <c r="B89" s="234"/>
      <c r="C89" s="234">
        <f>SUMIFS('Bucket Counts'!$P:$P, 'Bucket Counts'!$F:$F, "224", 'Bucket Counts'!$D:$D, 'Total Larvae to Date'!$A89, 'Bucket Counts'!$A:$A, "&lt;="&amp;'Total Larvae to Date'!C$71)</f>
        <v>0</v>
      </c>
      <c r="D89" s="234">
        <f>SUMIFS('Bucket Counts'!$P:$P, 'Bucket Counts'!$F:$F, "224", 'Bucket Counts'!$D:$D, 'Total Larvae to Date'!$A89, 'Bucket Counts'!$A:$A, "&lt;="&amp;'Total Larvae to Date'!D$71)</f>
        <v>0</v>
      </c>
      <c r="E89" s="234">
        <f>SUMIFS('Bucket Counts'!$P:$P, 'Bucket Counts'!$F:$F, "224", 'Bucket Counts'!$D:$D, 'Total Larvae to Date'!$A89, 'Bucket Counts'!$A:$A, "&lt;="&amp;'Total Larvae to Date'!E$71)</f>
        <v>0</v>
      </c>
      <c r="F89" s="234">
        <f>SUMIFS('Bucket Counts'!$P:$P, 'Bucket Counts'!$F:$F, "224", 'Bucket Counts'!$D:$D, 'Total Larvae to Date'!$A89, 'Bucket Counts'!$A:$A, "&lt;="&amp;'Total Larvae to Date'!F$71)</f>
        <v>0</v>
      </c>
      <c r="G89" s="234">
        <f>'Bucket Counts'!P261</f>
        <v>30333.333333333332</v>
      </c>
      <c r="H89" s="214">
        <f>SUMIFS('Bucket Counts'!$P:$P, 'Bucket Counts'!$F:$F, "224", 'Bucket Counts'!$D:$D, 'Total Larvae to Date'!$A89, 'Bucket Counts'!$A:$A, "&lt;="&amp;'Total Larvae to Date'!H$71)</f>
        <v>0</v>
      </c>
      <c r="I89" s="214"/>
      <c r="J89" s="214"/>
      <c r="K89" s="214"/>
    </row>
    <row r="90" spans="1:18" s="23" customFormat="1" ht="21" thickTop="1">
      <c r="A90" s="24"/>
      <c r="B90" s="118"/>
      <c r="C90" s="422" t="s">
        <v>222</v>
      </c>
      <c r="D90" s="422"/>
      <c r="E90" s="422"/>
      <c r="F90" s="422"/>
      <c r="G90" s="422"/>
      <c r="H90" s="422"/>
      <c r="I90" s="422"/>
      <c r="J90" s="422"/>
      <c r="K90" s="422"/>
      <c r="L90" s="422"/>
    </row>
    <row r="91" spans="1:18" s="207" customFormat="1" ht="18">
      <c r="B91" s="208"/>
      <c r="C91" s="209">
        <f>C27</f>
        <v>42891</v>
      </c>
      <c r="D91" s="209">
        <f t="shared" ref="D91:L91" si="10">D27</f>
        <v>42895</v>
      </c>
      <c r="E91" s="209">
        <f t="shared" si="10"/>
        <v>42898</v>
      </c>
      <c r="F91" s="209">
        <f t="shared" si="10"/>
        <v>42901</v>
      </c>
      <c r="G91" s="209">
        <f t="shared" si="10"/>
        <v>42905</v>
      </c>
      <c r="H91" s="209">
        <f t="shared" si="10"/>
        <v>42908</v>
      </c>
      <c r="I91" s="209">
        <f t="shared" si="10"/>
        <v>42912</v>
      </c>
      <c r="J91" s="209">
        <f t="shared" si="10"/>
        <v>42915</v>
      </c>
      <c r="K91" s="209">
        <f t="shared" si="10"/>
        <v>42919</v>
      </c>
      <c r="L91" s="209">
        <f t="shared" si="10"/>
        <v>42922</v>
      </c>
      <c r="M91" s="209">
        <v>42926</v>
      </c>
      <c r="N91" s="209">
        <v>42929</v>
      </c>
      <c r="O91" s="209"/>
      <c r="P91" s="209"/>
    </row>
    <row r="92" spans="1:18">
      <c r="A92" s="24" t="s">
        <v>84</v>
      </c>
      <c r="C92" s="105">
        <f t="shared" ref="C92:K92" si="11">(C72+C54)/(C28+C29)</f>
        <v>0.79913443200156487</v>
      </c>
      <c r="D92" s="105">
        <f t="shared" si="11"/>
        <v>0.40889575820024043</v>
      </c>
      <c r="E92" s="105">
        <f t="shared" si="11"/>
        <v>0.39314317830546575</v>
      </c>
      <c r="F92" s="105">
        <f t="shared" si="11"/>
        <v>0.35009150872710748</v>
      </c>
      <c r="G92" s="105">
        <f t="shared" si="11"/>
        <v>0.2356054832277126</v>
      </c>
      <c r="H92" s="105">
        <f t="shared" si="11"/>
        <v>8.2880051783719447E-2</v>
      </c>
      <c r="I92" s="105">
        <f t="shared" si="11"/>
        <v>4.0805779731267547E-2</v>
      </c>
      <c r="J92" s="105">
        <f t="shared" si="11"/>
        <v>7.8714385642546153E-2</v>
      </c>
      <c r="K92" s="105">
        <f t="shared" si="11"/>
        <v>1.5028762932879528E-2</v>
      </c>
      <c r="L92" s="105">
        <f t="shared" ref="L92" si="12">(L72+L54)/(L28+L29)</f>
        <v>1.2698495557666807E-2</v>
      </c>
    </row>
    <row r="93" spans="1:18">
      <c r="A93" s="24" t="s">
        <v>76</v>
      </c>
      <c r="C93" s="105">
        <f t="shared" ref="C93:F93" si="13">(C73+C55)/(C30+C31)</f>
        <v>0</v>
      </c>
      <c r="D93" s="105">
        <f t="shared" si="13"/>
        <v>5.3110400786820751E-4</v>
      </c>
      <c r="E93" s="105">
        <f t="shared" si="13"/>
        <v>1.3769363166953527E-3</v>
      </c>
      <c r="F93" s="105">
        <f t="shared" si="13"/>
        <v>3.1472830095893773E-3</v>
      </c>
      <c r="G93" s="105">
        <f t="shared" ref="G93:I93" si="14">(G73+G55)/(G30+G31)</f>
        <v>1.41627735431522E-2</v>
      </c>
      <c r="H93" s="105">
        <f t="shared" si="14"/>
        <v>1.5165970002458814E-2</v>
      </c>
      <c r="I93" s="105">
        <f t="shared" si="14"/>
        <v>1.6444553725104498E-2</v>
      </c>
      <c r="J93" s="105">
        <f>(J73+J55)/(J30+J31)</f>
        <v>1.6444553725104498E-2</v>
      </c>
      <c r="K93" s="105">
        <f t="shared" ref="K93:L93" si="15">(K73+K55)/(K30+K31)</f>
        <v>1.6444553725104498E-2</v>
      </c>
      <c r="L93" s="105">
        <f t="shared" si="15"/>
        <v>1.3190382341348049E-2</v>
      </c>
    </row>
    <row r="94" spans="1:18">
      <c r="A94" s="24" t="s">
        <v>85</v>
      </c>
      <c r="C94" s="105">
        <f t="shared" ref="C94:F94" si="16">(C74+C56)/(C32+C33)</f>
        <v>0.40495030702032025</v>
      </c>
      <c r="D94" s="105">
        <f t="shared" si="16"/>
        <v>0.38146483509527118</v>
      </c>
      <c r="E94" s="105">
        <f t="shared" si="16"/>
        <v>0.35556118250300689</v>
      </c>
      <c r="F94" s="105">
        <f t="shared" si="16"/>
        <v>0.21140722922073807</v>
      </c>
      <c r="G94" s="105">
        <f t="shared" ref="G94:I94" si="17">(G74+G56)/(G32+G33)</f>
        <v>0.1843894410331075</v>
      </c>
      <c r="H94" s="105">
        <f t="shared" si="17"/>
        <v>0.12002278913717793</v>
      </c>
      <c r="I94" s="105">
        <f t="shared" si="17"/>
        <v>0.10685399658249478</v>
      </c>
      <c r="J94" s="105">
        <f>(J74+J56)/(J32+J33)</f>
        <v>9.8095057274856012E-2</v>
      </c>
      <c r="K94" s="105">
        <f t="shared" ref="K94:L94" si="18">(K74+K56)/(K32+K33)</f>
        <v>9.0635613779718571E-2</v>
      </c>
      <c r="L94" s="105">
        <f t="shared" si="18"/>
        <v>8.5623272788642055E-2</v>
      </c>
    </row>
    <row r="95" spans="1:18">
      <c r="A95" s="24" t="s">
        <v>105</v>
      </c>
      <c r="C95" s="105">
        <f t="shared" ref="C95:F95" si="19">(C75+C57)/(C35+C34)</f>
        <v>6.5543278084714551E-2</v>
      </c>
      <c r="D95" s="105">
        <f t="shared" si="19"/>
        <v>0.16358892943022402</v>
      </c>
      <c r="E95" s="105">
        <f t="shared" si="19"/>
        <v>0.23265726368930317</v>
      </c>
      <c r="F95" s="105">
        <f t="shared" si="19"/>
        <v>0.22549188013083402</v>
      </c>
      <c r="G95" s="105">
        <f t="shared" ref="G95:I95" si="20">(G75+G57)/(G35+G34)</f>
        <v>0.21139573000093045</v>
      </c>
      <c r="H95" s="105">
        <f t="shared" si="20"/>
        <v>0.17699045972249736</v>
      </c>
      <c r="I95" s="105">
        <f t="shared" si="20"/>
        <v>0.13469935372580966</v>
      </c>
      <c r="J95" s="105">
        <f>(J75+J57)/(J35+J34)</f>
        <v>9.5033451727091406E-2</v>
      </c>
      <c r="K95" s="105">
        <f t="shared" ref="K95:L95" si="21">(K75+K57)/(K35+K34)</f>
        <v>8.6669022562695777E-2</v>
      </c>
      <c r="L95" s="105">
        <f t="shared" si="21"/>
        <v>7.1045239193325227E-2</v>
      </c>
    </row>
    <row r="96" spans="1:18">
      <c r="A96" s="24" t="s">
        <v>86</v>
      </c>
      <c r="C96" s="105">
        <f t="shared" ref="C96:F96" si="22">(C76+C58)/(C36+C37)</f>
        <v>0.20986162305879505</v>
      </c>
      <c r="D96" s="105">
        <f t="shared" si="22"/>
        <v>0.22284830906197758</v>
      </c>
      <c r="E96" s="105">
        <f t="shared" si="22"/>
        <v>0.16930781316091606</v>
      </c>
      <c r="F96" s="105">
        <f t="shared" si="22"/>
        <v>0.18696026401886937</v>
      </c>
      <c r="G96" s="105">
        <f t="shared" ref="G96:I96" si="23">(G76+G58)/(G36+G37)</f>
        <v>0.13898409682202822</v>
      </c>
      <c r="H96" s="105">
        <f t="shared" si="23"/>
        <v>6.286683419316455E-2</v>
      </c>
      <c r="I96" s="105">
        <f t="shared" si="23"/>
        <v>2.9380033564496214E-2</v>
      </c>
      <c r="J96" s="105">
        <f>(J76+J58)/(J36+J37)</f>
        <v>3.1293565028991548E-2</v>
      </c>
      <c r="K96" s="105">
        <f t="shared" ref="K96:L96" si="24">(K76+K58)/(K36+K37)</f>
        <v>2.9210879158934097E-2</v>
      </c>
      <c r="L96" s="105">
        <f t="shared" si="24"/>
        <v>2.8832316631000682E-2</v>
      </c>
    </row>
    <row r="97" spans="1:12">
      <c r="A97" s="24" t="s">
        <v>135</v>
      </c>
      <c r="C97" s="105" t="e">
        <f t="shared" ref="C97:F97" si="25">(C77+C59)/(C39+C38)</f>
        <v>#VALUE!</v>
      </c>
      <c r="D97" s="105" t="e">
        <f t="shared" si="25"/>
        <v>#VALUE!</v>
      </c>
      <c r="E97" s="105" t="e">
        <f t="shared" si="25"/>
        <v>#VALUE!</v>
      </c>
      <c r="F97" s="105" t="e">
        <f t="shared" si="25"/>
        <v>#VALUE!</v>
      </c>
      <c r="G97" s="105">
        <f t="shared" ref="G97:I97" si="26">(G77+G59)/(G39+G38)</f>
        <v>0</v>
      </c>
      <c r="H97" s="105">
        <f t="shared" si="26"/>
        <v>2.8636064259328191E-4</v>
      </c>
      <c r="I97" s="105">
        <f t="shared" si="26"/>
        <v>5.5517702576526103E-4</v>
      </c>
      <c r="J97" s="105">
        <f>(J77+J59)/(J39+J38)</f>
        <v>6.7025008201478794E-3</v>
      </c>
      <c r="K97" s="105">
        <f t="shared" ref="K97:L97" si="27">(K77+K59)/(K39+K38)</f>
        <v>6.8728392257804026E-3</v>
      </c>
      <c r="L97" s="105">
        <f t="shared" si="27"/>
        <v>6.9502275384628331E-3</v>
      </c>
    </row>
    <row r="98" spans="1:12">
      <c r="A98" s="24" t="s">
        <v>87</v>
      </c>
      <c r="C98" s="105">
        <f t="shared" ref="C98:F98" si="28">(C78+C60)/(C40+C41)</f>
        <v>0.2423597479078417</v>
      </c>
      <c r="D98" s="105">
        <f t="shared" si="28"/>
        <v>0.12269410664172123</v>
      </c>
      <c r="E98" s="105">
        <f t="shared" si="28"/>
        <v>0.14321172435297788</v>
      </c>
      <c r="F98" s="105">
        <f t="shared" si="28"/>
        <v>8.2126598066729006E-2</v>
      </c>
      <c r="G98" s="105">
        <f t="shared" ref="G98:I98" si="29">(G78+G60)/(G40+G41)</f>
        <v>0.14327811608397567</v>
      </c>
      <c r="H98" s="105">
        <f t="shared" si="29"/>
        <v>0.1938437798926135</v>
      </c>
      <c r="I98" s="105">
        <f t="shared" si="29"/>
        <v>0.11110102568757375</v>
      </c>
      <c r="J98" s="105">
        <f>(J78+J60)/(J40+J41)</f>
        <v>4.0252476941230679E-2</v>
      </c>
      <c r="K98" s="105">
        <f t="shared" ref="K98:L98" si="30">(K78+K60)/(K40+K41)</f>
        <v>3.0277217260969647E-2</v>
      </c>
      <c r="L98" s="105">
        <f t="shared" si="30"/>
        <v>2.7199456318091158E-2</v>
      </c>
    </row>
    <row r="99" spans="1:12">
      <c r="A99" s="24" t="s">
        <v>77</v>
      </c>
      <c r="C99" s="105">
        <f t="shared" ref="C99:F99" si="31">(C79+C61)/(C43+C42)</f>
        <v>0.32767245164862435</v>
      </c>
      <c r="D99" s="105">
        <f t="shared" si="31"/>
        <v>0.14689462932203065</v>
      </c>
      <c r="E99" s="105">
        <f t="shared" si="31"/>
        <v>0.18947438761288346</v>
      </c>
      <c r="F99" s="105">
        <f t="shared" si="31"/>
        <v>0.23285994823976172</v>
      </c>
      <c r="G99" s="105">
        <f t="shared" ref="G99:I99" si="32">(G79+G61)/(G43+G42)</f>
        <v>9.4400793029686458E-2</v>
      </c>
      <c r="H99" s="105">
        <f t="shared" si="32"/>
        <v>5.4219230969896177E-2</v>
      </c>
      <c r="I99" s="105">
        <f t="shared" si="32"/>
        <v>2.1882402045181822E-2</v>
      </c>
      <c r="J99" s="105">
        <f>(J79+J61)/(J43+J42)</f>
        <v>1.5512078050816508E-2</v>
      </c>
      <c r="K99" s="105">
        <f t="shared" ref="K99:L99" si="33">(K79+K61)/(K43+K42)</f>
        <v>1.2820994417488392E-2</v>
      </c>
      <c r="L99" s="105">
        <f t="shared" si="33"/>
        <v>1.1927583868106642E-2</v>
      </c>
    </row>
    <row r="100" spans="1:12">
      <c r="A100" s="24" t="s">
        <v>88</v>
      </c>
      <c r="C100" s="105">
        <f t="shared" ref="C100:F100" si="34">(C80+C62)/(C44)</f>
        <v>0.57519123783032</v>
      </c>
      <c r="D100" s="105">
        <f t="shared" si="34"/>
        <v>0.60955247450162264</v>
      </c>
      <c r="E100" s="105">
        <f t="shared" si="34"/>
        <v>0.5041760836810385</v>
      </c>
      <c r="F100" s="105">
        <f t="shared" si="34"/>
        <v>0.35059906699119148</v>
      </c>
      <c r="G100" s="105">
        <f t="shared" ref="G100:I100" si="35">(G80+G62)/(G44)</f>
        <v>0.19056777352804818</v>
      </c>
      <c r="H100" s="105">
        <f t="shared" si="35"/>
        <v>0.23729983508721042</v>
      </c>
      <c r="I100" s="105">
        <f t="shared" si="35"/>
        <v>0.18444875697750676</v>
      </c>
      <c r="J100" s="105">
        <f t="shared" ref="J100:J107" si="36">(J80+J62)/(J44)</f>
        <v>0.11369004142519742</v>
      </c>
      <c r="K100" s="105">
        <f t="shared" ref="K100:L100" si="37">(K80+K62)/(K44)</f>
        <v>0.30195481305191962</v>
      </c>
      <c r="L100" s="105">
        <f t="shared" si="37"/>
        <v>0.31535354167971447</v>
      </c>
    </row>
    <row r="101" spans="1:12">
      <c r="A101" s="24" t="s">
        <v>134</v>
      </c>
      <c r="C101" s="105">
        <f t="shared" ref="C101:F101" si="38">(C81+C63)/(C45)</f>
        <v>0.43539695598519118</v>
      </c>
      <c r="D101" s="105">
        <f t="shared" si="38"/>
        <v>0</v>
      </c>
      <c r="E101" s="105">
        <f t="shared" si="38"/>
        <v>4.0459309494451288E-4</v>
      </c>
      <c r="F101" s="105">
        <f t="shared" si="38"/>
        <v>1.2972922848664688E-2</v>
      </c>
      <c r="G101" s="105">
        <f t="shared" ref="G101:I101" si="39">(G81+G63)/(G45)</f>
        <v>3.0249376558603491E-2</v>
      </c>
      <c r="H101" s="105">
        <f t="shared" si="39"/>
        <v>3.3006508793795873E-2</v>
      </c>
      <c r="I101" s="105">
        <f t="shared" si="39"/>
        <v>3.5081088325961671E-2</v>
      </c>
      <c r="J101" s="105">
        <f t="shared" si="36"/>
        <v>3.7182683286422734E-2</v>
      </c>
      <c r="K101" s="105">
        <f t="shared" ref="K101:L101" si="40">(K81+K63)/(K45)</f>
        <v>3.7890363222088198E-2</v>
      </c>
      <c r="L101" s="105">
        <f t="shared" si="40"/>
        <v>4.036724299691731E-2</v>
      </c>
    </row>
    <row r="102" spans="1:12">
      <c r="A102" s="24" t="s">
        <v>119</v>
      </c>
      <c r="C102" s="105" t="e">
        <f t="shared" ref="C102:F102" si="41">(C82+C64)/(C46)</f>
        <v>#DIV/0!</v>
      </c>
      <c r="D102" s="105" t="e">
        <f t="shared" si="41"/>
        <v>#DIV/0!</v>
      </c>
      <c r="E102" s="105" t="e">
        <f t="shared" si="41"/>
        <v>#DIV/0!</v>
      </c>
      <c r="F102" s="105">
        <f t="shared" si="41"/>
        <v>0.97868020304568526</v>
      </c>
      <c r="G102" s="105">
        <f t="shared" ref="G102:I102" si="42">(G82+G64)/(G46)</f>
        <v>0.57208121827411174</v>
      </c>
      <c r="H102" s="105">
        <f t="shared" si="42"/>
        <v>0.4291370558375634</v>
      </c>
      <c r="I102" s="105">
        <f t="shared" si="42"/>
        <v>0.42335025380710656</v>
      </c>
      <c r="J102" s="105">
        <f t="shared" si="36"/>
        <v>0.29111675126903552</v>
      </c>
      <c r="K102" s="250">
        <f t="shared" ref="K102:L102" si="43">(K82+K64)/(K46)</f>
        <v>8.6294416243654817E-2</v>
      </c>
      <c r="L102" s="250">
        <f t="shared" si="43"/>
        <v>6.0956006768189505E-2</v>
      </c>
    </row>
    <row r="103" spans="1:12">
      <c r="A103" s="24" t="s">
        <v>21</v>
      </c>
      <c r="C103" s="105" t="e">
        <f t="shared" ref="C103:F103" si="44">(C83+C65)/(C47)</f>
        <v>#DIV/0!</v>
      </c>
      <c r="D103" s="105">
        <f t="shared" si="44"/>
        <v>0.69721797064914015</v>
      </c>
      <c r="E103" s="105">
        <f t="shared" si="44"/>
        <v>0.76856036733591415</v>
      </c>
      <c r="F103" s="105">
        <f t="shared" si="44"/>
        <v>0.30611326190690552</v>
      </c>
      <c r="G103" s="105">
        <f t="shared" ref="G103:I103" si="45">(G83+G65)/(G47)</f>
        <v>0.50316004077471976</v>
      </c>
      <c r="H103" s="105">
        <f t="shared" si="45"/>
        <v>0.34840950040950042</v>
      </c>
      <c r="I103" s="105">
        <f t="shared" si="45"/>
        <v>0.10689694931330723</v>
      </c>
      <c r="J103" s="105">
        <f t="shared" si="36"/>
        <v>0.17776781887757878</v>
      </c>
      <c r="K103" s="105">
        <f t="shared" ref="K103:L103" si="46">(K83+K65)/(K47)</f>
        <v>8.8551059788934142E-2</v>
      </c>
      <c r="L103" s="105">
        <f t="shared" si="46"/>
        <v>0.10711884907987738</v>
      </c>
    </row>
    <row r="104" spans="1:12">
      <c r="A104" s="24" t="s">
        <v>17</v>
      </c>
      <c r="C104" s="105">
        <f t="shared" ref="C104:F104" si="47">(C84+C66)/(C48)</f>
        <v>0.48514168102027738</v>
      </c>
      <c r="D104" s="105">
        <f t="shared" si="47"/>
        <v>0.30656154252809525</v>
      </c>
      <c r="E104" s="105">
        <f t="shared" si="47"/>
        <v>0.23876897890506424</v>
      </c>
      <c r="F104" s="105">
        <f t="shared" si="47"/>
        <v>0.20748185244345405</v>
      </c>
      <c r="G104" s="105">
        <f t="shared" ref="G104:I104" si="48">(G84+G66)/(G48)</f>
        <v>0.13676162859449145</v>
      </c>
      <c r="H104" s="105">
        <f t="shared" si="48"/>
        <v>0.1196921320932241</v>
      </c>
      <c r="I104" s="105">
        <f t="shared" si="48"/>
        <v>7.4828148216700321E-2</v>
      </c>
      <c r="J104" s="105">
        <f t="shared" si="36"/>
        <v>6.1275379307862754E-2</v>
      </c>
      <c r="K104" s="105">
        <f t="shared" ref="K104:L104" si="49">(K84+K66)/(K48)</f>
        <v>5.5421878775726352E-2</v>
      </c>
      <c r="L104" s="105">
        <f t="shared" si="49"/>
        <v>5.1131368284669833E-2</v>
      </c>
    </row>
    <row r="105" spans="1:12">
      <c r="A105" s="24" t="s">
        <v>37</v>
      </c>
      <c r="C105" s="105">
        <f t="shared" ref="C105:F105" si="50">(C85+C67)/(C49)</f>
        <v>0.49575592295892273</v>
      </c>
      <c r="D105" s="105">
        <f t="shared" si="50"/>
        <v>0</v>
      </c>
      <c r="E105" s="105">
        <f t="shared" si="50"/>
        <v>6.5766809683379798E-3</v>
      </c>
      <c r="F105" s="105">
        <f t="shared" si="50"/>
        <v>6.5766809683379798E-3</v>
      </c>
      <c r="G105" s="105">
        <f t="shared" ref="G105:I105" si="51">(G85+G67)/(G49)</f>
        <v>6.5766809683379798E-3</v>
      </c>
      <c r="H105" s="105">
        <f t="shared" si="51"/>
        <v>6.6408901744340488E-3</v>
      </c>
      <c r="I105" s="105">
        <f t="shared" si="51"/>
        <v>6.6408901744340488E-3</v>
      </c>
      <c r="J105" s="105">
        <f t="shared" si="36"/>
        <v>7.19429768897022E-3</v>
      </c>
      <c r="K105" s="105">
        <f t="shared" ref="K105:L105" si="52">(K85+K67)/(K49)</f>
        <v>7.7919778046692846E-3</v>
      </c>
      <c r="L105" s="105">
        <f t="shared" si="52"/>
        <v>8.0625325895536341E-3</v>
      </c>
    </row>
    <row r="106" spans="1:12">
      <c r="A106" s="24" t="s">
        <v>38</v>
      </c>
      <c r="C106" s="105">
        <f t="shared" ref="C106:F106" si="53">(C86+C68)/(C50)</f>
        <v>0.33093348207262485</v>
      </c>
      <c r="D106" s="105">
        <f t="shared" si="53"/>
        <v>0.24483059452811029</v>
      </c>
      <c r="E106" s="105">
        <f t="shared" si="53"/>
        <v>0.38267023934696837</v>
      </c>
      <c r="F106" s="105">
        <f t="shared" si="53"/>
        <v>0.31044341436844852</v>
      </c>
      <c r="G106" s="105">
        <f t="shared" ref="G106:I106" si="54">(G86+G68)/(G50)</f>
        <v>0.19049810473427375</v>
      </c>
      <c r="H106" s="105">
        <f t="shared" si="54"/>
        <v>0.25294177724355205</v>
      </c>
      <c r="I106" s="105">
        <f t="shared" si="54"/>
        <v>0.17147913810513163</v>
      </c>
      <c r="J106" s="105">
        <f t="shared" si="36"/>
        <v>0.18998465725372699</v>
      </c>
      <c r="K106" s="105">
        <f t="shared" ref="K106:L106" si="55">(K86+K68)/(K50)</f>
        <v>0.1301903474181943</v>
      </c>
      <c r="L106" s="105">
        <f t="shared" si="55"/>
        <v>0.10838700153741544</v>
      </c>
    </row>
    <row r="107" spans="1:12" s="212" customFormat="1" ht="16" thickBot="1">
      <c r="A107" s="215" t="s">
        <v>46</v>
      </c>
      <c r="B107" s="214"/>
      <c r="C107" s="218">
        <f t="shared" ref="C107:E107" si="56">(C89+C69)/(C51)</f>
        <v>1.6489764973464747E-2</v>
      </c>
      <c r="D107" s="218">
        <f t="shared" si="56"/>
        <v>0.31336362793285732</v>
      </c>
      <c r="E107" s="218">
        <f t="shared" si="56"/>
        <v>0.27539182045812854</v>
      </c>
      <c r="F107" s="218">
        <f>(F87+F69)/(F51)</f>
        <v>0.19059167207641664</v>
      </c>
      <c r="G107" s="218">
        <f>(G87+G69)/(G51)</f>
        <v>0.20427988500417324</v>
      </c>
      <c r="H107" s="218">
        <f>(H87+H69)/(H51)</f>
        <v>0.17043030696466663</v>
      </c>
      <c r="I107" s="218">
        <f>(I87+I69)/(I51)</f>
        <v>0.12610127051840861</v>
      </c>
      <c r="J107" s="218">
        <f t="shared" si="36"/>
        <v>0.15410831864972643</v>
      </c>
      <c r="K107" s="218">
        <f>(K87+K69)/(K51)</f>
        <v>0.12568394695353799</v>
      </c>
      <c r="L107" s="218">
        <f>(L87+L69)/(L51)</f>
        <v>8.2106092924047122E-2</v>
      </c>
    </row>
    <row r="108" spans="1:12" ht="17" thickTop="1" thickBot="1"/>
    <row r="109" spans="1:12" ht="29" customHeight="1">
      <c r="C109" s="220" t="s">
        <v>391</v>
      </c>
      <c r="D109" s="220" t="s">
        <v>390</v>
      </c>
      <c r="E109" s="220" t="s">
        <v>392</v>
      </c>
      <c r="G109" s="383" t="s">
        <v>395</v>
      </c>
      <c r="H109" s="280" t="s">
        <v>391</v>
      </c>
      <c r="I109" s="280" t="s">
        <v>393</v>
      </c>
      <c r="J109" s="281" t="s">
        <v>394</v>
      </c>
    </row>
    <row r="110" spans="1:12">
      <c r="A110" s="14" t="s">
        <v>98</v>
      </c>
      <c r="C110">
        <f>COUNTIFS(Collection!P:P,"&lt;&gt;*n/a*",Collection!P:P,"?*",Collection!B:B, 'Total Larvae to Date'!A110)</f>
        <v>3</v>
      </c>
      <c r="D110" s="17">
        <f>SUMIFS(Collection!Q:Q,Collection!P:P,"&lt;&gt;*n/a*",Collection!P:P,"?*",Collection!B:B, 'Total Larvae to Date'!A110)</f>
        <v>481353.33333333331</v>
      </c>
      <c r="E110" s="17">
        <f>D110/C110</f>
        <v>160451.11111111109</v>
      </c>
      <c r="G110" s="203" t="s">
        <v>84</v>
      </c>
      <c r="H110" s="23">
        <f>SUM(C110:C111)</f>
        <v>5</v>
      </c>
      <c r="I110" s="118">
        <f>SUM(D110:D111)</f>
        <v>550120</v>
      </c>
      <c r="J110" s="384">
        <f>I110/H110</f>
        <v>110024</v>
      </c>
    </row>
    <row r="111" spans="1:12">
      <c r="A111" s="7" t="s">
        <v>31</v>
      </c>
      <c r="C111">
        <f>COUNTIFS(Collection!P:P,"&lt;&gt;*n/a*",Collection!P:P,"?*",Collection!B:B, 'Total Larvae to Date'!A111)</f>
        <v>2</v>
      </c>
      <c r="D111" s="17">
        <f>SUMIFS(Collection!Q:Q,Collection!P:P,"&lt;&gt;*n/a*",Collection!P:P,"?*",Collection!B:B, 'Total Larvae to Date'!A111)</f>
        <v>68766.666666666657</v>
      </c>
      <c r="E111" s="17">
        <f t="shared" ref="E111:E133" si="57">D111/C111</f>
        <v>34383.333333333328</v>
      </c>
      <c r="G111" s="203" t="s">
        <v>83</v>
      </c>
      <c r="H111" s="23">
        <f>SUM(C112:C113)</f>
        <v>2</v>
      </c>
      <c r="I111" s="118">
        <f>SUM(D112:D113)</f>
        <v>157116.66666666663</v>
      </c>
      <c r="J111" s="384">
        <f t="shared" ref="J111:J125" si="58">I111/H111</f>
        <v>78558.333333333314</v>
      </c>
    </row>
    <row r="112" spans="1:12">
      <c r="A112" s="14" t="s">
        <v>49</v>
      </c>
      <c r="C112">
        <f>COUNTIFS(Collection!P:P,"&lt;&gt;*n/a*",Collection!P:P,"?*",Collection!B:B, 'Total Larvae to Date'!A112)</f>
        <v>0</v>
      </c>
      <c r="D112" s="17">
        <f>SUMIFS(Collection!Q:Q,Collection!P:P,"&lt;&gt;*n/a*",Collection!P:P,"?*",Collection!B:B, 'Total Larvae to Date'!A112)</f>
        <v>0</v>
      </c>
      <c r="E112" s="17" t="e">
        <f t="shared" si="57"/>
        <v>#DIV/0!</v>
      </c>
      <c r="G112" s="203" t="s">
        <v>85</v>
      </c>
      <c r="H112" s="23">
        <f>SUM(C114:C115)</f>
        <v>2</v>
      </c>
      <c r="I112" s="118">
        <f>SUM(D114:D115)</f>
        <v>146033.33333333331</v>
      </c>
      <c r="J112" s="384">
        <f t="shared" si="58"/>
        <v>73016.666666666657</v>
      </c>
    </row>
    <row r="113" spans="1:10">
      <c r="A113" s="7" t="s">
        <v>47</v>
      </c>
      <c r="C113">
        <f>COUNTIFS(Collection!P:P,"&lt;&gt;*n/a*",Collection!P:P,"?*",Collection!B:B, 'Total Larvae to Date'!A113)</f>
        <v>2</v>
      </c>
      <c r="D113" s="17">
        <f>SUMIFS(Collection!Q:Q,Collection!P:P,"&lt;&gt;*n/a*",Collection!P:P,"?*",Collection!B:B, 'Total Larvae to Date'!A113)</f>
        <v>157116.66666666663</v>
      </c>
      <c r="E113" s="17">
        <f t="shared" si="57"/>
        <v>78558.333333333314</v>
      </c>
      <c r="G113" s="203" t="s">
        <v>105</v>
      </c>
      <c r="H113" s="23">
        <f>SUM(C116:C117)</f>
        <v>7</v>
      </c>
      <c r="I113" s="118">
        <f>SUM(D116:D117)</f>
        <v>752835</v>
      </c>
      <c r="J113" s="384">
        <f t="shared" si="58"/>
        <v>107547.85714285714</v>
      </c>
    </row>
    <row r="114" spans="1:10">
      <c r="A114" s="7" t="s">
        <v>50</v>
      </c>
      <c r="C114">
        <f>COUNTIFS(Collection!P:P,"&lt;&gt;*n/a*",Collection!P:P,"?*",Collection!B:B, 'Total Larvae to Date'!A114)</f>
        <v>1</v>
      </c>
      <c r="D114" s="17">
        <f>SUMIFS(Collection!Q:Q,Collection!P:P,"&lt;&gt;*n/a*",Collection!P:P,"?*",Collection!B:B, 'Total Larvae to Date'!A114)</f>
        <v>60599.999999999985</v>
      </c>
      <c r="E114" s="17">
        <f t="shared" si="57"/>
        <v>60599.999999999985</v>
      </c>
      <c r="G114" s="203" t="s">
        <v>86</v>
      </c>
      <c r="H114" s="23">
        <f>SUM(C118:C119)</f>
        <v>13</v>
      </c>
      <c r="I114" s="118">
        <f>SUM(D118:D119)</f>
        <v>1332420</v>
      </c>
      <c r="J114" s="384">
        <f t="shared" si="58"/>
        <v>102493.84615384616</v>
      </c>
    </row>
    <row r="115" spans="1:10">
      <c r="A115" s="14" t="s">
        <v>39</v>
      </c>
      <c r="C115">
        <f>COUNTIFS(Collection!P:P,"&lt;&gt;*n/a*",Collection!P:P,"?*",Collection!B:B, 'Total Larvae to Date'!A115)</f>
        <v>1</v>
      </c>
      <c r="D115" s="17">
        <f>SUMIFS(Collection!Q:Q,Collection!P:P,"&lt;&gt;*n/a*",Collection!P:P,"?*",Collection!B:B, 'Total Larvae to Date'!A115)</f>
        <v>85433.333333333328</v>
      </c>
      <c r="E115" s="17">
        <f t="shared" si="57"/>
        <v>85433.333333333328</v>
      </c>
      <c r="G115" s="203" t="s">
        <v>74</v>
      </c>
      <c r="H115" s="23">
        <f>SUM(C120:C121)</f>
        <v>8</v>
      </c>
      <c r="I115" s="118">
        <f>SUM(D120:D121)</f>
        <v>725306.66666666674</v>
      </c>
      <c r="J115" s="384">
        <f t="shared" si="58"/>
        <v>90663.333333333343</v>
      </c>
    </row>
    <row r="116" spans="1:10">
      <c r="A116" s="7" t="s">
        <v>121</v>
      </c>
      <c r="C116">
        <f>COUNTIFS(Collection!P:P,"&lt;&gt;*n/a*",Collection!P:P,"?*",Collection!B:B, 'Total Larvae to Date'!A116)</f>
        <v>4</v>
      </c>
      <c r="D116" s="17">
        <f>SUMIFS(Collection!Q:Q,Collection!P:P,"&lt;&gt;*n/a*",Collection!P:P,"?*",Collection!B:B, 'Total Larvae to Date'!A116)</f>
        <v>336685</v>
      </c>
      <c r="E116" s="17">
        <f t="shared" si="57"/>
        <v>84171.25</v>
      </c>
      <c r="G116" s="203" t="s">
        <v>87</v>
      </c>
      <c r="H116" s="23">
        <f>SUM(C122:C123)</f>
        <v>7</v>
      </c>
      <c r="I116" s="118">
        <f>SUM(D122:D123)</f>
        <v>947383.33333333337</v>
      </c>
      <c r="J116" s="384">
        <f t="shared" si="58"/>
        <v>135340.47619047618</v>
      </c>
    </row>
    <row r="117" spans="1:10">
      <c r="A117" s="14" t="s">
        <v>97</v>
      </c>
      <c r="C117">
        <f>COUNTIFS(Collection!P:P,"&lt;&gt;*n/a*",Collection!P:P,"?*",Collection!B:B, 'Total Larvae to Date'!A117)</f>
        <v>3</v>
      </c>
      <c r="D117" s="17">
        <f>SUMIFS(Collection!Q:Q,Collection!P:P,"&lt;&gt;*n/a*",Collection!P:P,"?*",Collection!B:B, 'Total Larvae to Date'!A117)</f>
        <v>416150</v>
      </c>
      <c r="E117" s="17">
        <f t="shared" si="57"/>
        <v>138716.66666666666</v>
      </c>
      <c r="G117" s="203" t="s">
        <v>77</v>
      </c>
      <c r="H117" s="23">
        <f>SUM(C124:C125)</f>
        <v>10</v>
      </c>
      <c r="I117" s="118">
        <f>SUM(D124:D125)</f>
        <v>1474860</v>
      </c>
      <c r="J117" s="384">
        <f t="shared" si="58"/>
        <v>147486</v>
      </c>
    </row>
    <row r="118" spans="1:10">
      <c r="A118" s="7" t="s">
        <v>27</v>
      </c>
      <c r="C118">
        <f>COUNTIFS(Collection!P:P,"&lt;&gt;*n/a*",Collection!P:P,"?*",Collection!B:B, 'Total Larvae to Date'!A118)</f>
        <v>6</v>
      </c>
      <c r="D118" s="17">
        <f>SUMIFS(Collection!Q:Q,Collection!P:P,"&lt;&gt;*n/a*",Collection!P:P,"?*",Collection!B:B, 'Total Larvae to Date'!A118)</f>
        <v>941696.66666666674</v>
      </c>
      <c r="E118" s="17">
        <f t="shared" si="57"/>
        <v>156949.44444444447</v>
      </c>
      <c r="G118" s="203" t="s">
        <v>88</v>
      </c>
      <c r="H118" s="23">
        <f t="shared" ref="H118:I125" si="59">C126</f>
        <v>4</v>
      </c>
      <c r="I118" s="118">
        <f t="shared" si="59"/>
        <v>306610</v>
      </c>
      <c r="J118" s="384">
        <f t="shared" si="58"/>
        <v>76652.5</v>
      </c>
    </row>
    <row r="119" spans="1:10">
      <c r="A119" s="7" t="s">
        <v>23</v>
      </c>
      <c r="C119">
        <f>COUNTIFS(Collection!P:P,"&lt;&gt;*n/a*",Collection!P:P,"?*",Collection!B:B, 'Total Larvae to Date'!A119)</f>
        <v>7</v>
      </c>
      <c r="D119" s="17">
        <f>SUMIFS(Collection!Q:Q,Collection!P:P,"&lt;&gt;*n/a*",Collection!P:P,"?*",Collection!B:B, 'Total Larvae to Date'!A119)</f>
        <v>390723.33333333331</v>
      </c>
      <c r="E119" s="17">
        <f t="shared" si="57"/>
        <v>55817.619047619046</v>
      </c>
      <c r="G119" s="203" t="s">
        <v>109</v>
      </c>
      <c r="H119" s="23">
        <f t="shared" si="59"/>
        <v>5</v>
      </c>
      <c r="I119" s="118">
        <f t="shared" si="59"/>
        <v>394313.33333333331</v>
      </c>
      <c r="J119" s="384">
        <f t="shared" si="58"/>
        <v>78862.666666666657</v>
      </c>
    </row>
    <row r="120" spans="1:10">
      <c r="A120" s="7" t="s">
        <v>24</v>
      </c>
      <c r="C120">
        <f>COUNTIFS(Collection!P:P,"&lt;&gt;*n/a*",Collection!P:P,"?*",Collection!B:B, 'Total Larvae to Date'!A120)</f>
        <v>2</v>
      </c>
      <c r="D120" s="17">
        <f>SUMIFS(Collection!Q:Q,Collection!P:P,"&lt;&gt;*n/a*",Collection!P:P,"?*",Collection!B:B, 'Total Larvae to Date'!A120)</f>
        <v>32900</v>
      </c>
      <c r="E120" s="17">
        <f t="shared" si="57"/>
        <v>16450</v>
      </c>
      <c r="G120" s="203" t="s">
        <v>119</v>
      </c>
      <c r="H120" s="23">
        <f t="shared" si="59"/>
        <v>1</v>
      </c>
      <c r="I120" s="118">
        <f t="shared" si="59"/>
        <v>39400</v>
      </c>
      <c r="J120" s="384">
        <f t="shared" si="58"/>
        <v>39400</v>
      </c>
    </row>
    <row r="121" spans="1:10">
      <c r="A121" s="14" t="s">
        <v>34</v>
      </c>
      <c r="C121">
        <f>COUNTIFS(Collection!P:P,"&lt;&gt;*n/a*",Collection!P:P,"?*",Collection!B:B, 'Total Larvae to Date'!A121)</f>
        <v>6</v>
      </c>
      <c r="D121" s="17">
        <f>SUMIFS(Collection!Q:Q,Collection!P:P,"&lt;&gt;*n/a*",Collection!P:P,"?*",Collection!B:B, 'Total Larvae to Date'!A121)</f>
        <v>692406.66666666674</v>
      </c>
      <c r="E121" s="17">
        <f t="shared" si="57"/>
        <v>115401.11111111112</v>
      </c>
      <c r="G121" s="203" t="s">
        <v>21</v>
      </c>
      <c r="H121" s="23">
        <f t="shared" si="59"/>
        <v>3</v>
      </c>
      <c r="I121" s="118">
        <f t="shared" si="59"/>
        <v>553900</v>
      </c>
      <c r="J121" s="384">
        <f t="shared" si="58"/>
        <v>184633.33333333334</v>
      </c>
    </row>
    <row r="122" spans="1:10">
      <c r="A122" s="14" t="s">
        <v>25</v>
      </c>
      <c r="C122">
        <f>COUNTIFS(Collection!P:P,"&lt;&gt;*n/a*",Collection!P:P,"?*",Collection!B:B, 'Total Larvae to Date'!A122)</f>
        <v>1</v>
      </c>
      <c r="D122" s="17">
        <f>SUMIFS(Collection!Q:Q,Collection!P:P,"&lt;&gt;*n/a*",Collection!P:P,"?*",Collection!B:B, 'Total Larvae to Date'!A122)</f>
        <v>107100</v>
      </c>
      <c r="E122" s="17">
        <f t="shared" si="57"/>
        <v>107100</v>
      </c>
      <c r="G122" s="203" t="s">
        <v>17</v>
      </c>
      <c r="H122" s="23">
        <f t="shared" si="59"/>
        <v>3</v>
      </c>
      <c r="I122" s="118">
        <f t="shared" si="59"/>
        <v>27843.333333333328</v>
      </c>
      <c r="J122" s="384">
        <f t="shared" si="58"/>
        <v>9281.1111111111095</v>
      </c>
    </row>
    <row r="123" spans="1:10">
      <c r="A123" s="7" t="s">
        <v>36</v>
      </c>
      <c r="C123">
        <f>COUNTIFS(Collection!P:P,"&lt;&gt;*n/a*",Collection!P:P,"?*",Collection!B:B, 'Total Larvae to Date'!A123)</f>
        <v>6</v>
      </c>
      <c r="D123" s="17">
        <f>SUMIFS(Collection!Q:Q,Collection!P:P,"&lt;&gt;*n/a*",Collection!P:P,"?*",Collection!B:B, 'Total Larvae to Date'!A123)</f>
        <v>840283.33333333337</v>
      </c>
      <c r="E123" s="17">
        <f t="shared" si="57"/>
        <v>140047.22222222222</v>
      </c>
      <c r="G123" s="203" t="s">
        <v>20</v>
      </c>
      <c r="H123" s="23">
        <f t="shared" si="59"/>
        <v>3</v>
      </c>
      <c r="I123" s="118">
        <f t="shared" si="59"/>
        <v>338016.66666666663</v>
      </c>
      <c r="J123" s="384">
        <f t="shared" si="58"/>
        <v>112672.2222222222</v>
      </c>
    </row>
    <row r="124" spans="1:10">
      <c r="A124" s="7" t="s">
        <v>44</v>
      </c>
      <c r="C124">
        <f>COUNTIFS(Collection!P:P,"&lt;&gt;*n/a*",Collection!P:P,"?*",Collection!B:B, 'Total Larvae to Date'!A124)</f>
        <v>4</v>
      </c>
      <c r="D124" s="17">
        <f>SUMIFS(Collection!Q:Q,Collection!P:P,"&lt;&gt;*n/a*",Collection!P:P,"?*",Collection!B:B, 'Total Larvae to Date'!A124)</f>
        <v>399900.00000000006</v>
      </c>
      <c r="E124" s="17">
        <f t="shared" si="57"/>
        <v>99975.000000000015</v>
      </c>
      <c r="G124" s="203" t="s">
        <v>38</v>
      </c>
      <c r="H124" s="23">
        <f t="shared" si="59"/>
        <v>4</v>
      </c>
      <c r="I124" s="118">
        <f t="shared" si="59"/>
        <v>163776.66666666669</v>
      </c>
      <c r="J124" s="384">
        <f t="shared" si="58"/>
        <v>40944.166666666672</v>
      </c>
    </row>
    <row r="125" spans="1:10" ht="16" thickBot="1">
      <c r="A125" s="7" t="s">
        <v>48</v>
      </c>
      <c r="C125">
        <f>COUNTIFS(Collection!P:P,"&lt;&gt;*n/a*",Collection!P:P,"?*",Collection!B:B, 'Total Larvae to Date'!A125)</f>
        <v>6</v>
      </c>
      <c r="D125" s="17">
        <f>SUMIFS(Collection!Q:Q,Collection!P:P,"&lt;&gt;*n/a*",Collection!P:P,"?*",Collection!B:B, 'Total Larvae to Date'!A125)</f>
        <v>1074960</v>
      </c>
      <c r="E125" s="17">
        <f t="shared" si="57"/>
        <v>179160</v>
      </c>
      <c r="G125" s="204" t="s">
        <v>46</v>
      </c>
      <c r="H125" s="27">
        <f t="shared" si="59"/>
        <v>5</v>
      </c>
      <c r="I125" s="119">
        <f t="shared" si="59"/>
        <v>190356.66666666666</v>
      </c>
      <c r="J125" s="385">
        <f t="shared" si="58"/>
        <v>38071.333333333328</v>
      </c>
    </row>
    <row r="126" spans="1:10">
      <c r="A126" s="14" t="s">
        <v>88</v>
      </c>
      <c r="C126">
        <f>COUNTIFS(Collection!P:P,"&lt;&gt;*n/a*",Collection!P:P,"?*",Collection!B:B, 'Total Larvae to Date'!A126)</f>
        <v>4</v>
      </c>
      <c r="D126" s="17">
        <f>SUMIFS(Collection!Q:Q,Collection!P:P,"&lt;&gt;*n/a*",Collection!P:P,"?*",Collection!B:B, 'Total Larvae to Date'!A126)</f>
        <v>306610</v>
      </c>
      <c r="E126" s="17">
        <f t="shared" si="57"/>
        <v>76652.5</v>
      </c>
      <c r="H126" s="258"/>
    </row>
    <row r="127" spans="1:10">
      <c r="A127" s="14" t="s">
        <v>109</v>
      </c>
      <c r="C127">
        <f>COUNTIFS(Collection!P:P,"&lt;&gt;*n/a*",Collection!P:P,"?*",Collection!B:B, 'Total Larvae to Date'!A127)</f>
        <v>5</v>
      </c>
      <c r="D127" s="17">
        <f>SUMIFS(Collection!Q:Q,Collection!P:P,"&lt;&gt;*n/a*",Collection!P:P,"?*",Collection!B:B, 'Total Larvae to Date'!A127)</f>
        <v>394313.33333333331</v>
      </c>
      <c r="E127" s="17">
        <f t="shared" si="57"/>
        <v>78862.666666666657</v>
      </c>
    </row>
    <row r="128" spans="1:10">
      <c r="A128" s="14" t="s">
        <v>119</v>
      </c>
      <c r="C128">
        <f>COUNTIFS(Collection!P:P,"&lt;&gt;*n/a*",Collection!P:P,"?*",Collection!B:B, 'Total Larvae to Date'!A128)</f>
        <v>1</v>
      </c>
      <c r="D128" s="17">
        <f>SUMIFS(Collection!Q:Q,Collection!P:P,"&lt;&gt;*n/a*",Collection!P:P,"?*",Collection!B:B, 'Total Larvae to Date'!A128)</f>
        <v>39400</v>
      </c>
      <c r="E128" s="17">
        <f t="shared" si="57"/>
        <v>39400</v>
      </c>
    </row>
    <row r="129" spans="1:5">
      <c r="A129" s="7" t="s">
        <v>21</v>
      </c>
      <c r="C129">
        <f>COUNTIFS(Collection!P:P,"&lt;&gt;*n/a*",Collection!P:P,"?*",Collection!B:B, 'Total Larvae to Date'!A129)</f>
        <v>3</v>
      </c>
      <c r="D129" s="17">
        <f>SUMIFS(Collection!Q:Q,Collection!P:P,"&lt;&gt;*n/a*",Collection!P:P,"?*",Collection!B:B, 'Total Larvae to Date'!A129)</f>
        <v>553900</v>
      </c>
      <c r="E129" s="17">
        <f t="shared" si="57"/>
        <v>184633.33333333334</v>
      </c>
    </row>
    <row r="130" spans="1:5">
      <c r="A130" s="14" t="s">
        <v>17</v>
      </c>
      <c r="C130">
        <f>COUNTIFS(Collection!P:P,"&lt;&gt;*n/a*",Collection!P:P,"?*",Collection!B:B, 'Total Larvae to Date'!A130)</f>
        <v>3</v>
      </c>
      <c r="D130" s="17">
        <f>SUMIFS(Collection!Q:Q,Collection!P:P,"&lt;&gt;*n/a*",Collection!P:P,"?*",Collection!B:B, 'Total Larvae to Date'!A130)</f>
        <v>27843.333333333328</v>
      </c>
      <c r="E130" s="17">
        <f t="shared" si="57"/>
        <v>9281.1111111111095</v>
      </c>
    </row>
    <row r="131" spans="1:5">
      <c r="A131" s="7" t="s">
        <v>20</v>
      </c>
      <c r="C131">
        <f>COUNTIFS(Collection!P:P,"&lt;&gt;*n/a*",Collection!P:P,"?*",Collection!B:B, 'Total Larvae to Date'!A131)</f>
        <v>3</v>
      </c>
      <c r="D131" s="17">
        <f>SUMIFS(Collection!Q:Q,Collection!P:P,"&lt;&gt;*n/a*",Collection!P:P,"?*",Collection!B:B, 'Total Larvae to Date'!A131)</f>
        <v>338016.66666666663</v>
      </c>
      <c r="E131" s="17">
        <f t="shared" si="57"/>
        <v>112672.2222222222</v>
      </c>
    </row>
    <row r="132" spans="1:5">
      <c r="A132" s="7" t="s">
        <v>38</v>
      </c>
      <c r="C132">
        <f>COUNTIFS(Collection!P:P,"&lt;&gt;*n/a*",Collection!P:P,"?*",Collection!B:B, 'Total Larvae to Date'!A132)</f>
        <v>4</v>
      </c>
      <c r="D132" s="17">
        <f>SUMIFS(Collection!Q:Q,Collection!P:P,"&lt;&gt;*n/a*",Collection!P:P,"?*",Collection!B:B, 'Total Larvae to Date'!A132)</f>
        <v>163776.66666666669</v>
      </c>
      <c r="E132" s="17">
        <f t="shared" si="57"/>
        <v>40944.166666666672</v>
      </c>
    </row>
    <row r="133" spans="1:5" ht="16" thickBot="1">
      <c r="A133" s="213" t="s">
        <v>46</v>
      </c>
      <c r="C133">
        <f>COUNTIFS(Collection!P:P,"&lt;&gt;*n/a*",Collection!P:P,"?*",Collection!B:B, 'Total Larvae to Date'!A133)</f>
        <v>5</v>
      </c>
      <c r="D133" s="17">
        <f>SUMIFS(Collection!Q:Q,Collection!P:P,"&lt;&gt;*n/a*",Collection!P:P,"?*",Collection!B:B, 'Total Larvae to Date'!A133)</f>
        <v>190356.66666666666</v>
      </c>
      <c r="E133" s="17">
        <f t="shared" si="57"/>
        <v>38071.333333333328</v>
      </c>
    </row>
    <row r="134" spans="1:5" ht="16" thickTop="1"/>
    <row r="152" spans="10:10">
      <c r="J152">
        <v>4</v>
      </c>
    </row>
  </sheetData>
  <sortState ref="A41:A44">
    <sortCondition ref="A15"/>
  </sortState>
  <mergeCells count="9">
    <mergeCell ref="C52:K52"/>
    <mergeCell ref="C26:K26"/>
    <mergeCell ref="C70:K70"/>
    <mergeCell ref="C90:L90"/>
    <mergeCell ref="AC2:AC5"/>
    <mergeCell ref="AC6:AC9"/>
    <mergeCell ref="AC10:AC13"/>
    <mergeCell ref="AC14:AC17"/>
    <mergeCell ref="AC18:AC21"/>
  </mergeCells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1"/>
  <sheetViews>
    <sheetView showRuler="0" topLeftCell="AP1" zoomScale="80" zoomScaleNormal="80" zoomScalePageLayoutView="80" workbookViewId="0">
      <selection activeCell="J152" sqref="J152"/>
    </sheetView>
  </sheetViews>
  <sheetFormatPr baseColWidth="10" defaultRowHeight="15" x14ac:dyDescent="0"/>
  <cols>
    <col min="1" max="1" width="10.83203125" style="30"/>
    <col min="2" max="2" width="15.33203125" style="30" bestFit="1" customWidth="1"/>
    <col min="3" max="3" width="10.6640625" style="30" customWidth="1"/>
    <col min="4" max="4" width="14.33203125" style="30" bestFit="1" customWidth="1"/>
    <col min="5" max="5" width="9.6640625" style="30" customWidth="1"/>
    <col min="6" max="6" width="11.83203125" style="30" customWidth="1"/>
    <col min="7" max="7" width="13.1640625" style="30" customWidth="1"/>
    <col min="8" max="8" width="10.83203125" style="30" customWidth="1"/>
    <col min="9" max="9" width="9.5" style="30" customWidth="1"/>
    <col min="10" max="10" width="11.5" style="30" bestFit="1" customWidth="1"/>
    <col min="11" max="11" width="9.5" style="30" customWidth="1"/>
    <col min="12" max="12" width="11.5" style="30" bestFit="1" customWidth="1"/>
    <col min="13" max="13" width="10.83203125" style="30" customWidth="1"/>
    <col min="14" max="14" width="11.5" style="30" bestFit="1" customWidth="1"/>
    <col min="15" max="15" width="12" style="30" customWidth="1"/>
    <col min="16" max="16" width="15.33203125" style="30" bestFit="1" customWidth="1"/>
    <col min="17" max="17" width="15.1640625" style="30" bestFit="1" customWidth="1"/>
    <col min="18" max="18" width="13.5" style="30" bestFit="1" customWidth="1"/>
    <col min="19" max="19" width="11.5" style="30" bestFit="1" customWidth="1"/>
    <col min="20" max="20" width="14.1640625" style="30" bestFit="1" customWidth="1"/>
    <col min="21" max="21" width="11.5" style="30" bestFit="1" customWidth="1"/>
    <col min="22" max="22" width="13.33203125" style="30" customWidth="1"/>
    <col min="23" max="23" width="10.83203125" style="30" customWidth="1"/>
    <col min="24" max="24" width="9.1640625" style="30" customWidth="1"/>
    <col min="25" max="25" width="12.5" style="30" bestFit="1" customWidth="1"/>
    <col min="26" max="33" width="12.5" style="30" customWidth="1"/>
    <col min="34" max="35" width="10.83203125" style="30"/>
    <col min="36" max="37" width="16.83203125" style="30" customWidth="1"/>
    <col min="38" max="38" width="14.83203125" style="30" bestFit="1" customWidth="1"/>
    <col min="39" max="39" width="17.83203125" style="30" customWidth="1"/>
    <col min="40" max="40" width="11.5" style="30" bestFit="1" customWidth="1"/>
    <col min="41" max="41" width="13" style="30" customWidth="1"/>
    <col min="42" max="42" width="15.83203125" style="30" bestFit="1" customWidth="1"/>
    <col min="43" max="43" width="15.83203125" style="30" customWidth="1"/>
    <col min="44" max="44" width="10.83203125" style="30"/>
    <col min="45" max="45" width="12.33203125" style="30" customWidth="1"/>
    <col min="46" max="46" width="10.83203125" style="30"/>
    <col min="47" max="47" width="12.6640625" style="30" customWidth="1"/>
    <col min="48" max="48" width="10.83203125" style="30"/>
    <col min="49" max="49" width="13.83203125" style="30" customWidth="1"/>
    <col min="50" max="50" width="10.83203125" style="30"/>
    <col min="51" max="51" width="13.33203125" style="30" customWidth="1"/>
    <col min="52" max="52" width="10.83203125" style="30"/>
    <col min="53" max="53" width="14" style="30" customWidth="1"/>
    <col min="54" max="54" width="10.83203125" style="30"/>
    <col min="55" max="55" width="17.83203125" style="30" customWidth="1"/>
    <col min="56" max="56" width="10.83203125" style="30"/>
    <col min="57" max="57" width="16.6640625" style="30" customWidth="1"/>
    <col min="58" max="58" width="10.83203125" style="30"/>
    <col min="59" max="59" width="16" style="30" customWidth="1"/>
    <col min="60" max="60" width="10.83203125" style="30"/>
    <col min="61" max="61" width="13.5" style="30" customWidth="1"/>
    <col min="62" max="62" width="10.83203125" style="30"/>
    <col min="63" max="63" width="15.33203125" style="30" bestFit="1" customWidth="1"/>
    <col min="64" max="64" width="10.83203125" style="30"/>
    <col min="65" max="65" width="14.83203125" style="30" customWidth="1"/>
    <col min="66" max="66" width="10.83203125" style="30"/>
    <col min="67" max="67" width="16" style="30" customWidth="1"/>
    <col min="68" max="16384" width="10.83203125" style="30"/>
  </cols>
  <sheetData>
    <row r="1" spans="1:67" ht="20">
      <c r="A1" s="30" t="s">
        <v>123</v>
      </c>
      <c r="AA1" s="290" t="s">
        <v>332</v>
      </c>
      <c r="AJ1" s="289" t="s">
        <v>331</v>
      </c>
      <c r="AK1" s="289"/>
      <c r="BE1" s="298"/>
    </row>
    <row r="2" spans="1:67" s="31" customFormat="1" ht="47" customHeight="1">
      <c r="B2" s="32" t="s">
        <v>27</v>
      </c>
      <c r="C2" s="33" t="s">
        <v>34</v>
      </c>
      <c r="D2" s="33" t="s">
        <v>25</v>
      </c>
      <c r="E2" s="33" t="s">
        <v>97</v>
      </c>
      <c r="F2" s="32" t="s">
        <v>23</v>
      </c>
      <c r="G2" s="32" t="s">
        <v>36</v>
      </c>
      <c r="H2" s="32" t="s">
        <v>24</v>
      </c>
      <c r="I2" s="32" t="s">
        <v>48</v>
      </c>
      <c r="J2" s="32" t="s">
        <v>20</v>
      </c>
      <c r="K2" s="32" t="s">
        <v>44</v>
      </c>
      <c r="L2" s="33" t="s">
        <v>109</v>
      </c>
      <c r="M2" s="32" t="s">
        <v>47</v>
      </c>
      <c r="N2" s="32" t="s">
        <v>46</v>
      </c>
      <c r="O2" s="33" t="s">
        <v>17</v>
      </c>
      <c r="P2" s="33" t="s">
        <v>98</v>
      </c>
      <c r="Q2" s="32" t="s">
        <v>31</v>
      </c>
      <c r="R2" s="33" t="s">
        <v>88</v>
      </c>
      <c r="S2" s="32" t="s">
        <v>21</v>
      </c>
      <c r="T2" s="33" t="s">
        <v>39</v>
      </c>
      <c r="U2" s="32" t="s">
        <v>38</v>
      </c>
      <c r="V2" s="32" t="s">
        <v>50</v>
      </c>
      <c r="W2" s="33" t="s">
        <v>49</v>
      </c>
      <c r="X2" s="32" t="s">
        <v>121</v>
      </c>
      <c r="Y2" s="33" t="s">
        <v>119</v>
      </c>
      <c r="Z2" s="33"/>
      <c r="AA2" s="31" t="s">
        <v>77</v>
      </c>
      <c r="AB2" s="31" t="s">
        <v>87</v>
      </c>
      <c r="AC2" s="31" t="s">
        <v>74</v>
      </c>
      <c r="AD2" s="31" t="s">
        <v>86</v>
      </c>
      <c r="AE2" s="31" t="s">
        <v>105</v>
      </c>
      <c r="AF2" s="31" t="s">
        <v>85</v>
      </c>
      <c r="AG2" s="31" t="s">
        <v>83</v>
      </c>
      <c r="AH2" s="31" t="s">
        <v>84</v>
      </c>
      <c r="AJ2" s="32" t="s">
        <v>21</v>
      </c>
      <c r="AK2" s="32" t="s">
        <v>334</v>
      </c>
      <c r="AL2" s="33" t="s">
        <v>119</v>
      </c>
      <c r="AM2" s="293" t="s">
        <v>347</v>
      </c>
      <c r="AN2" s="33" t="s">
        <v>109</v>
      </c>
      <c r="AO2" s="33" t="s">
        <v>348</v>
      </c>
      <c r="AP2" s="33" t="s">
        <v>88</v>
      </c>
      <c r="AQ2" s="33" t="s">
        <v>335</v>
      </c>
      <c r="AR2" s="32" t="s">
        <v>46</v>
      </c>
      <c r="AS2" s="32" t="s">
        <v>336</v>
      </c>
      <c r="AT2" s="32" t="s">
        <v>38</v>
      </c>
      <c r="AU2" s="32" t="s">
        <v>337</v>
      </c>
      <c r="AV2" s="32" t="s">
        <v>20</v>
      </c>
      <c r="AW2" s="32" t="s">
        <v>336</v>
      </c>
      <c r="AX2" s="33" t="s">
        <v>17</v>
      </c>
      <c r="AY2" s="33" t="s">
        <v>338</v>
      </c>
      <c r="AZ2" s="31" t="s">
        <v>77</v>
      </c>
      <c r="BA2" s="31" t="s">
        <v>339</v>
      </c>
      <c r="BB2" s="31" t="s">
        <v>87</v>
      </c>
      <c r="BC2" s="31" t="s">
        <v>340</v>
      </c>
      <c r="BD2" s="31" t="s">
        <v>74</v>
      </c>
      <c r="BE2" s="299" t="s">
        <v>341</v>
      </c>
      <c r="BF2" s="31" t="s">
        <v>86</v>
      </c>
      <c r="BG2" s="31" t="s">
        <v>342</v>
      </c>
      <c r="BH2" s="31" t="s">
        <v>105</v>
      </c>
      <c r="BI2" s="31" t="s">
        <v>343</v>
      </c>
      <c r="BJ2" s="31" t="s">
        <v>85</v>
      </c>
      <c r="BK2" s="31" t="s">
        <v>344</v>
      </c>
      <c r="BL2" s="31" t="s">
        <v>83</v>
      </c>
      <c r="BM2" s="31" t="s">
        <v>345</v>
      </c>
      <c r="BN2" s="31" t="s">
        <v>84</v>
      </c>
      <c r="BO2" s="31" t="s">
        <v>346</v>
      </c>
    </row>
    <row r="3" spans="1:67" s="31" customFormat="1" ht="47" customHeight="1">
      <c r="A3" s="291">
        <v>42865</v>
      </c>
      <c r="B3" s="32"/>
      <c r="C3" s="33"/>
      <c r="D3" s="33"/>
      <c r="E3" s="33"/>
      <c r="F3" s="32"/>
      <c r="G3" s="32"/>
      <c r="H3" s="32"/>
      <c r="I3" s="32"/>
      <c r="J3" s="32"/>
      <c r="K3" s="32"/>
      <c r="L3" s="33"/>
      <c r="M3" s="32"/>
      <c r="N3" s="32"/>
      <c r="O3" s="33"/>
      <c r="P3" s="33"/>
      <c r="Q3" s="32"/>
      <c r="R3" s="33"/>
      <c r="S3" s="32"/>
      <c r="T3" s="33"/>
      <c r="U3" s="32"/>
      <c r="V3" s="32"/>
      <c r="W3" s="33"/>
      <c r="X3" s="32"/>
      <c r="Y3" s="33"/>
      <c r="Z3" s="33"/>
      <c r="AJ3" s="288">
        <f>SUM($S3:S$4)</f>
        <v>0</v>
      </c>
      <c r="AK3" s="288">
        <f>AJ3/Resources!$B$10</f>
        <v>0</v>
      </c>
      <c r="AL3" s="288">
        <f>SUM($Y3:Y$4)</f>
        <v>0</v>
      </c>
      <c r="AM3" s="294">
        <f>AL3/Resources!$B$11</f>
        <v>0</v>
      </c>
      <c r="AN3" s="288">
        <f>SUM($L3:L$4)</f>
        <v>0</v>
      </c>
      <c r="AO3" s="288">
        <f>AN3/Resources!$B$12</f>
        <v>0</v>
      </c>
      <c r="AP3" s="288">
        <f>SUM($R3:R$4)</f>
        <v>0</v>
      </c>
      <c r="AQ3" s="288">
        <f>AP3/Resources!$B$13</f>
        <v>0</v>
      </c>
      <c r="AR3" s="288">
        <v>0</v>
      </c>
      <c r="AS3" s="288">
        <f>AR3/Resources!$B$14</f>
        <v>0</v>
      </c>
      <c r="AT3" s="288">
        <v>0</v>
      </c>
      <c r="AU3" s="288">
        <f>AT3/Resources!$B$15</f>
        <v>0</v>
      </c>
      <c r="AV3" s="288">
        <v>0</v>
      </c>
      <c r="AW3" s="288">
        <f>AV3/Resources!$B$16</f>
        <v>0</v>
      </c>
      <c r="AX3" s="288">
        <v>0</v>
      </c>
      <c r="AY3" s="288">
        <f>AX3/Resources!$B$17</f>
        <v>0</v>
      </c>
      <c r="AZ3" s="288">
        <v>0</v>
      </c>
      <c r="BA3" s="288">
        <f>AZ3/Resources!$B$6</f>
        <v>0</v>
      </c>
      <c r="BB3" s="288">
        <v>0</v>
      </c>
      <c r="BC3" s="288">
        <f>BB3/Resources!$B$7</f>
        <v>0</v>
      </c>
      <c r="BD3" s="288">
        <v>0</v>
      </c>
      <c r="BE3" s="300">
        <f>BD3/Resources!$B$8</f>
        <v>0</v>
      </c>
      <c r="BF3" s="288">
        <v>0</v>
      </c>
      <c r="BG3" s="288">
        <f>BF3/Resources!$B$9</f>
        <v>0</v>
      </c>
      <c r="BH3" s="288">
        <v>0</v>
      </c>
      <c r="BI3" s="288">
        <f>BH3/Resources!$B$2</f>
        <v>0</v>
      </c>
      <c r="BJ3" s="288">
        <v>0</v>
      </c>
      <c r="BK3" s="288">
        <f>BJ3/Resources!$B$3</f>
        <v>0</v>
      </c>
      <c r="BL3" s="288">
        <v>0</v>
      </c>
      <c r="BM3" s="288">
        <f>BL3/Resources!$B$4</f>
        <v>0</v>
      </c>
      <c r="BN3" s="288">
        <v>0</v>
      </c>
      <c r="BO3" s="296">
        <f>BN3/Resources!$B$5</f>
        <v>0</v>
      </c>
    </row>
    <row r="4" spans="1:67" ht="18">
      <c r="A4" s="34">
        <v>42866</v>
      </c>
      <c r="B4" s="49">
        <f>SUMIFS(Collection!$J:$J, Collection!$A:$A, $A4, Collection!$B:$B, B$2)</f>
        <v>0</v>
      </c>
      <c r="C4" s="49">
        <f>SUMIFS(Collection!$J:$J, Collection!$A:$A, $A4, Collection!$B:$B, C$2)</f>
        <v>0</v>
      </c>
      <c r="D4" s="49">
        <f>SUMIFS(Collection!$J:$J, Collection!$A:$A, $A4, Collection!$B:$B, D$2)</f>
        <v>0</v>
      </c>
      <c r="E4" s="49">
        <f>SUMIFS(Collection!$J:$J, Collection!$A:$A, $A4, Collection!$B:$B, E$2)</f>
        <v>0</v>
      </c>
      <c r="F4" s="49">
        <f>SUMIFS(Collection!$J:$J, Collection!$A:$A, $A4, Collection!$B:$B, F$2)</f>
        <v>0</v>
      </c>
      <c r="G4" s="49">
        <f>SUMIFS(Collection!$J:$J, Collection!$A:$A, $A4, Collection!$B:$B, G$2)</f>
        <v>0</v>
      </c>
      <c r="H4" s="49">
        <f>SUMIFS(Collection!$J:$J, Collection!$A:$A, $A4, Collection!$B:$B, H$2)</f>
        <v>0</v>
      </c>
      <c r="I4" s="49">
        <f>SUMIFS(Collection!$J:$J, Collection!$A:$A, $A4, Collection!$B:$B, I$2)</f>
        <v>0</v>
      </c>
      <c r="J4" s="49">
        <f>SUMIFS(Collection!$J:$J, Collection!$A:$A, $A4, Collection!$B:$B, J$2)</f>
        <v>37200</v>
      </c>
      <c r="K4" s="49">
        <f>SUMIFS(Collection!$J:$J, Collection!$A:$A, $A4, Collection!$B:$B, K$2)</f>
        <v>0</v>
      </c>
      <c r="L4" s="49">
        <f>SUMIFS(Collection!$J:$J, Collection!$A:$A, $A4, Collection!$B:$B, L$2)</f>
        <v>0</v>
      </c>
      <c r="M4" s="49">
        <f>SUMIFS(Collection!$J:$J, Collection!$A:$A, $A4, Collection!$B:$B, M$2)</f>
        <v>0</v>
      </c>
      <c r="N4" s="49">
        <f>SUMIFS(Collection!$J:$J, Collection!$A:$A, $A4, Collection!$B:$B, N$2)</f>
        <v>0</v>
      </c>
      <c r="O4" s="49">
        <f>SUMIFS(Collection!$J:$J, Collection!$A:$A, $A4, Collection!$B:$B, O$2)</f>
        <v>47400</v>
      </c>
      <c r="P4" s="49">
        <f>SUMIFS(Collection!$J:$J, Collection!$A:$A, $A4, Collection!$B:$B, P$2)</f>
        <v>0</v>
      </c>
      <c r="Q4" s="49">
        <f>SUMIFS(Collection!$J:$J, Collection!$A:$A, $A4, Collection!$B:$B, Q$2)</f>
        <v>0</v>
      </c>
      <c r="R4" s="49">
        <f>SUMIFS(Collection!$J:$J, Collection!$A:$A, $A4, Collection!$B:$B, R$2)</f>
        <v>0</v>
      </c>
      <c r="S4" s="49">
        <f>SUMIFS(Collection!$J:$J, Collection!$A:$A, $A4, Collection!$B:$B, S$2)</f>
        <v>0</v>
      </c>
      <c r="T4" s="49">
        <f>SUMIFS(Collection!$J:$J, Collection!$A:$A, $A4, Collection!$B:$B, T$2)</f>
        <v>0</v>
      </c>
      <c r="U4" s="49">
        <f>SUMIFS(Collection!$J:$J, Collection!$A:$A, $A4, Collection!$B:$B, U$2)</f>
        <v>0</v>
      </c>
      <c r="V4" s="49">
        <f>SUMIFS(Collection!$J:$J, Collection!$A:$A, $A4, Collection!$B:$B, V$2)</f>
        <v>0</v>
      </c>
      <c r="W4" s="49">
        <f>SUMIFS(Collection!$J:$J, Collection!$A:$A, $A4, Collection!$B:$B, W$2)</f>
        <v>0</v>
      </c>
      <c r="X4" s="49">
        <f>SUMIFS(Collection!$J:$J, Collection!$A:$A, $A4, Collection!$B:$B, X$2)</f>
        <v>0</v>
      </c>
      <c r="Y4" s="49">
        <f>SUMIFS(Collection!$J:$J, Collection!$A:$A, $A4, Collection!$B:$B, Y$2)</f>
        <v>0</v>
      </c>
      <c r="Z4" s="49"/>
      <c r="AA4" s="49">
        <f>SUM(I4,K4)</f>
        <v>0</v>
      </c>
      <c r="AB4" s="49">
        <f>SUM(D4,G4)</f>
        <v>0</v>
      </c>
      <c r="AC4" s="49">
        <f>SUM(C4,H4)</f>
        <v>0</v>
      </c>
      <c r="AD4" s="49">
        <f>SUM(F4,B4)</f>
        <v>0</v>
      </c>
      <c r="AE4" s="49">
        <f>SUM(E4,X4)</f>
        <v>0</v>
      </c>
      <c r="AF4" s="49">
        <f>SUM(V4,T4)</f>
        <v>0</v>
      </c>
      <c r="AG4" s="49">
        <f>SUM(W4,M4)</f>
        <v>0</v>
      </c>
      <c r="AH4" s="288">
        <f>SUM(Q4,P4)</f>
        <v>0</v>
      </c>
      <c r="AJ4" s="288">
        <f>SUM($S$4:S4)</f>
        <v>0</v>
      </c>
      <c r="AK4" s="288">
        <f>AJ4/Resources!$B$10</f>
        <v>0</v>
      </c>
      <c r="AL4" s="288">
        <f>SUM($Y$4:Y4)</f>
        <v>0</v>
      </c>
      <c r="AM4" s="295">
        <f>AL4/Resources!$B$11</f>
        <v>0</v>
      </c>
      <c r="AN4" s="288">
        <f>SUM($L$4:L4)</f>
        <v>0</v>
      </c>
      <c r="AO4" s="288">
        <f>AN4/Resources!$B$12</f>
        <v>0</v>
      </c>
      <c r="AP4" s="288">
        <f>SUM($R$4:R4)</f>
        <v>0</v>
      </c>
      <c r="AQ4" s="288">
        <f>AP4/Resources!$B$13</f>
        <v>0</v>
      </c>
      <c r="AR4" s="288">
        <f>SUM($N$4:N4)</f>
        <v>0</v>
      </c>
      <c r="AS4" s="288">
        <f>AR4/Resources!$B$14</f>
        <v>0</v>
      </c>
      <c r="AT4" s="288">
        <f>SUM($U$4:U4)</f>
        <v>0</v>
      </c>
      <c r="AU4" s="288">
        <f>AT4/Resources!$B$15</f>
        <v>0</v>
      </c>
      <c r="AV4" s="288">
        <f>SUM($J$4:J4)</f>
        <v>37200</v>
      </c>
      <c r="AW4" s="288">
        <f>AV4/Resources!$B$16</f>
        <v>379.59183673469386</v>
      </c>
      <c r="AX4" s="288">
        <f>SUM($O$4:O4)</f>
        <v>47400</v>
      </c>
      <c r="AY4" s="288">
        <f>AX4/Resources!$B$17</f>
        <v>451.42857142857144</v>
      </c>
      <c r="AZ4" s="288">
        <f>SUM($I$4:I4,$K$4:K4)</f>
        <v>0</v>
      </c>
      <c r="BA4" s="288">
        <f>AZ4/Resources!$B$6</f>
        <v>0</v>
      </c>
      <c r="BB4" s="288">
        <f>SUM($D$4:D4,$G$4:G4)</f>
        <v>0</v>
      </c>
      <c r="BC4" s="288">
        <f>BB4/Resources!$B$7</f>
        <v>0</v>
      </c>
      <c r="BD4" s="288">
        <f>SUM($C$4:C4,$H$4:H4)</f>
        <v>0</v>
      </c>
      <c r="BE4" s="300">
        <f>BD4/Resources!$B$8</f>
        <v>0</v>
      </c>
      <c r="BF4" s="288">
        <f>SUM($B$4:B4,$F$4:F4)</f>
        <v>0</v>
      </c>
      <c r="BG4" s="288">
        <f>BF4/Resources!$B$9</f>
        <v>0</v>
      </c>
      <c r="BH4" s="288">
        <f>SUM($X$4:X4,$E$4:E4)</f>
        <v>0</v>
      </c>
      <c r="BI4" s="288">
        <f>BH4/Resources!$B$2</f>
        <v>0</v>
      </c>
      <c r="BJ4" s="288">
        <f>SUM($V$4:V4,$T$4:T4)</f>
        <v>0</v>
      </c>
      <c r="BK4" s="288">
        <f>BJ4/Resources!$B$3</f>
        <v>0</v>
      </c>
      <c r="BL4" s="288">
        <f>SUM($W$4:W4, $M$4:M4)</f>
        <v>0</v>
      </c>
      <c r="BM4" s="288">
        <f>BL4/Resources!$B$4</f>
        <v>0</v>
      </c>
      <c r="BN4" s="288">
        <f>SUM($P$4:P4,$Q$4:Q4)</f>
        <v>0</v>
      </c>
      <c r="BO4" s="297">
        <f>BN4/Resources!$B$5</f>
        <v>0</v>
      </c>
    </row>
    <row r="5" spans="1:67" ht="18">
      <c r="A5" s="34">
        <f>1+A4</f>
        <v>42867</v>
      </c>
      <c r="B5" s="49">
        <f>SUMIFS(Collection!$J:$J, Collection!$A:$A, $A5, Collection!$B:$B, B$2)</f>
        <v>0</v>
      </c>
      <c r="C5" s="49">
        <f>SUMIFS(Collection!$J:$J, Collection!$A:$A, $A5, Collection!$B:$B, C$2)</f>
        <v>0</v>
      </c>
      <c r="D5" s="49">
        <f>SUMIFS(Collection!$J:$J, Collection!$A:$A, $A5, Collection!$B:$B, D$2)</f>
        <v>0</v>
      </c>
      <c r="E5" s="49">
        <f>SUMIFS(Collection!$J:$J, Collection!$A:$A, $A5, Collection!$B:$B, E$2)</f>
        <v>0</v>
      </c>
      <c r="F5" s="49">
        <f>SUMIFS(Collection!$J:$J, Collection!$A:$A, $A5, Collection!$B:$B, F$2)</f>
        <v>0</v>
      </c>
      <c r="G5" s="49">
        <f>SUMIFS(Collection!$J:$J, Collection!$A:$A, $A5, Collection!$B:$B, G$2)</f>
        <v>0</v>
      </c>
      <c r="H5" s="49">
        <f>SUMIFS(Collection!$J:$J, Collection!$A:$A, $A5, Collection!$B:$B, H$2)</f>
        <v>0</v>
      </c>
      <c r="I5" s="49">
        <f>SUMIFS(Collection!$J:$J, Collection!$A:$A, $A5, Collection!$B:$B, I$2)</f>
        <v>0</v>
      </c>
      <c r="J5" s="49">
        <f>SUMIFS(Collection!$J:$J, Collection!$A:$A, $A5, Collection!$B:$B, J$2)</f>
        <v>0</v>
      </c>
      <c r="K5" s="49">
        <f>SUMIFS(Collection!$J:$J, Collection!$A:$A, $A5, Collection!$B:$B, K$2)</f>
        <v>0</v>
      </c>
      <c r="L5" s="49">
        <f>SUMIFS(Collection!$J:$J, Collection!$A:$A, $A5, Collection!$B:$B, L$2)</f>
        <v>0</v>
      </c>
      <c r="M5" s="49">
        <f>SUMIFS(Collection!$J:$J, Collection!$A:$A, $A5, Collection!$B:$B, M$2)</f>
        <v>0</v>
      </c>
      <c r="N5" s="49">
        <f>SUMIFS(Collection!$J:$J, Collection!$A:$A, $A5, Collection!$B:$B, N$2)</f>
        <v>0</v>
      </c>
      <c r="O5" s="49">
        <f>SUMIFS(Collection!$J:$J, Collection!$A:$A, $A5, Collection!$B:$B, O$2)</f>
        <v>0</v>
      </c>
      <c r="P5" s="49">
        <f>SUMIFS(Collection!$J:$J, Collection!$A:$A, $A5, Collection!$B:$B, P$2)</f>
        <v>0</v>
      </c>
      <c r="Q5" s="49">
        <f>SUMIFS(Collection!$J:$J, Collection!$A:$A, $A5, Collection!$B:$B, Q$2)</f>
        <v>0</v>
      </c>
      <c r="R5" s="49">
        <f>SUMIFS(Collection!$J:$J, Collection!$A:$A, $A5, Collection!$B:$B, R$2)</f>
        <v>0</v>
      </c>
      <c r="S5" s="49">
        <f>SUMIFS(Collection!$J:$J, Collection!$A:$A, $A5, Collection!$B:$B, S$2)</f>
        <v>0</v>
      </c>
      <c r="T5" s="49">
        <f>SUMIFS(Collection!$J:$J, Collection!$A:$A, $A5, Collection!$B:$B, T$2)</f>
        <v>0</v>
      </c>
      <c r="U5" s="49">
        <f>SUMIFS(Collection!$J:$J, Collection!$A:$A, $A5, Collection!$B:$B, U$2)</f>
        <v>0</v>
      </c>
      <c r="V5" s="49">
        <f>SUMIFS(Collection!$J:$J, Collection!$A:$A, $A5, Collection!$B:$B, V$2)</f>
        <v>0</v>
      </c>
      <c r="W5" s="49">
        <f>SUMIFS(Collection!$J:$J, Collection!$A:$A, $A5, Collection!$B:$B, W$2)</f>
        <v>0</v>
      </c>
      <c r="X5" s="49">
        <f>SUMIFS(Collection!$J:$J, Collection!$A:$A, $A5, Collection!$B:$B, X$2)</f>
        <v>0</v>
      </c>
      <c r="Y5" s="49">
        <f>SUMIFS(Collection!$J:$J, Collection!$A:$A, $A5, Collection!$B:$B, Y$2)</f>
        <v>0</v>
      </c>
      <c r="Z5" s="49"/>
      <c r="AA5" s="49">
        <f t="shared" ref="AA5:AA64" si="0">SUM(I5,K5)</f>
        <v>0</v>
      </c>
      <c r="AB5" s="49">
        <f t="shared" ref="AB5:AB64" si="1">SUM(D5,G5)</f>
        <v>0</v>
      </c>
      <c r="AC5" s="49">
        <f t="shared" ref="AC5:AC64" si="2">SUM(C5,H5)</f>
        <v>0</v>
      </c>
      <c r="AD5" s="49">
        <f t="shared" ref="AD5:AD64" si="3">SUM(F5,B5)</f>
        <v>0</v>
      </c>
      <c r="AE5" s="49">
        <f t="shared" ref="AE5:AE64" si="4">SUM(E5,X5)</f>
        <v>0</v>
      </c>
      <c r="AF5" s="49">
        <f t="shared" ref="AF5:AF64" si="5">SUM(V5,T5)</f>
        <v>0</v>
      </c>
      <c r="AG5" s="49">
        <f t="shared" ref="AG5:AG64" si="6">SUM(W5,M5)</f>
        <v>0</v>
      </c>
      <c r="AH5" s="288">
        <f t="shared" ref="AH5:AH64" si="7">SUM(Q5,P5)</f>
        <v>0</v>
      </c>
      <c r="AJ5" s="288">
        <f>SUM($S$4:S5)</f>
        <v>0</v>
      </c>
      <c r="AK5" s="288">
        <f>AJ5/Resources!$B$10</f>
        <v>0</v>
      </c>
      <c r="AL5" s="288">
        <f>SUM($Y$4:Y5)</f>
        <v>0</v>
      </c>
      <c r="AM5" s="295">
        <f>AL5/Resources!$B$11</f>
        <v>0</v>
      </c>
      <c r="AN5" s="288">
        <f>SUM($L$4:L5)</f>
        <v>0</v>
      </c>
      <c r="AO5" s="288">
        <f>AN5/Resources!$B$12</f>
        <v>0</v>
      </c>
      <c r="AP5" s="288">
        <f>SUM($R$4:R5)</f>
        <v>0</v>
      </c>
      <c r="AQ5" s="288">
        <f>AP5/Resources!$B$13</f>
        <v>0</v>
      </c>
      <c r="AR5" s="288">
        <f>SUM($N$4:N5)</f>
        <v>0</v>
      </c>
      <c r="AS5" s="288">
        <f>AR5/Resources!$B$14</f>
        <v>0</v>
      </c>
      <c r="AT5" s="288">
        <f>SUM($U$4:U5)</f>
        <v>0</v>
      </c>
      <c r="AU5" s="288">
        <f>AT5/Resources!$B$15</f>
        <v>0</v>
      </c>
      <c r="AV5" s="288">
        <f>SUM($J$4:J5)</f>
        <v>37200</v>
      </c>
      <c r="AW5" s="288">
        <f>AV5/Resources!$B$16</f>
        <v>379.59183673469386</v>
      </c>
      <c r="AX5" s="288">
        <f>SUM($O$4:O5)</f>
        <v>47400</v>
      </c>
      <c r="AY5" s="288">
        <f>AX5/Resources!$B$17</f>
        <v>451.42857142857144</v>
      </c>
      <c r="AZ5" s="288">
        <f>SUM($I$4:I5,$K$4:K5)</f>
        <v>0</v>
      </c>
      <c r="BA5" s="288">
        <f>AZ5/Resources!$B$6</f>
        <v>0</v>
      </c>
      <c r="BB5" s="288">
        <f>SUM($D$4:D5,$G$4:G5)</f>
        <v>0</v>
      </c>
      <c r="BC5" s="288">
        <f>BB5/Resources!$B$7</f>
        <v>0</v>
      </c>
      <c r="BD5" s="288">
        <f>SUM($C$4:C5,$H$4:H5)</f>
        <v>0</v>
      </c>
      <c r="BE5" s="300">
        <f>BD5/Resources!$B$8</f>
        <v>0</v>
      </c>
      <c r="BF5" s="288">
        <f>SUM($B$4:B5,$F$4:F5)</f>
        <v>0</v>
      </c>
      <c r="BG5" s="288">
        <f>BF5/Resources!$B$9</f>
        <v>0</v>
      </c>
      <c r="BH5" s="288">
        <f>SUM($X$4:X5,$E$4:E5)</f>
        <v>0</v>
      </c>
      <c r="BI5" s="288">
        <f>BH5/Resources!$B$2</f>
        <v>0</v>
      </c>
      <c r="BJ5" s="288">
        <f>SUM($V$4:V5,$T$4:T5)</f>
        <v>0</v>
      </c>
      <c r="BK5" s="288">
        <f>BJ5/Resources!$B$3</f>
        <v>0</v>
      </c>
      <c r="BL5" s="288">
        <f>SUM($W$4:W5, $M$4:M5)</f>
        <v>0</v>
      </c>
      <c r="BM5" s="288">
        <f>BL5/Resources!$B$4</f>
        <v>0</v>
      </c>
      <c r="BN5" s="288">
        <f>SUM($P$4:P5,$Q$4:Q5)</f>
        <v>0</v>
      </c>
      <c r="BO5" s="297">
        <f>BN5/Resources!$B$5</f>
        <v>0</v>
      </c>
    </row>
    <row r="6" spans="1:67" ht="18">
      <c r="A6" s="34">
        <f t="shared" ref="A6:A66" si="8">1+A5</f>
        <v>42868</v>
      </c>
      <c r="B6" s="49">
        <f>SUMIFS(Collection!$J:$J, Collection!$A:$A, $A6, Collection!$B:$B, B$2)</f>
        <v>0</v>
      </c>
      <c r="C6" s="49">
        <f>SUMIFS(Collection!$J:$J, Collection!$A:$A, $A6, Collection!$B:$B, C$2)</f>
        <v>0</v>
      </c>
      <c r="D6" s="49">
        <f>SUMIFS(Collection!$J:$J, Collection!$A:$A, $A6, Collection!$B:$B, D$2)</f>
        <v>0</v>
      </c>
      <c r="E6" s="49">
        <f>SUMIFS(Collection!$J:$J, Collection!$A:$A, $A6, Collection!$B:$B, E$2)</f>
        <v>0</v>
      </c>
      <c r="F6" s="49">
        <f>SUMIFS(Collection!$J:$J, Collection!$A:$A, $A6, Collection!$B:$B, F$2)</f>
        <v>0</v>
      </c>
      <c r="G6" s="49">
        <f>SUMIFS(Collection!$J:$J, Collection!$A:$A, $A6, Collection!$B:$B, G$2)</f>
        <v>0</v>
      </c>
      <c r="H6" s="49">
        <f>SUMIFS(Collection!$J:$J, Collection!$A:$A, $A6, Collection!$B:$B, H$2)</f>
        <v>0</v>
      </c>
      <c r="I6" s="49">
        <f>SUMIFS(Collection!$J:$J, Collection!$A:$A, $A6, Collection!$B:$B, I$2)</f>
        <v>0</v>
      </c>
      <c r="J6" s="49">
        <f>SUMIFS(Collection!$J:$J, Collection!$A:$A, $A6, Collection!$B:$B, J$2)</f>
        <v>0</v>
      </c>
      <c r="K6" s="49">
        <f>SUMIFS(Collection!$J:$J, Collection!$A:$A, $A6, Collection!$B:$B, K$2)</f>
        <v>0</v>
      </c>
      <c r="L6" s="49">
        <f>SUMIFS(Collection!$J:$J, Collection!$A:$A, $A6, Collection!$B:$B, L$2)</f>
        <v>0</v>
      </c>
      <c r="M6" s="49">
        <f>SUMIFS(Collection!$J:$J, Collection!$A:$A, $A6, Collection!$B:$B, M$2)</f>
        <v>0</v>
      </c>
      <c r="N6" s="49">
        <f>SUMIFS(Collection!$J:$J, Collection!$A:$A, $A6, Collection!$B:$B, N$2)</f>
        <v>0</v>
      </c>
      <c r="O6" s="49">
        <f>SUMIFS(Collection!$J:$J, Collection!$A:$A, $A6, Collection!$B:$B, O$2)</f>
        <v>0</v>
      </c>
      <c r="P6" s="49">
        <f>SUMIFS(Collection!$J:$J, Collection!$A:$A, $A6, Collection!$B:$B, P$2)</f>
        <v>0</v>
      </c>
      <c r="Q6" s="49">
        <f>SUMIFS(Collection!$J:$J, Collection!$A:$A, $A6, Collection!$B:$B, Q$2)</f>
        <v>0</v>
      </c>
      <c r="R6" s="49">
        <f>SUMIFS(Collection!$J:$J, Collection!$A:$A, $A6, Collection!$B:$B, R$2)</f>
        <v>0</v>
      </c>
      <c r="S6" s="49">
        <f>SUMIFS(Collection!$J:$J, Collection!$A:$A, $A6, Collection!$B:$B, S$2)</f>
        <v>3483.3333333333335</v>
      </c>
      <c r="T6" s="49">
        <f>SUMIFS(Collection!$J:$J, Collection!$A:$A, $A6, Collection!$B:$B, T$2)</f>
        <v>0</v>
      </c>
      <c r="U6" s="49">
        <f>SUMIFS(Collection!$J:$J, Collection!$A:$A, $A6, Collection!$B:$B, U$2)</f>
        <v>0</v>
      </c>
      <c r="V6" s="49">
        <f>SUMIFS(Collection!$J:$J, Collection!$A:$A, $A6, Collection!$B:$B, V$2)</f>
        <v>0</v>
      </c>
      <c r="W6" s="49">
        <f>SUMIFS(Collection!$J:$J, Collection!$A:$A, $A6, Collection!$B:$B, W$2)</f>
        <v>0</v>
      </c>
      <c r="X6" s="49">
        <f>SUMIFS(Collection!$J:$J, Collection!$A:$A, $A6, Collection!$B:$B, X$2)</f>
        <v>0</v>
      </c>
      <c r="Y6" s="49">
        <f>SUMIFS(Collection!$J:$J, Collection!$A:$A, $A6, Collection!$B:$B, Y$2)</f>
        <v>0</v>
      </c>
      <c r="Z6" s="49"/>
      <c r="AA6" s="49">
        <f t="shared" si="0"/>
        <v>0</v>
      </c>
      <c r="AB6" s="49">
        <f t="shared" si="1"/>
        <v>0</v>
      </c>
      <c r="AC6" s="49">
        <f t="shared" si="2"/>
        <v>0</v>
      </c>
      <c r="AD6" s="49">
        <f t="shared" si="3"/>
        <v>0</v>
      </c>
      <c r="AE6" s="49">
        <f t="shared" si="4"/>
        <v>0</v>
      </c>
      <c r="AF6" s="49">
        <f t="shared" si="5"/>
        <v>0</v>
      </c>
      <c r="AG6" s="49">
        <f t="shared" si="6"/>
        <v>0</v>
      </c>
      <c r="AH6" s="288">
        <f t="shared" si="7"/>
        <v>0</v>
      </c>
      <c r="AJ6" s="288">
        <f>SUM($S$4:S6)</f>
        <v>3483.3333333333335</v>
      </c>
      <c r="AK6" s="288">
        <f>AJ6/Resources!$B$10</f>
        <v>290.27777777777777</v>
      </c>
      <c r="AL6" s="288">
        <f>SUM($Y$4:Y6)</f>
        <v>0</v>
      </c>
      <c r="AM6" s="295">
        <f>AL6/Resources!$B$11</f>
        <v>0</v>
      </c>
      <c r="AN6" s="288">
        <f>SUM($L$4:L6)</f>
        <v>0</v>
      </c>
      <c r="AO6" s="288">
        <f>AN6/Resources!$B$12</f>
        <v>0</v>
      </c>
      <c r="AP6" s="288">
        <f>SUM($R$4:R6)</f>
        <v>0</v>
      </c>
      <c r="AQ6" s="288">
        <f>AP6/Resources!$B$13</f>
        <v>0</v>
      </c>
      <c r="AR6" s="288">
        <f>SUM($N$4:N6)</f>
        <v>0</v>
      </c>
      <c r="AS6" s="288">
        <f>AR6/Resources!$B$14</f>
        <v>0</v>
      </c>
      <c r="AT6" s="288">
        <f>SUM($U$4:U6)</f>
        <v>0</v>
      </c>
      <c r="AU6" s="288">
        <f>AT6/Resources!$B$15</f>
        <v>0</v>
      </c>
      <c r="AV6" s="288">
        <f>SUM($J$4:J6)</f>
        <v>37200</v>
      </c>
      <c r="AW6" s="288">
        <f>AV6/Resources!$B$16</f>
        <v>379.59183673469386</v>
      </c>
      <c r="AX6" s="288">
        <f>SUM($O$4:O6)</f>
        <v>47400</v>
      </c>
      <c r="AY6" s="288">
        <f>AX6/Resources!$B$17</f>
        <v>451.42857142857144</v>
      </c>
      <c r="AZ6" s="288">
        <f>SUM($I$4:I6,$K$4:K6)</f>
        <v>0</v>
      </c>
      <c r="BA6" s="288">
        <f>AZ6/Resources!$B$6</f>
        <v>0</v>
      </c>
      <c r="BB6" s="288">
        <f>SUM($D$4:D6,$G$4:G6)</f>
        <v>0</v>
      </c>
      <c r="BC6" s="288">
        <f>BB6/Resources!$B$7</f>
        <v>0</v>
      </c>
      <c r="BD6" s="288">
        <f>SUM($C$4:C6,$H$4:H6)</f>
        <v>0</v>
      </c>
      <c r="BE6" s="300">
        <f>BD6/Resources!$B$8</f>
        <v>0</v>
      </c>
      <c r="BF6" s="288">
        <f>SUM($B$4:B6,$F$4:F6)</f>
        <v>0</v>
      </c>
      <c r="BG6" s="288">
        <f>BF6/Resources!$B$9</f>
        <v>0</v>
      </c>
      <c r="BH6" s="288">
        <f>SUM($X$4:X6,$E$4:E6)</f>
        <v>0</v>
      </c>
      <c r="BI6" s="288">
        <f>BH6/Resources!$B$2</f>
        <v>0</v>
      </c>
      <c r="BJ6" s="288">
        <f>SUM($V$4:V6,$T$4:T6)</f>
        <v>0</v>
      </c>
      <c r="BK6" s="288">
        <f>BJ6/Resources!$B$3</f>
        <v>0</v>
      </c>
      <c r="BL6" s="288">
        <f>SUM($W$4:W6, $M$4:M6)</f>
        <v>0</v>
      </c>
      <c r="BM6" s="288">
        <f>BL6/Resources!$B$4</f>
        <v>0</v>
      </c>
      <c r="BN6" s="288">
        <f>SUM($P$4:P6,$Q$4:Q6)</f>
        <v>0</v>
      </c>
      <c r="BO6" s="297">
        <f>BN6/Resources!$B$5</f>
        <v>0</v>
      </c>
    </row>
    <row r="7" spans="1:67" ht="18">
      <c r="A7" s="34">
        <f t="shared" si="8"/>
        <v>42869</v>
      </c>
      <c r="B7" s="49">
        <f>SUMIFS(Collection!$J:$J, Collection!$A:$A, $A7, Collection!$B:$B, B$2)</f>
        <v>0</v>
      </c>
      <c r="C7" s="49">
        <f>SUMIFS(Collection!$J:$J, Collection!$A:$A, $A7, Collection!$B:$B, C$2)</f>
        <v>0</v>
      </c>
      <c r="D7" s="49">
        <f>SUMIFS(Collection!$J:$J, Collection!$A:$A, $A7, Collection!$B:$B, D$2)</f>
        <v>69066.666666666657</v>
      </c>
      <c r="E7" s="49">
        <f>SUMIFS(Collection!$J:$J, Collection!$A:$A, $A7, Collection!$B:$B, E$2)</f>
        <v>0</v>
      </c>
      <c r="F7" s="49">
        <f>SUMIFS(Collection!$J:$J, Collection!$A:$A, $A7, Collection!$B:$B, F$2)</f>
        <v>80666.666666666657</v>
      </c>
      <c r="G7" s="49">
        <f>SUMIFS(Collection!$J:$J, Collection!$A:$A, $A7, Collection!$B:$B, G$2)</f>
        <v>0</v>
      </c>
      <c r="H7" s="49">
        <f>SUMIFS(Collection!$J:$J, Collection!$A:$A, $A7, Collection!$B:$B, H$2)</f>
        <v>98000</v>
      </c>
      <c r="I7" s="49">
        <f>SUMIFS(Collection!$J:$J, Collection!$A:$A, $A7, Collection!$B:$B, I$2)</f>
        <v>0</v>
      </c>
      <c r="J7" s="49">
        <f>SUMIFS(Collection!$J:$J, Collection!$A:$A, $A7, Collection!$B:$B, J$2)</f>
        <v>52266.666666666657</v>
      </c>
      <c r="K7" s="49">
        <f>SUMIFS(Collection!$J:$J, Collection!$A:$A, $A7, Collection!$B:$B, K$2)</f>
        <v>0</v>
      </c>
      <c r="L7" s="49">
        <f>SUMIFS(Collection!$J:$J, Collection!$A:$A, $A7, Collection!$B:$B, L$2)</f>
        <v>0</v>
      </c>
      <c r="M7" s="49">
        <f>SUMIFS(Collection!$J:$J, Collection!$A:$A, $A7, Collection!$B:$B, M$2)</f>
        <v>0</v>
      </c>
      <c r="N7" s="49">
        <f>SUMIFS(Collection!$J:$J, Collection!$A:$A, $A7, Collection!$B:$B, N$2)</f>
        <v>0</v>
      </c>
      <c r="O7" s="49">
        <f>SUMIFS(Collection!$J:$J, Collection!$A:$A, $A7, Collection!$B:$B, O$2)</f>
        <v>66800</v>
      </c>
      <c r="P7" s="49">
        <f>SUMIFS(Collection!$J:$J, Collection!$A:$A, $A7, Collection!$B:$B, P$2)</f>
        <v>0</v>
      </c>
      <c r="Q7" s="49">
        <f>SUMIFS(Collection!$J:$J, Collection!$A:$A, $A7, Collection!$B:$B, Q$2)</f>
        <v>0</v>
      </c>
      <c r="R7" s="49">
        <f>SUMIFS(Collection!$J:$J, Collection!$A:$A, $A7, Collection!$B:$B, R$2)</f>
        <v>0</v>
      </c>
      <c r="S7" s="49">
        <f>SUMIFS(Collection!$J:$J, Collection!$A:$A, $A7, Collection!$B:$B, S$2)</f>
        <v>3844.4444444444443</v>
      </c>
      <c r="T7" s="49">
        <f>SUMIFS(Collection!$J:$J, Collection!$A:$A, $A7, Collection!$B:$B, T$2)</f>
        <v>0</v>
      </c>
      <c r="U7" s="49">
        <f>SUMIFS(Collection!$J:$J, Collection!$A:$A, $A7, Collection!$B:$B, U$2)</f>
        <v>0</v>
      </c>
      <c r="V7" s="49">
        <f>SUMIFS(Collection!$J:$J, Collection!$A:$A, $A7, Collection!$B:$B, V$2)</f>
        <v>0</v>
      </c>
      <c r="W7" s="49">
        <f>SUMIFS(Collection!$J:$J, Collection!$A:$A, $A7, Collection!$B:$B, W$2)</f>
        <v>0</v>
      </c>
      <c r="X7" s="49">
        <f>SUMIFS(Collection!$J:$J, Collection!$A:$A, $A7, Collection!$B:$B, X$2)</f>
        <v>0</v>
      </c>
      <c r="Y7" s="49">
        <f>SUMIFS(Collection!$J:$J, Collection!$A:$A, $A7, Collection!$B:$B, Y$2)</f>
        <v>0</v>
      </c>
      <c r="Z7" s="49"/>
      <c r="AA7" s="49">
        <f t="shared" si="0"/>
        <v>0</v>
      </c>
      <c r="AB7" s="49">
        <f t="shared" si="1"/>
        <v>69066.666666666657</v>
      </c>
      <c r="AC7" s="49">
        <f t="shared" si="2"/>
        <v>98000</v>
      </c>
      <c r="AD7" s="49">
        <f t="shared" si="3"/>
        <v>80666.666666666657</v>
      </c>
      <c r="AE7" s="49">
        <f t="shared" si="4"/>
        <v>0</v>
      </c>
      <c r="AF7" s="49">
        <f t="shared" si="5"/>
        <v>0</v>
      </c>
      <c r="AG7" s="49">
        <f t="shared" si="6"/>
        <v>0</v>
      </c>
      <c r="AH7" s="288">
        <f t="shared" si="7"/>
        <v>0</v>
      </c>
      <c r="AJ7" s="288">
        <f>SUM($S$4:S7)</f>
        <v>7327.7777777777774</v>
      </c>
      <c r="AK7" s="288">
        <f>AJ7/Resources!$B$10</f>
        <v>610.64814814814815</v>
      </c>
      <c r="AL7" s="288">
        <f>SUM($Y$4:Y7)</f>
        <v>0</v>
      </c>
      <c r="AM7" s="295">
        <f>AL7/Resources!$B$11</f>
        <v>0</v>
      </c>
      <c r="AN7" s="288">
        <f>SUM($L$4:L7)</f>
        <v>0</v>
      </c>
      <c r="AO7" s="288">
        <f>AN7/Resources!$B$12</f>
        <v>0</v>
      </c>
      <c r="AP7" s="288">
        <f>SUM($R$4:R7)</f>
        <v>0</v>
      </c>
      <c r="AQ7" s="288">
        <f>AP7/Resources!$B$13</f>
        <v>0</v>
      </c>
      <c r="AR7" s="288">
        <f>SUM($N$4:N7)</f>
        <v>0</v>
      </c>
      <c r="AS7" s="288">
        <f>AR7/Resources!$B$14</f>
        <v>0</v>
      </c>
      <c r="AT7" s="288">
        <f>SUM($U$4:U7)</f>
        <v>0</v>
      </c>
      <c r="AU7" s="288">
        <f>AT7/Resources!$B$15</f>
        <v>0</v>
      </c>
      <c r="AV7" s="288">
        <f>SUM($J$4:J7)</f>
        <v>89466.666666666657</v>
      </c>
      <c r="AW7" s="288">
        <f>AV7/Resources!$B$16</f>
        <v>912.92517006802711</v>
      </c>
      <c r="AX7" s="288">
        <f>SUM($O$4:O7)</f>
        <v>114200</v>
      </c>
      <c r="AY7" s="288">
        <f>AX7/Resources!$B$17</f>
        <v>1087.6190476190477</v>
      </c>
      <c r="AZ7" s="288">
        <f>SUM($I$4:I7,$K$4:K7)</f>
        <v>0</v>
      </c>
      <c r="BA7" s="288">
        <f>AZ7/Resources!$B$6</f>
        <v>0</v>
      </c>
      <c r="BB7" s="288">
        <f>SUM($D$4:D7,$G$4:G7)</f>
        <v>69066.666666666657</v>
      </c>
      <c r="BC7" s="288">
        <f>BB7/Resources!$B$7</f>
        <v>2302.2222222222217</v>
      </c>
      <c r="BD7" s="288">
        <f>SUM($C$4:C7,$H$4:H7)</f>
        <v>98000</v>
      </c>
      <c r="BE7" s="300">
        <f>BD7/Resources!$B$8</f>
        <v>3769.2307692307691</v>
      </c>
      <c r="BF7" s="288">
        <f>SUM($B$4:B7,$F$4:F7)</f>
        <v>80666.666666666657</v>
      </c>
      <c r="BG7" s="288">
        <f>BF7/Resources!$B$9</f>
        <v>2602.1505376344085</v>
      </c>
      <c r="BH7" s="288">
        <f>SUM($X$4:X7,$E$4:E7)</f>
        <v>0</v>
      </c>
      <c r="BI7" s="288">
        <f>BH7/Resources!$B$2</f>
        <v>0</v>
      </c>
      <c r="BJ7" s="288">
        <f>SUM($V$4:V7,$T$4:T7)</f>
        <v>0</v>
      </c>
      <c r="BK7" s="288">
        <f>BJ7/Resources!$B$3</f>
        <v>0</v>
      </c>
      <c r="BL7" s="288">
        <f>SUM($W$4:W7, $M$4:M7)</f>
        <v>0</v>
      </c>
      <c r="BM7" s="288">
        <f>BL7/Resources!$B$4</f>
        <v>0</v>
      </c>
      <c r="BN7" s="288">
        <f>SUM($P$4:P7,$Q$4:Q7)</f>
        <v>0</v>
      </c>
      <c r="BO7" s="297">
        <f>BN7/Resources!$B$5</f>
        <v>0</v>
      </c>
    </row>
    <row r="8" spans="1:67" ht="18">
      <c r="A8" s="34">
        <f t="shared" si="8"/>
        <v>42870</v>
      </c>
      <c r="B8" s="49">
        <f>SUMIFS(Collection!$J:$J, Collection!$A:$A, $A8, Collection!$B:$B, B$2)</f>
        <v>554500</v>
      </c>
      <c r="C8" s="49">
        <f>SUMIFS(Collection!$J:$J, Collection!$A:$A, $A8, Collection!$B:$B, C$2)</f>
        <v>0</v>
      </c>
      <c r="D8" s="49">
        <f>SUMIFS(Collection!$J:$J, Collection!$A:$A, $A8, Collection!$B:$B, D$2)</f>
        <v>461500</v>
      </c>
      <c r="E8" s="49">
        <f>SUMIFS(Collection!$J:$J, Collection!$A:$A, $A8, Collection!$B:$B, E$2)</f>
        <v>0</v>
      </c>
      <c r="F8" s="49">
        <f>SUMIFS(Collection!$J:$J, Collection!$A:$A, $A8, Collection!$B:$B, F$2)</f>
        <v>0</v>
      </c>
      <c r="G8" s="49">
        <f>SUMIFS(Collection!$J:$J, Collection!$A:$A, $A8, Collection!$B:$B, G$2)</f>
        <v>0</v>
      </c>
      <c r="H8" s="49">
        <f>SUMIFS(Collection!$J:$J, Collection!$A:$A, $A8, Collection!$B:$B, H$2)</f>
        <v>77250</v>
      </c>
      <c r="I8" s="49">
        <f>SUMIFS(Collection!$J:$J, Collection!$A:$A, $A8, Collection!$B:$B, I$2)</f>
        <v>0</v>
      </c>
      <c r="J8" s="49">
        <f>SUMIFS(Collection!$J:$J, Collection!$A:$A, $A8, Collection!$B:$B, J$2)</f>
        <v>0</v>
      </c>
      <c r="K8" s="49">
        <f>SUMIFS(Collection!$J:$J, Collection!$A:$A, $A8, Collection!$B:$B, K$2)</f>
        <v>0</v>
      </c>
      <c r="L8" s="49">
        <f>SUMIFS(Collection!$J:$J, Collection!$A:$A, $A8, Collection!$B:$B, L$2)</f>
        <v>0</v>
      </c>
      <c r="M8" s="49">
        <f>SUMIFS(Collection!$J:$J, Collection!$A:$A, $A8, Collection!$B:$B, M$2)</f>
        <v>0</v>
      </c>
      <c r="N8" s="49">
        <f>SUMIFS(Collection!$J:$J, Collection!$A:$A, $A8, Collection!$B:$B, N$2)</f>
        <v>0</v>
      </c>
      <c r="O8" s="49">
        <f>SUMIFS(Collection!$J:$J, Collection!$A:$A, $A8, Collection!$B:$B, O$2)</f>
        <v>0</v>
      </c>
      <c r="P8" s="49">
        <f>SUMIFS(Collection!$J:$J, Collection!$A:$A, $A8, Collection!$B:$B, P$2)</f>
        <v>0</v>
      </c>
      <c r="Q8" s="49">
        <f>SUMIFS(Collection!$J:$J, Collection!$A:$A, $A8, Collection!$B:$B, Q$2)</f>
        <v>0</v>
      </c>
      <c r="R8" s="49">
        <f>SUMIFS(Collection!$J:$J, Collection!$A:$A, $A8, Collection!$B:$B, R$2)</f>
        <v>0</v>
      </c>
      <c r="S8" s="49">
        <f>SUMIFS(Collection!$J:$J, Collection!$A:$A, $A8, Collection!$B:$B, S$2)</f>
        <v>0</v>
      </c>
      <c r="T8" s="49">
        <f>SUMIFS(Collection!$J:$J, Collection!$A:$A, $A8, Collection!$B:$B, T$2)</f>
        <v>0</v>
      </c>
      <c r="U8" s="49">
        <f>SUMIFS(Collection!$J:$J, Collection!$A:$A, $A8, Collection!$B:$B, U$2)</f>
        <v>0</v>
      </c>
      <c r="V8" s="49">
        <f>SUMIFS(Collection!$J:$J, Collection!$A:$A, $A8, Collection!$B:$B, V$2)</f>
        <v>0</v>
      </c>
      <c r="W8" s="49">
        <f>SUMIFS(Collection!$J:$J, Collection!$A:$A, $A8, Collection!$B:$B, W$2)</f>
        <v>0</v>
      </c>
      <c r="X8" s="49">
        <f>SUMIFS(Collection!$J:$J, Collection!$A:$A, $A8, Collection!$B:$B, X$2)</f>
        <v>0</v>
      </c>
      <c r="Y8" s="49">
        <f>SUMIFS(Collection!$J:$J, Collection!$A:$A, $A8, Collection!$B:$B, Y$2)</f>
        <v>0</v>
      </c>
      <c r="Z8" s="49"/>
      <c r="AA8" s="49">
        <f t="shared" si="0"/>
        <v>0</v>
      </c>
      <c r="AB8" s="49">
        <f t="shared" si="1"/>
        <v>461500</v>
      </c>
      <c r="AC8" s="49">
        <f t="shared" si="2"/>
        <v>77250</v>
      </c>
      <c r="AD8" s="49">
        <f t="shared" si="3"/>
        <v>554500</v>
      </c>
      <c r="AE8" s="49">
        <f t="shared" si="4"/>
        <v>0</v>
      </c>
      <c r="AF8" s="49">
        <f t="shared" si="5"/>
        <v>0</v>
      </c>
      <c r="AG8" s="49">
        <f t="shared" si="6"/>
        <v>0</v>
      </c>
      <c r="AH8" s="288">
        <f t="shared" si="7"/>
        <v>0</v>
      </c>
      <c r="AJ8" s="288">
        <f>SUM($S$4:S8)</f>
        <v>7327.7777777777774</v>
      </c>
      <c r="AK8" s="288">
        <f>AJ8/Resources!$B$10</f>
        <v>610.64814814814815</v>
      </c>
      <c r="AL8" s="288">
        <f>SUM($Y$4:Y8)</f>
        <v>0</v>
      </c>
      <c r="AM8" s="295">
        <f>AL8/Resources!$B$11</f>
        <v>0</v>
      </c>
      <c r="AN8" s="288">
        <f>SUM($L$4:L8)</f>
        <v>0</v>
      </c>
      <c r="AO8" s="288">
        <f>AN8/Resources!$B$12</f>
        <v>0</v>
      </c>
      <c r="AP8" s="288">
        <f>SUM($R$4:R8)</f>
        <v>0</v>
      </c>
      <c r="AQ8" s="288">
        <f>AP8/Resources!$B$13</f>
        <v>0</v>
      </c>
      <c r="AR8" s="288">
        <f>SUM($N$4:N8)</f>
        <v>0</v>
      </c>
      <c r="AS8" s="288">
        <f>AR8/Resources!$B$14</f>
        <v>0</v>
      </c>
      <c r="AT8" s="288">
        <f>SUM($U$4:U8)</f>
        <v>0</v>
      </c>
      <c r="AU8" s="288">
        <f>AT8/Resources!$B$15</f>
        <v>0</v>
      </c>
      <c r="AV8" s="288">
        <f>SUM($J$4:J8)</f>
        <v>89466.666666666657</v>
      </c>
      <c r="AW8" s="288">
        <f>AV8/Resources!$B$16</f>
        <v>912.92517006802711</v>
      </c>
      <c r="AX8" s="288">
        <f>SUM($O$4:O8)</f>
        <v>114200</v>
      </c>
      <c r="AY8" s="288">
        <f>AX8/Resources!$B$17</f>
        <v>1087.6190476190477</v>
      </c>
      <c r="AZ8" s="288">
        <f>SUM($I$4:I8,$K$4:K8)</f>
        <v>0</v>
      </c>
      <c r="BA8" s="288">
        <f>AZ8/Resources!$B$6</f>
        <v>0</v>
      </c>
      <c r="BB8" s="288">
        <f>SUM($D$4:D8,$G$4:G8)</f>
        <v>530566.66666666663</v>
      </c>
      <c r="BC8" s="288">
        <f>BB8/Resources!$B$7</f>
        <v>17685.555555555555</v>
      </c>
      <c r="BD8" s="288">
        <f>SUM($C$4:C8,$H$4:H8)</f>
        <v>175250</v>
      </c>
      <c r="BE8" s="300">
        <f>BD8/Resources!$B$8</f>
        <v>6740.3846153846152</v>
      </c>
      <c r="BF8" s="288">
        <f>SUM($B$4:B8,$F$4:F8)</f>
        <v>635166.66666666663</v>
      </c>
      <c r="BG8" s="288">
        <f>BF8/Resources!$B$9</f>
        <v>20489.247311827956</v>
      </c>
      <c r="BH8" s="288">
        <f>SUM($X$4:X8,$E$4:E8)</f>
        <v>0</v>
      </c>
      <c r="BI8" s="288">
        <f>BH8/Resources!$B$2</f>
        <v>0</v>
      </c>
      <c r="BJ8" s="288">
        <f>SUM($V$4:V8,$T$4:T8)</f>
        <v>0</v>
      </c>
      <c r="BK8" s="288">
        <f>BJ8/Resources!$B$3</f>
        <v>0</v>
      </c>
      <c r="BL8" s="288">
        <f>SUM($W$4:W8, $M$4:M8)</f>
        <v>0</v>
      </c>
      <c r="BM8" s="288">
        <f>BL8/Resources!$B$4</f>
        <v>0</v>
      </c>
      <c r="BN8" s="288">
        <f>SUM($P$4:P8,$Q$4:Q8)</f>
        <v>0</v>
      </c>
      <c r="BO8" s="297">
        <f>BN8/Resources!$B$5</f>
        <v>0</v>
      </c>
    </row>
    <row r="9" spans="1:67" ht="18">
      <c r="A9" s="34">
        <f t="shared" si="8"/>
        <v>42871</v>
      </c>
      <c r="B9" s="49">
        <f>SUMIFS(Collection!$J:$J, Collection!$A:$A, $A9, Collection!$B:$B, B$2)</f>
        <v>0</v>
      </c>
      <c r="C9" s="49">
        <f>SUMIFS(Collection!$J:$J, Collection!$A:$A, $A9, Collection!$B:$B, C$2)</f>
        <v>0</v>
      </c>
      <c r="D9" s="49">
        <f>SUMIFS(Collection!$J:$J, Collection!$A:$A, $A9, Collection!$B:$B, D$2)</f>
        <v>0</v>
      </c>
      <c r="E9" s="49">
        <f>SUMIFS(Collection!$J:$J, Collection!$A:$A, $A9, Collection!$B:$B, E$2)</f>
        <v>0</v>
      </c>
      <c r="F9" s="49">
        <f>SUMIFS(Collection!$J:$J, Collection!$A:$A, $A9, Collection!$B:$B, F$2)</f>
        <v>0</v>
      </c>
      <c r="G9" s="49">
        <f>SUMIFS(Collection!$J:$J, Collection!$A:$A, $A9, Collection!$B:$B, G$2)</f>
        <v>0</v>
      </c>
      <c r="H9" s="49">
        <f>SUMIFS(Collection!$J:$J, Collection!$A:$A, $A9, Collection!$B:$B, H$2)</f>
        <v>0</v>
      </c>
      <c r="I9" s="49">
        <f>SUMIFS(Collection!$J:$J, Collection!$A:$A, $A9, Collection!$B:$B, I$2)</f>
        <v>0</v>
      </c>
      <c r="J9" s="49">
        <f>SUMIFS(Collection!$J:$J, Collection!$A:$A, $A9, Collection!$B:$B, J$2)</f>
        <v>0</v>
      </c>
      <c r="K9" s="49">
        <f>SUMIFS(Collection!$J:$J, Collection!$A:$A, $A9, Collection!$B:$B, K$2)</f>
        <v>0</v>
      </c>
      <c r="L9" s="49">
        <f>SUMIFS(Collection!$J:$J, Collection!$A:$A, $A9, Collection!$B:$B, L$2)</f>
        <v>0</v>
      </c>
      <c r="M9" s="49">
        <f>SUMIFS(Collection!$J:$J, Collection!$A:$A, $A9, Collection!$B:$B, M$2)</f>
        <v>0</v>
      </c>
      <c r="N9" s="49">
        <f>SUMIFS(Collection!$J:$J, Collection!$A:$A, $A9, Collection!$B:$B, N$2)</f>
        <v>0</v>
      </c>
      <c r="O9" s="49">
        <f>SUMIFS(Collection!$J:$J, Collection!$A:$A, $A9, Collection!$B:$B, O$2)</f>
        <v>0</v>
      </c>
      <c r="P9" s="49">
        <f>SUMIFS(Collection!$J:$J, Collection!$A:$A, $A9, Collection!$B:$B, P$2)</f>
        <v>0</v>
      </c>
      <c r="Q9" s="49">
        <f>SUMIFS(Collection!$J:$J, Collection!$A:$A, $A9, Collection!$B:$B, Q$2)</f>
        <v>0</v>
      </c>
      <c r="R9" s="49">
        <f>SUMIFS(Collection!$J:$J, Collection!$A:$A, $A9, Collection!$B:$B, R$2)</f>
        <v>0</v>
      </c>
      <c r="S9" s="49">
        <f>SUMIFS(Collection!$J:$J, Collection!$A:$A, $A9, Collection!$B:$B, S$2)</f>
        <v>0</v>
      </c>
      <c r="T9" s="49">
        <f>SUMIFS(Collection!$J:$J, Collection!$A:$A, $A9, Collection!$B:$B, T$2)</f>
        <v>0</v>
      </c>
      <c r="U9" s="49">
        <f>SUMIFS(Collection!$J:$J, Collection!$A:$A, $A9, Collection!$B:$B, U$2)</f>
        <v>0</v>
      </c>
      <c r="V9" s="49">
        <f>SUMIFS(Collection!$J:$J, Collection!$A:$A, $A9, Collection!$B:$B, V$2)</f>
        <v>0</v>
      </c>
      <c r="W9" s="49">
        <f>SUMIFS(Collection!$J:$J, Collection!$A:$A, $A9, Collection!$B:$B, W$2)</f>
        <v>0</v>
      </c>
      <c r="X9" s="49">
        <f>SUMIFS(Collection!$J:$J, Collection!$A:$A, $A9, Collection!$B:$B, X$2)</f>
        <v>0</v>
      </c>
      <c r="Y9" s="49">
        <f>SUMIFS(Collection!$J:$J, Collection!$A:$A, $A9, Collection!$B:$B, Y$2)</f>
        <v>0</v>
      </c>
      <c r="Z9" s="49"/>
      <c r="AA9" s="49">
        <f t="shared" si="0"/>
        <v>0</v>
      </c>
      <c r="AB9" s="49">
        <f t="shared" si="1"/>
        <v>0</v>
      </c>
      <c r="AC9" s="49">
        <f t="shared" si="2"/>
        <v>0</v>
      </c>
      <c r="AD9" s="49">
        <f t="shared" si="3"/>
        <v>0</v>
      </c>
      <c r="AE9" s="49">
        <f t="shared" si="4"/>
        <v>0</v>
      </c>
      <c r="AF9" s="49">
        <f t="shared" si="5"/>
        <v>0</v>
      </c>
      <c r="AG9" s="49">
        <f t="shared" si="6"/>
        <v>0</v>
      </c>
      <c r="AH9" s="288">
        <f t="shared" si="7"/>
        <v>0</v>
      </c>
      <c r="AJ9" s="288">
        <f>SUM($S$4:S9)</f>
        <v>7327.7777777777774</v>
      </c>
      <c r="AK9" s="288">
        <f>AJ9/Resources!$B$10</f>
        <v>610.64814814814815</v>
      </c>
      <c r="AL9" s="288">
        <f>SUM($Y$4:Y9)</f>
        <v>0</v>
      </c>
      <c r="AM9" s="295">
        <f>AL9/Resources!$B$11</f>
        <v>0</v>
      </c>
      <c r="AN9" s="288">
        <f>SUM($L$4:L9)</f>
        <v>0</v>
      </c>
      <c r="AO9" s="288">
        <f>AN9/Resources!$B$12</f>
        <v>0</v>
      </c>
      <c r="AP9" s="288">
        <f>SUM($R$4:R9)</f>
        <v>0</v>
      </c>
      <c r="AQ9" s="288">
        <f>AP9/Resources!$B$13</f>
        <v>0</v>
      </c>
      <c r="AR9" s="288">
        <f>SUM($N$4:N9)</f>
        <v>0</v>
      </c>
      <c r="AS9" s="288">
        <f>AR9/Resources!$B$14</f>
        <v>0</v>
      </c>
      <c r="AT9" s="288">
        <f>SUM($U$4:U9)</f>
        <v>0</v>
      </c>
      <c r="AU9" s="288">
        <f>AT9/Resources!$B$15</f>
        <v>0</v>
      </c>
      <c r="AV9" s="288">
        <f>SUM($J$4:J9)</f>
        <v>89466.666666666657</v>
      </c>
      <c r="AW9" s="288">
        <f>AV9/Resources!$B$16</f>
        <v>912.92517006802711</v>
      </c>
      <c r="AX9" s="288">
        <f>SUM($O$4:O9)</f>
        <v>114200</v>
      </c>
      <c r="AY9" s="288">
        <f>AX9/Resources!$B$17</f>
        <v>1087.6190476190477</v>
      </c>
      <c r="AZ9" s="288">
        <f>SUM($I$4:I9,$K$4:K9)</f>
        <v>0</v>
      </c>
      <c r="BA9" s="288">
        <f>AZ9/Resources!$B$6</f>
        <v>0</v>
      </c>
      <c r="BB9" s="288">
        <f>SUM($D$4:D9,$G$4:G9)</f>
        <v>530566.66666666663</v>
      </c>
      <c r="BC9" s="288">
        <f>BB9/Resources!$B$7</f>
        <v>17685.555555555555</v>
      </c>
      <c r="BD9" s="288">
        <f>SUM($C$4:C9,$H$4:H9)</f>
        <v>175250</v>
      </c>
      <c r="BE9" s="300">
        <f>BD9/Resources!$B$8</f>
        <v>6740.3846153846152</v>
      </c>
      <c r="BF9" s="288">
        <f>SUM($B$4:B9,$F$4:F9)</f>
        <v>635166.66666666663</v>
      </c>
      <c r="BG9" s="288">
        <f>BF9/Resources!$B$9</f>
        <v>20489.247311827956</v>
      </c>
      <c r="BH9" s="288">
        <f>SUM($X$4:X9,$E$4:E9)</f>
        <v>0</v>
      </c>
      <c r="BI9" s="288">
        <f>BH9/Resources!$B$2</f>
        <v>0</v>
      </c>
      <c r="BJ9" s="288">
        <f>SUM($V$4:V9,$T$4:T9)</f>
        <v>0</v>
      </c>
      <c r="BK9" s="288">
        <f>BJ9/Resources!$B$3</f>
        <v>0</v>
      </c>
      <c r="BL9" s="288">
        <f>SUM($W$4:W9, $M$4:M9)</f>
        <v>0</v>
      </c>
      <c r="BM9" s="288">
        <f>BL9/Resources!$B$4</f>
        <v>0</v>
      </c>
      <c r="BN9" s="288">
        <f>SUM($P$4:P9,$Q$4:Q9)</f>
        <v>0</v>
      </c>
      <c r="BO9" s="297">
        <f>BN9/Resources!$B$5</f>
        <v>0</v>
      </c>
    </row>
    <row r="10" spans="1:67" ht="18">
      <c r="A10" s="34">
        <f t="shared" si="8"/>
        <v>42872</v>
      </c>
      <c r="B10" s="49">
        <f>SUMIFS(Collection!$J:$J, Collection!$A:$A, $A10, Collection!$B:$B, B$2)</f>
        <v>53000</v>
      </c>
      <c r="C10" s="49">
        <f>SUMIFS(Collection!$J:$J, Collection!$A:$A, $A10, Collection!$B:$B, C$2)</f>
        <v>404466.66666666669</v>
      </c>
      <c r="D10" s="49">
        <f>SUMIFS(Collection!$J:$J, Collection!$A:$A, $A10, Collection!$B:$B, D$2)</f>
        <v>1416.6666666666667</v>
      </c>
      <c r="E10" s="49">
        <f>SUMIFS(Collection!$J:$J, Collection!$A:$A, $A10, Collection!$B:$B, E$2)</f>
        <v>0</v>
      </c>
      <c r="F10" s="49">
        <f>SUMIFS(Collection!$J:$J, Collection!$A:$A, $A10, Collection!$B:$B, F$2)</f>
        <v>9400</v>
      </c>
      <c r="G10" s="49">
        <f>SUMIFS(Collection!$J:$J, Collection!$A:$A, $A10, Collection!$B:$B, G$2)</f>
        <v>218033.33333333331</v>
      </c>
      <c r="H10" s="49">
        <f>SUMIFS(Collection!$J:$J, Collection!$A:$A, $A10, Collection!$B:$B, H$2)</f>
        <v>2666.6666666666665</v>
      </c>
      <c r="I10" s="49">
        <f>SUMIFS(Collection!$J:$J, Collection!$A:$A, $A10, Collection!$B:$B, I$2)</f>
        <v>0</v>
      </c>
      <c r="J10" s="49">
        <f>SUMIFS(Collection!$J:$J, Collection!$A:$A, $A10, Collection!$B:$B, J$2)</f>
        <v>0</v>
      </c>
      <c r="K10" s="49">
        <f>SUMIFS(Collection!$J:$J, Collection!$A:$A, $A10, Collection!$B:$B, K$2)</f>
        <v>0</v>
      </c>
      <c r="L10" s="49">
        <f>SUMIFS(Collection!$J:$J, Collection!$A:$A, $A10, Collection!$B:$B, L$2)</f>
        <v>0</v>
      </c>
      <c r="M10" s="49">
        <f>SUMIFS(Collection!$J:$J, Collection!$A:$A, $A10, Collection!$B:$B, M$2)</f>
        <v>0</v>
      </c>
      <c r="N10" s="49">
        <f>SUMIFS(Collection!$J:$J, Collection!$A:$A, $A10, Collection!$B:$B, N$2)</f>
        <v>0</v>
      </c>
      <c r="O10" s="49">
        <f>SUMIFS(Collection!$J:$J, Collection!$A:$A, $A10, Collection!$B:$B, O$2)</f>
        <v>0</v>
      </c>
      <c r="P10" s="49">
        <f>SUMIFS(Collection!$J:$J, Collection!$A:$A, $A10, Collection!$B:$B, P$2)</f>
        <v>0</v>
      </c>
      <c r="Q10" s="49">
        <f>SUMIFS(Collection!$J:$J, Collection!$A:$A, $A10, Collection!$B:$B, Q$2)</f>
        <v>245666.66666666666</v>
      </c>
      <c r="R10" s="49">
        <f>SUMIFS(Collection!$J:$J, Collection!$A:$A, $A10, Collection!$B:$B, R$2)</f>
        <v>0</v>
      </c>
      <c r="S10" s="49">
        <f>SUMIFS(Collection!$J:$J, Collection!$A:$A, $A10, Collection!$B:$B, S$2)</f>
        <v>142666.66666666666</v>
      </c>
      <c r="T10" s="49">
        <f>SUMIFS(Collection!$J:$J, Collection!$A:$A, $A10, Collection!$B:$B, T$2)</f>
        <v>0</v>
      </c>
      <c r="U10" s="49">
        <f>SUMIFS(Collection!$J:$J, Collection!$A:$A, $A10, Collection!$B:$B, U$2)</f>
        <v>0</v>
      </c>
      <c r="V10" s="49">
        <f>SUMIFS(Collection!$J:$J, Collection!$A:$A, $A10, Collection!$B:$B, V$2)</f>
        <v>0</v>
      </c>
      <c r="W10" s="49">
        <f>SUMIFS(Collection!$J:$J, Collection!$A:$A, $A10, Collection!$B:$B, W$2)</f>
        <v>0</v>
      </c>
      <c r="X10" s="49">
        <f>SUMIFS(Collection!$J:$J, Collection!$A:$A, $A10, Collection!$B:$B, X$2)</f>
        <v>0</v>
      </c>
      <c r="Y10" s="49">
        <f>SUMIFS(Collection!$J:$J, Collection!$A:$A, $A10, Collection!$B:$B, Y$2)</f>
        <v>0</v>
      </c>
      <c r="Z10" s="49"/>
      <c r="AA10" s="49">
        <f t="shared" si="0"/>
        <v>0</v>
      </c>
      <c r="AB10" s="49">
        <f t="shared" si="1"/>
        <v>219449.99999999997</v>
      </c>
      <c r="AC10" s="49">
        <f t="shared" si="2"/>
        <v>407133.33333333337</v>
      </c>
      <c r="AD10" s="49">
        <f t="shared" si="3"/>
        <v>62400</v>
      </c>
      <c r="AE10" s="49">
        <f t="shared" si="4"/>
        <v>0</v>
      </c>
      <c r="AF10" s="49">
        <f t="shared" si="5"/>
        <v>0</v>
      </c>
      <c r="AG10" s="49">
        <f t="shared" si="6"/>
        <v>0</v>
      </c>
      <c r="AH10" s="288">
        <f t="shared" si="7"/>
        <v>245666.66666666666</v>
      </c>
      <c r="AJ10" s="288">
        <f>SUM($S$4:S10)</f>
        <v>149994.44444444444</v>
      </c>
      <c r="AK10" s="288">
        <f>AJ10/Resources!$B$10</f>
        <v>12499.537037037036</v>
      </c>
      <c r="AL10" s="288">
        <f>SUM($Y$4:Y10)</f>
        <v>0</v>
      </c>
      <c r="AM10" s="295">
        <f>AL10/Resources!$B$11</f>
        <v>0</v>
      </c>
      <c r="AN10" s="288">
        <f>SUM($L$4:L10)</f>
        <v>0</v>
      </c>
      <c r="AO10" s="288">
        <f>AN10/Resources!$B$12</f>
        <v>0</v>
      </c>
      <c r="AP10" s="288">
        <f>SUM($R$4:R10)</f>
        <v>0</v>
      </c>
      <c r="AQ10" s="288">
        <f>AP10/Resources!$B$13</f>
        <v>0</v>
      </c>
      <c r="AR10" s="288">
        <f>SUM($N$4:N10)</f>
        <v>0</v>
      </c>
      <c r="AS10" s="288">
        <f>AR10/Resources!$B$14</f>
        <v>0</v>
      </c>
      <c r="AT10" s="288">
        <f>SUM($U$4:U10)</f>
        <v>0</v>
      </c>
      <c r="AU10" s="288">
        <f>AT10/Resources!$B$15</f>
        <v>0</v>
      </c>
      <c r="AV10" s="288">
        <f>SUM($J$4:J10)</f>
        <v>89466.666666666657</v>
      </c>
      <c r="AW10" s="288">
        <f>AV10/Resources!$B$16</f>
        <v>912.92517006802711</v>
      </c>
      <c r="AX10" s="288">
        <f>SUM($O$4:O10)</f>
        <v>114200</v>
      </c>
      <c r="AY10" s="288">
        <f>AX10/Resources!$B$17</f>
        <v>1087.6190476190477</v>
      </c>
      <c r="AZ10" s="288">
        <f>SUM($I$4:I10,$K$4:K10)</f>
        <v>0</v>
      </c>
      <c r="BA10" s="288">
        <f>AZ10/Resources!$B$6</f>
        <v>0</v>
      </c>
      <c r="BB10" s="288">
        <f>SUM($D$4:D10,$G$4:G10)</f>
        <v>750016.66666666651</v>
      </c>
      <c r="BC10" s="288">
        <f>BB10/Resources!$B$7</f>
        <v>25000.555555555551</v>
      </c>
      <c r="BD10" s="288">
        <f>SUM($C$4:C10,$H$4:H10)</f>
        <v>582383.33333333337</v>
      </c>
      <c r="BE10" s="300">
        <f>BD10/Resources!$B$8</f>
        <v>22399.358974358976</v>
      </c>
      <c r="BF10" s="288">
        <f>SUM($B$4:B10,$F$4:F10)</f>
        <v>697566.66666666663</v>
      </c>
      <c r="BG10" s="288">
        <f>BF10/Resources!$B$9</f>
        <v>22502.150537634407</v>
      </c>
      <c r="BH10" s="288">
        <f>SUM($X$4:X10,$E$4:E10)</f>
        <v>0</v>
      </c>
      <c r="BI10" s="288">
        <f>BH10/Resources!$B$2</f>
        <v>0</v>
      </c>
      <c r="BJ10" s="288">
        <f>SUM($V$4:V10,$T$4:T10)</f>
        <v>0</v>
      </c>
      <c r="BK10" s="288">
        <f>BJ10/Resources!$B$3</f>
        <v>0</v>
      </c>
      <c r="BL10" s="288">
        <f>SUM($W$4:W10, $M$4:M10)</f>
        <v>0</v>
      </c>
      <c r="BM10" s="288">
        <f>BL10/Resources!$B$4</f>
        <v>0</v>
      </c>
      <c r="BN10" s="288">
        <f>SUM($P$4:P10,$Q$4:Q10)</f>
        <v>245666.66666666666</v>
      </c>
      <c r="BO10" s="297">
        <f>BN10/Resources!$B$5</f>
        <v>9098.7654320987658</v>
      </c>
    </row>
    <row r="11" spans="1:67" s="52" customFormat="1" ht="19" thickBot="1">
      <c r="A11" s="50">
        <f t="shared" si="8"/>
        <v>42873</v>
      </c>
      <c r="B11" s="51">
        <f>SUMIFS(Collection!$J:$J, Collection!$A:$A, $A11, Collection!$B:$B, B$2)</f>
        <v>250</v>
      </c>
      <c r="C11" s="51">
        <f>SUMIFS(Collection!$J:$J, Collection!$A:$A, $A11, Collection!$B:$B, C$2)</f>
        <v>11200</v>
      </c>
      <c r="D11" s="51">
        <f>SUMIFS(Collection!$J:$J, Collection!$A:$A, $A11, Collection!$B:$B, D$2)</f>
        <v>0</v>
      </c>
      <c r="E11" s="51">
        <f>SUMIFS(Collection!$J:$J, Collection!$A:$A, $A11, Collection!$B:$B, E$2)</f>
        <v>0</v>
      </c>
      <c r="F11" s="51">
        <f>SUMIFS(Collection!$J:$J, Collection!$A:$A, $A11, Collection!$B:$B, F$2)</f>
        <v>5750</v>
      </c>
      <c r="G11" s="51">
        <f>SUMIFS(Collection!$J:$J, Collection!$A:$A, $A11, Collection!$B:$B, G$2)</f>
        <v>3583.3333333333335</v>
      </c>
      <c r="H11" s="51">
        <f>SUMIFS(Collection!$J:$J, Collection!$A:$A, $A11, Collection!$B:$B, H$2)</f>
        <v>200</v>
      </c>
      <c r="I11" s="51">
        <f>SUMIFS(Collection!$J:$J, Collection!$A:$A, $A11, Collection!$B:$B, I$2)</f>
        <v>0</v>
      </c>
      <c r="J11" s="51">
        <f>SUMIFS(Collection!$J:$J, Collection!$A:$A, $A11, Collection!$B:$B, J$2)</f>
        <v>0</v>
      </c>
      <c r="K11" s="51">
        <f>SUMIFS(Collection!$J:$J, Collection!$A:$A, $A11, Collection!$B:$B, K$2)</f>
        <v>0</v>
      </c>
      <c r="L11" s="51">
        <f>SUMIFS(Collection!$J:$J, Collection!$A:$A, $A11, Collection!$B:$B, L$2)</f>
        <v>0</v>
      </c>
      <c r="M11" s="51">
        <f>SUMIFS(Collection!$J:$J, Collection!$A:$A, $A11, Collection!$B:$B, M$2)</f>
        <v>0</v>
      </c>
      <c r="N11" s="51">
        <f>SUMIFS(Collection!$J:$J, Collection!$A:$A, $A11, Collection!$B:$B, N$2)</f>
        <v>0</v>
      </c>
      <c r="O11" s="51">
        <f>SUMIFS(Collection!$J:$J, Collection!$A:$A, $A11, Collection!$B:$B, O$2)</f>
        <v>0</v>
      </c>
      <c r="P11" s="51">
        <f>SUMIFS(Collection!$J:$J, Collection!$A:$A, $A11, Collection!$B:$B, P$2)</f>
        <v>0</v>
      </c>
      <c r="Q11" s="51">
        <f>SUMIFS(Collection!$J:$J, Collection!$A:$A, $A11, Collection!$B:$B, Q$2)</f>
        <v>1000</v>
      </c>
      <c r="R11" s="51">
        <f>SUMIFS(Collection!$J:$J, Collection!$A:$A, $A11, Collection!$B:$B, R$2)</f>
        <v>0</v>
      </c>
      <c r="S11" s="51">
        <f>SUMIFS(Collection!$J:$J, Collection!$A:$A, $A11, Collection!$B:$B, S$2)</f>
        <v>0</v>
      </c>
      <c r="T11" s="51">
        <f>SUMIFS(Collection!$J:$J, Collection!$A:$A, $A11, Collection!$B:$B, T$2)</f>
        <v>0</v>
      </c>
      <c r="U11" s="51">
        <f>SUMIFS(Collection!$J:$J, Collection!$A:$A, $A11, Collection!$B:$B, U$2)</f>
        <v>0</v>
      </c>
      <c r="V11" s="51">
        <f>SUMIFS(Collection!$J:$J, Collection!$A:$A, $A11, Collection!$B:$B, V$2)</f>
        <v>0</v>
      </c>
      <c r="W11" s="51">
        <f>SUMIFS(Collection!$J:$J, Collection!$A:$A, $A11, Collection!$B:$B, W$2)</f>
        <v>0</v>
      </c>
      <c r="X11" s="51">
        <f>SUMIFS(Collection!$J:$J, Collection!$A:$A, $A11, Collection!$B:$B, X$2)</f>
        <v>0</v>
      </c>
      <c r="Y11" s="51">
        <f>SUMIFS(Collection!$J:$J, Collection!$A:$A, $A11, Collection!$B:$B, Y$2)</f>
        <v>0</v>
      </c>
      <c r="Z11" s="51"/>
      <c r="AA11" s="49">
        <f t="shared" si="0"/>
        <v>0</v>
      </c>
      <c r="AB11" s="49">
        <f t="shared" si="1"/>
        <v>3583.3333333333335</v>
      </c>
      <c r="AC11" s="49">
        <f t="shared" si="2"/>
        <v>11400</v>
      </c>
      <c r="AD11" s="49">
        <f t="shared" si="3"/>
        <v>6000</v>
      </c>
      <c r="AE11" s="49">
        <f t="shared" si="4"/>
        <v>0</v>
      </c>
      <c r="AF11" s="49">
        <f t="shared" si="5"/>
        <v>0</v>
      </c>
      <c r="AG11" s="49">
        <f t="shared" si="6"/>
        <v>0</v>
      </c>
      <c r="AH11" s="288">
        <f t="shared" si="7"/>
        <v>1000</v>
      </c>
      <c r="AI11" s="57"/>
      <c r="AJ11" s="288">
        <f>SUM($S$4:S11)</f>
        <v>149994.44444444444</v>
      </c>
      <c r="AK11" s="288">
        <f>AJ11/Resources!$B$10</f>
        <v>12499.537037037036</v>
      </c>
      <c r="AL11" s="288">
        <f>SUM($Y$4:Y11)</f>
        <v>0</v>
      </c>
      <c r="AM11" s="295">
        <f>AL11/Resources!$B$11</f>
        <v>0</v>
      </c>
      <c r="AN11" s="288">
        <f>SUM($L$4:L11)</f>
        <v>0</v>
      </c>
      <c r="AO11" s="288">
        <f>AN11/Resources!$B$12</f>
        <v>0</v>
      </c>
      <c r="AP11" s="288">
        <f>SUM($R$4:R11)</f>
        <v>0</v>
      </c>
      <c r="AQ11" s="288">
        <f>AP11/Resources!$B$13</f>
        <v>0</v>
      </c>
      <c r="AR11" s="288">
        <f>SUM($N$4:N11)</f>
        <v>0</v>
      </c>
      <c r="AS11" s="288">
        <f>AR11/Resources!$B$14</f>
        <v>0</v>
      </c>
      <c r="AT11" s="288">
        <f>SUM($U$4:U11)</f>
        <v>0</v>
      </c>
      <c r="AU11" s="288">
        <f>AT11/Resources!$B$15</f>
        <v>0</v>
      </c>
      <c r="AV11" s="288">
        <f>SUM($J$4:J11)</f>
        <v>89466.666666666657</v>
      </c>
      <c r="AW11" s="288">
        <f>AV11/Resources!$B$16</f>
        <v>912.92517006802711</v>
      </c>
      <c r="AX11" s="288">
        <f>SUM($O$4:O11)</f>
        <v>114200</v>
      </c>
      <c r="AY11" s="288">
        <f>AX11/Resources!$B$17</f>
        <v>1087.6190476190477</v>
      </c>
      <c r="AZ11" s="288">
        <f>SUM($I$4:I11,$K$4:K11)</f>
        <v>0</v>
      </c>
      <c r="BA11" s="288">
        <f>AZ11/Resources!$B$6</f>
        <v>0</v>
      </c>
      <c r="BB11" s="288">
        <f>SUM($D$4:D11,$G$4:G11)</f>
        <v>753599.99999999988</v>
      </c>
      <c r="BC11" s="288">
        <f>BB11/Resources!$B$7</f>
        <v>25119.999999999996</v>
      </c>
      <c r="BD11" s="288">
        <f>SUM($C$4:C11,$H$4:H11)</f>
        <v>593783.33333333337</v>
      </c>
      <c r="BE11" s="300">
        <f>BD11/Resources!$B$8</f>
        <v>22837.820512820515</v>
      </c>
      <c r="BF11" s="288">
        <f>SUM($B$4:B11,$F$4:F11)</f>
        <v>703566.66666666663</v>
      </c>
      <c r="BG11" s="288">
        <f>BF11/Resources!$B$9</f>
        <v>22695.698924731183</v>
      </c>
      <c r="BH11" s="288">
        <f>SUM($X$4:X11,$E$4:E11)</f>
        <v>0</v>
      </c>
      <c r="BI11" s="288">
        <f>BH11/Resources!$B$2</f>
        <v>0</v>
      </c>
      <c r="BJ11" s="288">
        <f>SUM($V$4:V11,$T$4:T11)</f>
        <v>0</v>
      </c>
      <c r="BK11" s="288">
        <f>BJ11/Resources!$B$3</f>
        <v>0</v>
      </c>
      <c r="BL11" s="288">
        <f>SUM($W$4:W11, $M$4:M11)</f>
        <v>0</v>
      </c>
      <c r="BM11" s="288">
        <f>BL11/Resources!$B$4</f>
        <v>0</v>
      </c>
      <c r="BN11" s="288">
        <f>SUM($P$4:P11,$Q$4:Q11)</f>
        <v>246666.66666666666</v>
      </c>
      <c r="BO11" s="297">
        <f>BN11/Resources!$B$5</f>
        <v>9135.8024691358023</v>
      </c>
    </row>
    <row r="12" spans="1:67" ht="19" thickTop="1">
      <c r="A12" s="34">
        <f t="shared" si="8"/>
        <v>42874</v>
      </c>
      <c r="B12" s="49">
        <f>SUMIFS(Collection!$J:$J, Collection!$A:$A, $A12, Collection!$B:$B, B$2)</f>
        <v>0</v>
      </c>
      <c r="C12" s="49">
        <f>SUMIFS(Collection!$J:$J, Collection!$A:$A, $A12, Collection!$B:$B, C$2)</f>
        <v>0</v>
      </c>
      <c r="D12" s="49">
        <f>SUMIFS(Collection!$J:$J, Collection!$A:$A, $A12, Collection!$B:$B, D$2)</f>
        <v>0</v>
      </c>
      <c r="E12" s="49">
        <f>SUMIFS(Collection!$J:$J, Collection!$A:$A, $A12, Collection!$B:$B, E$2)</f>
        <v>0</v>
      </c>
      <c r="F12" s="49">
        <f>SUMIFS(Collection!$J:$J, Collection!$A:$A, $A12, Collection!$B:$B, F$2)</f>
        <v>201600</v>
      </c>
      <c r="G12" s="49">
        <f>SUMIFS(Collection!$J:$J, Collection!$A:$A, $A12, Collection!$B:$B, G$2)</f>
        <v>0</v>
      </c>
      <c r="H12" s="49">
        <f>SUMIFS(Collection!$J:$J, Collection!$A:$A, $A12, Collection!$B:$B, H$2)</f>
        <v>0</v>
      </c>
      <c r="I12" s="49">
        <f>SUMIFS(Collection!$J:$J, Collection!$A:$A, $A12, Collection!$B:$B, I$2)</f>
        <v>0</v>
      </c>
      <c r="J12" s="49">
        <f>SUMIFS(Collection!$J:$J, Collection!$A:$A, $A12, Collection!$B:$B, J$2)</f>
        <v>0</v>
      </c>
      <c r="K12" s="49">
        <f>SUMIFS(Collection!$J:$J, Collection!$A:$A, $A12, Collection!$B:$B, K$2)</f>
        <v>0</v>
      </c>
      <c r="L12" s="49">
        <f>SUMIFS(Collection!$J:$J, Collection!$A:$A, $A12, Collection!$B:$B, L$2)</f>
        <v>0</v>
      </c>
      <c r="M12" s="49">
        <f>SUMIFS(Collection!$J:$J, Collection!$A:$A, $A12, Collection!$B:$B, M$2)</f>
        <v>0</v>
      </c>
      <c r="N12" s="49">
        <f>SUMIFS(Collection!$J:$J, Collection!$A:$A, $A12, Collection!$B:$B, N$2)</f>
        <v>0</v>
      </c>
      <c r="O12" s="49">
        <f>SUMIFS(Collection!$J:$J, Collection!$A:$A, $A12, Collection!$B:$B, O$2)</f>
        <v>0</v>
      </c>
      <c r="P12" s="49">
        <f>SUMIFS(Collection!$J:$J, Collection!$A:$A, $A12, Collection!$B:$B, P$2)</f>
        <v>0</v>
      </c>
      <c r="Q12" s="49">
        <f>SUMIFS(Collection!$J:$J, Collection!$A:$A, $A12, Collection!$B:$B, Q$2)</f>
        <v>0</v>
      </c>
      <c r="R12" s="49">
        <f>SUMIFS(Collection!$J:$J, Collection!$A:$A, $A12, Collection!$B:$B, R$2)</f>
        <v>0</v>
      </c>
      <c r="S12" s="49">
        <f>SUMIFS(Collection!$J:$J, Collection!$A:$A, $A12, Collection!$B:$B, S$2)</f>
        <v>0</v>
      </c>
      <c r="T12" s="49">
        <f>SUMIFS(Collection!$J:$J, Collection!$A:$A, $A12, Collection!$B:$B, T$2)</f>
        <v>350</v>
      </c>
      <c r="U12" s="49">
        <f>SUMIFS(Collection!$J:$J, Collection!$A:$A, $A12, Collection!$B:$B, U$2)</f>
        <v>2041.6666666666665</v>
      </c>
      <c r="V12" s="49">
        <f>SUMIFS(Collection!$J:$J, Collection!$A:$A, $A12, Collection!$B:$B, V$2)</f>
        <v>0</v>
      </c>
      <c r="W12" s="49">
        <f>SUMIFS(Collection!$J:$J, Collection!$A:$A, $A12, Collection!$B:$B, W$2)</f>
        <v>0</v>
      </c>
      <c r="X12" s="49">
        <f>SUMIFS(Collection!$J:$J, Collection!$A:$A, $A12, Collection!$B:$B, X$2)</f>
        <v>0</v>
      </c>
      <c r="Y12" s="49">
        <f>SUMIFS(Collection!$J:$J, Collection!$A:$A, $A12, Collection!$B:$B, Y$2)</f>
        <v>0</v>
      </c>
      <c r="Z12" s="49"/>
      <c r="AA12" s="49">
        <f t="shared" si="0"/>
        <v>0</v>
      </c>
      <c r="AB12" s="49">
        <f t="shared" si="1"/>
        <v>0</v>
      </c>
      <c r="AC12" s="49">
        <f t="shared" si="2"/>
        <v>0</v>
      </c>
      <c r="AD12" s="49">
        <f t="shared" si="3"/>
        <v>201600</v>
      </c>
      <c r="AE12" s="49">
        <f t="shared" si="4"/>
        <v>0</v>
      </c>
      <c r="AF12" s="49">
        <f t="shared" si="5"/>
        <v>350</v>
      </c>
      <c r="AG12" s="49">
        <f t="shared" si="6"/>
        <v>0</v>
      </c>
      <c r="AH12" s="288">
        <f t="shared" si="7"/>
        <v>0</v>
      </c>
      <c r="AJ12" s="288">
        <f>SUM($S$4:S12)</f>
        <v>149994.44444444444</v>
      </c>
      <c r="AK12" s="288">
        <f>AJ12/Resources!$B$10</f>
        <v>12499.537037037036</v>
      </c>
      <c r="AL12" s="288">
        <f>SUM($Y$4:Y12)</f>
        <v>0</v>
      </c>
      <c r="AM12" s="295">
        <f>AL12/Resources!$B$11</f>
        <v>0</v>
      </c>
      <c r="AN12" s="288">
        <f>SUM($L$4:L12)</f>
        <v>0</v>
      </c>
      <c r="AO12" s="288">
        <f>AN12/Resources!$B$12</f>
        <v>0</v>
      </c>
      <c r="AP12" s="288">
        <f>SUM($R$4:R12)</f>
        <v>0</v>
      </c>
      <c r="AQ12" s="288">
        <f>AP12/Resources!$B$13</f>
        <v>0</v>
      </c>
      <c r="AR12" s="288">
        <f>SUM($N$4:N12)</f>
        <v>0</v>
      </c>
      <c r="AS12" s="288">
        <f>AR12/Resources!$B$14</f>
        <v>0</v>
      </c>
      <c r="AT12" s="288">
        <f>SUM($U$4:U12)</f>
        <v>2041.6666666666665</v>
      </c>
      <c r="AU12" s="288">
        <f>AT12/Resources!$B$15</f>
        <v>20.214521452145213</v>
      </c>
      <c r="AV12" s="288">
        <f>SUM($J$4:J12)</f>
        <v>89466.666666666657</v>
      </c>
      <c r="AW12" s="288">
        <f>AV12/Resources!$B$16</f>
        <v>912.92517006802711</v>
      </c>
      <c r="AX12" s="288">
        <f>SUM($O$4:O12)</f>
        <v>114200</v>
      </c>
      <c r="AY12" s="288">
        <f>AX12/Resources!$B$17</f>
        <v>1087.6190476190477</v>
      </c>
      <c r="AZ12" s="288">
        <f>SUM($I$4:I12,$K$4:K12)</f>
        <v>0</v>
      </c>
      <c r="BA12" s="288">
        <f>AZ12/Resources!$B$6</f>
        <v>0</v>
      </c>
      <c r="BB12" s="288">
        <f>SUM($D$4:D12,$G$4:G12)</f>
        <v>753599.99999999988</v>
      </c>
      <c r="BC12" s="288">
        <f>BB12/Resources!$B$7</f>
        <v>25119.999999999996</v>
      </c>
      <c r="BD12" s="288">
        <f>SUM($C$4:C12,$H$4:H12)</f>
        <v>593783.33333333337</v>
      </c>
      <c r="BE12" s="300">
        <f>BD12/Resources!$B$8</f>
        <v>22837.820512820515</v>
      </c>
      <c r="BF12" s="288">
        <f>SUM($B$4:B12,$F$4:F12)</f>
        <v>905166.66666666663</v>
      </c>
      <c r="BG12" s="288">
        <f>BF12/Resources!$B$9</f>
        <v>29198.924731182793</v>
      </c>
      <c r="BH12" s="288">
        <f>SUM($X$4:X12,$E$4:E12)</f>
        <v>0</v>
      </c>
      <c r="BI12" s="288">
        <f>BH12/Resources!$B$2</f>
        <v>0</v>
      </c>
      <c r="BJ12" s="288">
        <f>SUM($V$4:V12,$T$4:T12)</f>
        <v>350</v>
      </c>
      <c r="BK12" s="288">
        <f>BJ12/Resources!$B$3</f>
        <v>13.461538461538462</v>
      </c>
      <c r="BL12" s="288">
        <f>SUM($W$4:W12, $M$4:M12)</f>
        <v>0</v>
      </c>
      <c r="BM12" s="288">
        <f>BL12/Resources!$B$4</f>
        <v>0</v>
      </c>
      <c r="BN12" s="288">
        <f>SUM($P$4:P12,$Q$4:Q12)</f>
        <v>246666.66666666666</v>
      </c>
      <c r="BO12" s="297">
        <f>BN12/Resources!$B$5</f>
        <v>9135.8024691358023</v>
      </c>
    </row>
    <row r="13" spans="1:67" ht="18">
      <c r="A13" s="34">
        <f t="shared" si="8"/>
        <v>42875</v>
      </c>
      <c r="B13" s="49">
        <f>SUMIFS(Collection!$J:$J, Collection!$A:$A, $A13, Collection!$B:$B, B$2)</f>
        <v>309333.33333333337</v>
      </c>
      <c r="C13" s="49">
        <f>SUMIFS(Collection!$J:$J, Collection!$A:$A, $A13, Collection!$B:$B, C$2)</f>
        <v>0</v>
      </c>
      <c r="D13" s="49">
        <f>SUMIFS(Collection!$J:$J, Collection!$A:$A, $A13, Collection!$B:$B, D$2)</f>
        <v>0</v>
      </c>
      <c r="E13" s="49">
        <f>SUMIFS(Collection!$J:$J, Collection!$A:$A, $A13, Collection!$B:$B, E$2)</f>
        <v>0</v>
      </c>
      <c r="F13" s="49">
        <f>SUMIFS(Collection!$J:$J, Collection!$A:$A, $A13, Collection!$B:$B, F$2)</f>
        <v>8960</v>
      </c>
      <c r="G13" s="49">
        <f>SUMIFS(Collection!$J:$J, Collection!$A:$A, $A13, Collection!$B:$B, G$2)</f>
        <v>0</v>
      </c>
      <c r="H13" s="49">
        <f>SUMIFS(Collection!$J:$J, Collection!$A:$A, $A13, Collection!$B:$B, H$2)</f>
        <v>281000</v>
      </c>
      <c r="I13" s="49">
        <f>SUMIFS(Collection!$J:$J, Collection!$A:$A, $A13, Collection!$B:$B, I$2)</f>
        <v>0</v>
      </c>
      <c r="J13" s="49">
        <f>SUMIFS(Collection!$J:$J, Collection!$A:$A, $A13, Collection!$B:$B, J$2)</f>
        <v>0</v>
      </c>
      <c r="K13" s="49">
        <f>SUMIFS(Collection!$J:$J, Collection!$A:$A, $A13, Collection!$B:$B, K$2)</f>
        <v>11866.666666666668</v>
      </c>
      <c r="L13" s="49">
        <f>SUMIFS(Collection!$J:$J, Collection!$A:$A, $A13, Collection!$B:$B, L$2)</f>
        <v>0</v>
      </c>
      <c r="M13" s="49">
        <f>SUMIFS(Collection!$J:$J, Collection!$A:$A, $A13, Collection!$B:$B, M$2)</f>
        <v>0</v>
      </c>
      <c r="N13" s="49">
        <f>SUMIFS(Collection!$J:$J, Collection!$A:$A, $A13, Collection!$B:$B, N$2)</f>
        <v>0</v>
      </c>
      <c r="O13" s="49">
        <f>SUMIFS(Collection!$J:$J, Collection!$A:$A, $A13, Collection!$B:$B, O$2)</f>
        <v>108000</v>
      </c>
      <c r="P13" s="49">
        <f>SUMIFS(Collection!$J:$J, Collection!$A:$A, $A13, Collection!$B:$B, P$2)</f>
        <v>0</v>
      </c>
      <c r="Q13" s="49">
        <f>SUMIFS(Collection!$J:$J, Collection!$A:$A, $A13, Collection!$B:$B, Q$2)</f>
        <v>0</v>
      </c>
      <c r="R13" s="49">
        <f>SUMIFS(Collection!$J:$J, Collection!$A:$A, $A13, Collection!$B:$B, R$2)</f>
        <v>0</v>
      </c>
      <c r="S13" s="49">
        <f>SUMIFS(Collection!$J:$J, Collection!$A:$A, $A13, Collection!$B:$B, S$2)</f>
        <v>0</v>
      </c>
      <c r="T13" s="49">
        <f>SUMIFS(Collection!$J:$J, Collection!$A:$A, $A13, Collection!$B:$B, T$2)</f>
        <v>0</v>
      </c>
      <c r="U13" s="49">
        <f>SUMIFS(Collection!$J:$J, Collection!$A:$A, $A13, Collection!$B:$B, U$2)</f>
        <v>89666.666666666672</v>
      </c>
      <c r="V13" s="49">
        <f>SUMIFS(Collection!$J:$J, Collection!$A:$A, $A13, Collection!$B:$B, V$2)</f>
        <v>0</v>
      </c>
      <c r="W13" s="49">
        <f>SUMIFS(Collection!$J:$J, Collection!$A:$A, $A13, Collection!$B:$B, W$2)</f>
        <v>0</v>
      </c>
      <c r="X13" s="49">
        <f>SUMIFS(Collection!$J:$J, Collection!$A:$A, $A13, Collection!$B:$B, X$2)</f>
        <v>0</v>
      </c>
      <c r="Y13" s="49">
        <f>SUMIFS(Collection!$J:$J, Collection!$A:$A, $A13, Collection!$B:$B, Y$2)</f>
        <v>0</v>
      </c>
      <c r="Z13" s="49"/>
      <c r="AA13" s="49">
        <f t="shared" si="0"/>
        <v>11866.666666666668</v>
      </c>
      <c r="AB13" s="49">
        <f t="shared" si="1"/>
        <v>0</v>
      </c>
      <c r="AC13" s="49">
        <f t="shared" si="2"/>
        <v>281000</v>
      </c>
      <c r="AD13" s="49">
        <f t="shared" si="3"/>
        <v>318293.33333333337</v>
      </c>
      <c r="AE13" s="49">
        <f t="shared" si="4"/>
        <v>0</v>
      </c>
      <c r="AF13" s="49">
        <f t="shared" si="5"/>
        <v>0</v>
      </c>
      <c r="AG13" s="49">
        <f t="shared" si="6"/>
        <v>0</v>
      </c>
      <c r="AH13" s="288">
        <f t="shared" si="7"/>
        <v>0</v>
      </c>
      <c r="AJ13" s="288">
        <f>SUM($S$4:S13)</f>
        <v>149994.44444444444</v>
      </c>
      <c r="AK13" s="288">
        <f>AJ13/Resources!$B$10</f>
        <v>12499.537037037036</v>
      </c>
      <c r="AL13" s="288">
        <f>SUM($Y$4:Y13)</f>
        <v>0</v>
      </c>
      <c r="AM13" s="295">
        <f>AL13/Resources!$B$11</f>
        <v>0</v>
      </c>
      <c r="AN13" s="288">
        <f>SUM($L$4:L13)</f>
        <v>0</v>
      </c>
      <c r="AO13" s="288">
        <f>AN13/Resources!$B$12</f>
        <v>0</v>
      </c>
      <c r="AP13" s="288">
        <f>SUM($R$4:R13)</f>
        <v>0</v>
      </c>
      <c r="AQ13" s="288">
        <f>AP13/Resources!$B$13</f>
        <v>0</v>
      </c>
      <c r="AR13" s="288">
        <f>SUM($N$4:N13)</f>
        <v>0</v>
      </c>
      <c r="AS13" s="288">
        <f>AR13/Resources!$B$14</f>
        <v>0</v>
      </c>
      <c r="AT13" s="288">
        <f>SUM($U$4:U13)</f>
        <v>91708.333333333343</v>
      </c>
      <c r="AU13" s="288">
        <f>AT13/Resources!$B$15</f>
        <v>908.00330033003308</v>
      </c>
      <c r="AV13" s="288">
        <f>SUM($J$4:J13)</f>
        <v>89466.666666666657</v>
      </c>
      <c r="AW13" s="288">
        <f>AV13/Resources!$B$16</f>
        <v>912.92517006802711</v>
      </c>
      <c r="AX13" s="288">
        <f>SUM($O$4:O13)</f>
        <v>222200</v>
      </c>
      <c r="AY13" s="288">
        <f>AX13/Resources!$B$17</f>
        <v>2116.1904761904761</v>
      </c>
      <c r="AZ13" s="288">
        <f>SUM($I$4:I13,$K$4:K13)</f>
        <v>11866.666666666668</v>
      </c>
      <c r="BA13" s="288">
        <f>AZ13/Resources!$B$6</f>
        <v>370.83333333333337</v>
      </c>
      <c r="BB13" s="288">
        <f>SUM($D$4:D13,$G$4:G13)</f>
        <v>753599.99999999988</v>
      </c>
      <c r="BC13" s="288">
        <f>BB13/Resources!$B$7</f>
        <v>25119.999999999996</v>
      </c>
      <c r="BD13" s="288">
        <f>SUM($C$4:C13,$H$4:H13)</f>
        <v>874783.33333333337</v>
      </c>
      <c r="BE13" s="300">
        <f>BD13/Resources!$B$8</f>
        <v>33645.51282051282</v>
      </c>
      <c r="BF13" s="288">
        <f>SUM($B$4:B13,$F$4:F13)</f>
        <v>1223460</v>
      </c>
      <c r="BG13" s="288">
        <f>BF13/Resources!$B$9</f>
        <v>39466.451612903227</v>
      </c>
      <c r="BH13" s="288">
        <f>SUM($X$4:X13,$E$4:E13)</f>
        <v>0</v>
      </c>
      <c r="BI13" s="288">
        <f>BH13/Resources!$B$2</f>
        <v>0</v>
      </c>
      <c r="BJ13" s="288">
        <f>SUM($V$4:V13,$T$4:T13)</f>
        <v>350</v>
      </c>
      <c r="BK13" s="288">
        <f>BJ13/Resources!$B$3</f>
        <v>13.461538461538462</v>
      </c>
      <c r="BL13" s="288">
        <f>SUM($W$4:W13, $M$4:M13)</f>
        <v>0</v>
      </c>
      <c r="BM13" s="288">
        <f>BL13/Resources!$B$4</f>
        <v>0</v>
      </c>
      <c r="BN13" s="288">
        <f>SUM($P$4:P13,$Q$4:Q13)</f>
        <v>246666.66666666666</v>
      </c>
      <c r="BO13" s="297">
        <f>BN13/Resources!$B$5</f>
        <v>9135.8024691358023</v>
      </c>
    </row>
    <row r="14" spans="1:67" ht="18">
      <c r="A14" s="34">
        <f t="shared" si="8"/>
        <v>42876</v>
      </c>
      <c r="B14" s="49">
        <f>SUMIFS(Collection!$J:$J, Collection!$A:$A, $A14, Collection!$B:$B, B$2)</f>
        <v>447466.66666666669</v>
      </c>
      <c r="C14" s="49">
        <f>SUMIFS(Collection!$J:$J, Collection!$A:$A, $A14, Collection!$B:$B, C$2)</f>
        <v>172266.66666666669</v>
      </c>
      <c r="D14" s="49">
        <f>SUMIFS(Collection!$J:$J, Collection!$A:$A, $A14, Collection!$B:$B, D$2)</f>
        <v>0</v>
      </c>
      <c r="E14" s="49">
        <f>SUMIFS(Collection!$J:$J, Collection!$A:$A, $A14, Collection!$B:$B, E$2)</f>
        <v>0</v>
      </c>
      <c r="F14" s="49">
        <f>SUMIFS(Collection!$J:$J, Collection!$A:$A, $A14, Collection!$B:$B, F$2)</f>
        <v>194666.66666666669</v>
      </c>
      <c r="G14" s="49">
        <f>SUMIFS(Collection!$J:$J, Collection!$A:$A, $A14, Collection!$B:$B, G$2)</f>
        <v>8166.6666666666661</v>
      </c>
      <c r="H14" s="49">
        <f>SUMIFS(Collection!$J:$J, Collection!$A:$A, $A14, Collection!$B:$B, H$2)</f>
        <v>0</v>
      </c>
      <c r="I14" s="49">
        <f>SUMIFS(Collection!$J:$J, Collection!$A:$A, $A14, Collection!$B:$B, I$2)</f>
        <v>210133.33333333334</v>
      </c>
      <c r="J14" s="49">
        <f>SUMIFS(Collection!$J:$J, Collection!$A:$A, $A14, Collection!$B:$B, J$2)</f>
        <v>0</v>
      </c>
      <c r="K14" s="49">
        <f>SUMIFS(Collection!$J:$J, Collection!$A:$A, $A14, Collection!$B:$B, K$2)</f>
        <v>250133.33333333334</v>
      </c>
      <c r="L14" s="49">
        <f>SUMIFS(Collection!$J:$J, Collection!$A:$A, $A14, Collection!$B:$B, L$2)</f>
        <v>0</v>
      </c>
      <c r="M14" s="49">
        <f>SUMIFS(Collection!$J:$J, Collection!$A:$A, $A14, Collection!$B:$B, M$2)</f>
        <v>126400</v>
      </c>
      <c r="N14" s="49">
        <f>SUMIFS(Collection!$J:$J, Collection!$A:$A, $A14, Collection!$B:$B, N$2)</f>
        <v>123200</v>
      </c>
      <c r="O14" s="49">
        <f>SUMIFS(Collection!$J:$J, Collection!$A:$A, $A14, Collection!$B:$B, O$2)</f>
        <v>13250</v>
      </c>
      <c r="P14" s="49">
        <f>SUMIFS(Collection!$J:$J, Collection!$A:$A, $A14, Collection!$B:$B, P$2)</f>
        <v>0</v>
      </c>
      <c r="Q14" s="49">
        <f>SUMIFS(Collection!$J:$J, Collection!$A:$A, $A14, Collection!$B:$B, Q$2)</f>
        <v>0</v>
      </c>
      <c r="R14" s="49">
        <f>SUMIFS(Collection!$J:$J, Collection!$A:$A, $A14, Collection!$B:$B, R$2)</f>
        <v>0</v>
      </c>
      <c r="S14" s="49">
        <f>SUMIFS(Collection!$J:$J, Collection!$A:$A, $A14, Collection!$B:$B, S$2)</f>
        <v>0</v>
      </c>
      <c r="T14" s="49">
        <f>SUMIFS(Collection!$J:$J, Collection!$A:$A, $A14, Collection!$B:$B, T$2)</f>
        <v>0</v>
      </c>
      <c r="U14" s="49">
        <f>SUMIFS(Collection!$J:$J, Collection!$A:$A, $A14, Collection!$B:$B, U$2)</f>
        <v>0</v>
      </c>
      <c r="V14" s="49">
        <f>SUMIFS(Collection!$J:$J, Collection!$A:$A, $A14, Collection!$B:$B, V$2)</f>
        <v>0</v>
      </c>
      <c r="W14" s="49">
        <f>SUMIFS(Collection!$J:$J, Collection!$A:$A, $A14, Collection!$B:$B, W$2)</f>
        <v>0</v>
      </c>
      <c r="X14" s="49">
        <f>SUMIFS(Collection!$J:$J, Collection!$A:$A, $A14, Collection!$B:$B, X$2)</f>
        <v>0</v>
      </c>
      <c r="Y14" s="49">
        <f>SUMIFS(Collection!$J:$J, Collection!$A:$A, $A14, Collection!$B:$B, Y$2)</f>
        <v>0</v>
      </c>
      <c r="Z14" s="49"/>
      <c r="AA14" s="49">
        <f t="shared" si="0"/>
        <v>460266.66666666669</v>
      </c>
      <c r="AB14" s="49">
        <f t="shared" si="1"/>
        <v>8166.6666666666661</v>
      </c>
      <c r="AC14" s="49">
        <f t="shared" si="2"/>
        <v>172266.66666666669</v>
      </c>
      <c r="AD14" s="49">
        <f t="shared" si="3"/>
        <v>642133.33333333337</v>
      </c>
      <c r="AE14" s="49">
        <f t="shared" si="4"/>
        <v>0</v>
      </c>
      <c r="AF14" s="49">
        <f t="shared" si="5"/>
        <v>0</v>
      </c>
      <c r="AG14" s="49">
        <f t="shared" si="6"/>
        <v>126400</v>
      </c>
      <c r="AH14" s="288">
        <f t="shared" si="7"/>
        <v>0</v>
      </c>
      <c r="AJ14" s="288">
        <f>SUM($S$4:S14)</f>
        <v>149994.44444444444</v>
      </c>
      <c r="AK14" s="288">
        <f>AJ14/Resources!$B$10</f>
        <v>12499.537037037036</v>
      </c>
      <c r="AL14" s="288">
        <f>SUM($Y$4:Y14)</f>
        <v>0</v>
      </c>
      <c r="AM14" s="295">
        <f>AL14/Resources!$B$11</f>
        <v>0</v>
      </c>
      <c r="AN14" s="288">
        <f>SUM($L$4:L14)</f>
        <v>0</v>
      </c>
      <c r="AO14" s="288">
        <f>AN14/Resources!$B$12</f>
        <v>0</v>
      </c>
      <c r="AP14" s="288">
        <f>SUM($R$4:R14)</f>
        <v>0</v>
      </c>
      <c r="AQ14" s="288">
        <f>AP14/Resources!$B$13</f>
        <v>0</v>
      </c>
      <c r="AR14" s="288">
        <f>SUM($N$4:N14)</f>
        <v>123200</v>
      </c>
      <c r="AS14" s="288">
        <f>AR14/Resources!$B$14</f>
        <v>1109.9099099099099</v>
      </c>
      <c r="AT14" s="288">
        <f>SUM($U$4:U14)</f>
        <v>91708.333333333343</v>
      </c>
      <c r="AU14" s="288">
        <f>AT14/Resources!$B$15</f>
        <v>908.00330033003308</v>
      </c>
      <c r="AV14" s="288">
        <f>SUM($J$4:J14)</f>
        <v>89466.666666666657</v>
      </c>
      <c r="AW14" s="288">
        <f>AV14/Resources!$B$16</f>
        <v>912.92517006802711</v>
      </c>
      <c r="AX14" s="288">
        <f>SUM($O$4:O14)</f>
        <v>235450</v>
      </c>
      <c r="AY14" s="288">
        <f>AX14/Resources!$B$17</f>
        <v>2242.3809523809523</v>
      </c>
      <c r="AZ14" s="288">
        <f>SUM($I$4:I14,$K$4:K14)</f>
        <v>472133.33333333337</v>
      </c>
      <c r="BA14" s="288">
        <f>AZ14/Resources!$B$6</f>
        <v>14754.166666666668</v>
      </c>
      <c r="BB14" s="288">
        <f>SUM($D$4:D14,$G$4:G14)</f>
        <v>761766.66666666651</v>
      </c>
      <c r="BC14" s="288">
        <f>BB14/Resources!$B$7</f>
        <v>25392.222222222215</v>
      </c>
      <c r="BD14" s="288">
        <f>SUM($C$4:C14,$H$4:H14)</f>
        <v>1047050</v>
      </c>
      <c r="BE14" s="300">
        <f>BD14/Resources!$B$8</f>
        <v>40271.153846153844</v>
      </c>
      <c r="BF14" s="288">
        <f>SUM($B$4:B14,$F$4:F14)</f>
        <v>1865593.3333333335</v>
      </c>
      <c r="BG14" s="288">
        <f>BF14/Resources!$B$9</f>
        <v>60180.430107526889</v>
      </c>
      <c r="BH14" s="288">
        <f>SUM($X$4:X14,$E$4:E14)</f>
        <v>0</v>
      </c>
      <c r="BI14" s="288">
        <f>BH14/Resources!$B$2</f>
        <v>0</v>
      </c>
      <c r="BJ14" s="288">
        <f>SUM($V$4:V14,$T$4:T14)</f>
        <v>350</v>
      </c>
      <c r="BK14" s="288">
        <f>BJ14/Resources!$B$3</f>
        <v>13.461538461538462</v>
      </c>
      <c r="BL14" s="288">
        <f>SUM($W$4:W14, $M$4:M14)</f>
        <v>126400</v>
      </c>
      <c r="BM14" s="288">
        <f>BL14/Resources!$B$4</f>
        <v>4514.2857142857147</v>
      </c>
      <c r="BN14" s="288">
        <f>SUM($P$4:P14,$Q$4:Q14)</f>
        <v>246666.66666666666</v>
      </c>
      <c r="BO14" s="297">
        <f>BN14/Resources!$B$5</f>
        <v>9135.8024691358023</v>
      </c>
    </row>
    <row r="15" spans="1:67" ht="18">
      <c r="A15" s="34">
        <f t="shared" si="8"/>
        <v>42877</v>
      </c>
      <c r="B15" s="49">
        <f>SUMIFS(Collection!$J:$J, Collection!$A:$A, $A15, Collection!$B:$B, B$2)</f>
        <v>0</v>
      </c>
      <c r="C15" s="49">
        <f>SUMIFS(Collection!$J:$J, Collection!$A:$A, $A15, Collection!$B:$B, C$2)</f>
        <v>0</v>
      </c>
      <c r="D15" s="49">
        <f>SUMIFS(Collection!$J:$J, Collection!$A:$A, $A15, Collection!$B:$B, D$2)</f>
        <v>0</v>
      </c>
      <c r="E15" s="49">
        <f>SUMIFS(Collection!$J:$J, Collection!$A:$A, $A15, Collection!$B:$B, E$2)</f>
        <v>0</v>
      </c>
      <c r="F15" s="49">
        <f>SUMIFS(Collection!$J:$J, Collection!$A:$A, $A15, Collection!$B:$B, F$2)</f>
        <v>3400</v>
      </c>
      <c r="G15" s="49">
        <f>SUMIFS(Collection!$J:$J, Collection!$A:$A, $A15, Collection!$B:$B, G$2)</f>
        <v>24500</v>
      </c>
      <c r="H15" s="49">
        <f>SUMIFS(Collection!$J:$J, Collection!$A:$A, $A15, Collection!$B:$B, H$2)</f>
        <v>0</v>
      </c>
      <c r="I15" s="49">
        <f>SUMIFS(Collection!$J:$J, Collection!$A:$A, $A15, Collection!$B:$B, I$2)</f>
        <v>0</v>
      </c>
      <c r="J15" s="49">
        <f>SUMIFS(Collection!$J:$J, Collection!$A:$A, $A15, Collection!$B:$B, J$2)</f>
        <v>0</v>
      </c>
      <c r="K15" s="49">
        <f>SUMIFS(Collection!$J:$J, Collection!$A:$A, $A15, Collection!$B:$B, K$2)</f>
        <v>136000</v>
      </c>
      <c r="L15" s="49">
        <f>SUMIFS(Collection!$J:$J, Collection!$A:$A, $A15, Collection!$B:$B, L$2)</f>
        <v>0</v>
      </c>
      <c r="M15" s="49">
        <f>SUMIFS(Collection!$J:$J, Collection!$A:$A, $A15, Collection!$B:$B, M$2)</f>
        <v>0</v>
      </c>
      <c r="N15" s="49">
        <f>SUMIFS(Collection!$J:$J, Collection!$A:$A, $A15, Collection!$B:$B, N$2)</f>
        <v>1800</v>
      </c>
      <c r="O15" s="49">
        <f>SUMIFS(Collection!$J:$J, Collection!$A:$A, $A15, Collection!$B:$B, O$2)</f>
        <v>625</v>
      </c>
      <c r="P15" s="49">
        <f>SUMIFS(Collection!$J:$J, Collection!$A:$A, $A15, Collection!$B:$B, P$2)</f>
        <v>0</v>
      </c>
      <c r="Q15" s="49">
        <f>SUMIFS(Collection!$J:$J, Collection!$A:$A, $A15, Collection!$B:$B, Q$2)</f>
        <v>0</v>
      </c>
      <c r="R15" s="49">
        <f>SUMIFS(Collection!$J:$J, Collection!$A:$A, $A15, Collection!$B:$B, R$2)</f>
        <v>0</v>
      </c>
      <c r="S15" s="49">
        <f>SUMIFS(Collection!$J:$J, Collection!$A:$A, $A15, Collection!$B:$B, S$2)</f>
        <v>0</v>
      </c>
      <c r="T15" s="49">
        <f>SUMIFS(Collection!$J:$J, Collection!$A:$A, $A15, Collection!$B:$B, T$2)</f>
        <v>0</v>
      </c>
      <c r="U15" s="49">
        <f>SUMIFS(Collection!$J:$J, Collection!$A:$A, $A15, Collection!$B:$B, U$2)</f>
        <v>0</v>
      </c>
      <c r="V15" s="49">
        <f>SUMIFS(Collection!$J:$J, Collection!$A:$A, $A15, Collection!$B:$B, V$2)</f>
        <v>466.66666666666663</v>
      </c>
      <c r="W15" s="49">
        <f>SUMIFS(Collection!$J:$J, Collection!$A:$A, $A15, Collection!$B:$B, W$2)</f>
        <v>583.33333333333337</v>
      </c>
      <c r="X15" s="49">
        <f>SUMIFS(Collection!$J:$J, Collection!$A:$A, $A15, Collection!$B:$B, X$2)</f>
        <v>0</v>
      </c>
      <c r="Y15" s="49">
        <f>SUMIFS(Collection!$J:$J, Collection!$A:$A, $A15, Collection!$B:$B, Y$2)</f>
        <v>0</v>
      </c>
      <c r="Z15" s="49"/>
      <c r="AA15" s="49">
        <f t="shared" si="0"/>
        <v>136000</v>
      </c>
      <c r="AB15" s="49">
        <f t="shared" si="1"/>
        <v>24500</v>
      </c>
      <c r="AC15" s="49">
        <f t="shared" si="2"/>
        <v>0</v>
      </c>
      <c r="AD15" s="49">
        <f t="shared" si="3"/>
        <v>3400</v>
      </c>
      <c r="AE15" s="49">
        <f t="shared" si="4"/>
        <v>0</v>
      </c>
      <c r="AF15" s="49">
        <f t="shared" si="5"/>
        <v>466.66666666666663</v>
      </c>
      <c r="AG15" s="49">
        <f t="shared" si="6"/>
        <v>583.33333333333337</v>
      </c>
      <c r="AH15" s="288">
        <f t="shared" si="7"/>
        <v>0</v>
      </c>
      <c r="AJ15" s="288">
        <f>SUM($S$4:S15)</f>
        <v>149994.44444444444</v>
      </c>
      <c r="AK15" s="288">
        <f>AJ15/Resources!$B$10</f>
        <v>12499.537037037036</v>
      </c>
      <c r="AL15" s="288">
        <f>SUM($Y$4:Y15)</f>
        <v>0</v>
      </c>
      <c r="AM15" s="295">
        <f>AL15/Resources!$B$11</f>
        <v>0</v>
      </c>
      <c r="AN15" s="288">
        <f>SUM($L$4:L15)</f>
        <v>0</v>
      </c>
      <c r="AO15" s="288">
        <f>AN15/Resources!$B$12</f>
        <v>0</v>
      </c>
      <c r="AP15" s="288">
        <f>SUM($R$4:R15)</f>
        <v>0</v>
      </c>
      <c r="AQ15" s="288">
        <f>AP15/Resources!$B$13</f>
        <v>0</v>
      </c>
      <c r="AR15" s="288">
        <f>SUM($N$4:N15)</f>
        <v>125000</v>
      </c>
      <c r="AS15" s="288">
        <f>AR15/Resources!$B$14</f>
        <v>1126.1261261261261</v>
      </c>
      <c r="AT15" s="288">
        <f>SUM($U$4:U15)</f>
        <v>91708.333333333343</v>
      </c>
      <c r="AU15" s="288">
        <f>AT15/Resources!$B$15</f>
        <v>908.00330033003308</v>
      </c>
      <c r="AV15" s="288">
        <f>SUM($J$4:J15)</f>
        <v>89466.666666666657</v>
      </c>
      <c r="AW15" s="288">
        <f>AV15/Resources!$B$16</f>
        <v>912.92517006802711</v>
      </c>
      <c r="AX15" s="288">
        <f>SUM($O$4:O15)</f>
        <v>236075</v>
      </c>
      <c r="AY15" s="288">
        <f>AX15/Resources!$B$17</f>
        <v>2248.3333333333335</v>
      </c>
      <c r="AZ15" s="288">
        <f>SUM($I$4:I15,$K$4:K15)</f>
        <v>608133.33333333337</v>
      </c>
      <c r="BA15" s="288">
        <f>AZ15/Resources!$B$6</f>
        <v>19004.166666666668</v>
      </c>
      <c r="BB15" s="288">
        <f>SUM($D$4:D15,$G$4:G15)</f>
        <v>786266.66666666651</v>
      </c>
      <c r="BC15" s="288">
        <f>BB15/Resources!$B$7</f>
        <v>26208.888888888883</v>
      </c>
      <c r="BD15" s="288">
        <f>SUM($C$4:C15,$H$4:H15)</f>
        <v>1047050</v>
      </c>
      <c r="BE15" s="300">
        <f>BD15/Resources!$B$8</f>
        <v>40271.153846153844</v>
      </c>
      <c r="BF15" s="288">
        <f>SUM($B$4:B15,$F$4:F15)</f>
        <v>1868993.3333333335</v>
      </c>
      <c r="BG15" s="288">
        <f>BF15/Resources!$B$9</f>
        <v>60290.107526881722</v>
      </c>
      <c r="BH15" s="288">
        <f>SUM($X$4:X15,$E$4:E15)</f>
        <v>0</v>
      </c>
      <c r="BI15" s="288">
        <f>BH15/Resources!$B$2</f>
        <v>0</v>
      </c>
      <c r="BJ15" s="288">
        <f>SUM($V$4:V15,$T$4:T15)</f>
        <v>816.66666666666663</v>
      </c>
      <c r="BK15" s="288">
        <f>BJ15/Resources!$B$3</f>
        <v>31.410256410256409</v>
      </c>
      <c r="BL15" s="288">
        <f>SUM($W$4:W15, $M$4:M15)</f>
        <v>126983.33333333333</v>
      </c>
      <c r="BM15" s="288">
        <f>BL15/Resources!$B$4</f>
        <v>4535.1190476190477</v>
      </c>
      <c r="BN15" s="288">
        <f>SUM($P$4:P15,$Q$4:Q15)</f>
        <v>246666.66666666666</v>
      </c>
      <c r="BO15" s="297">
        <f>BN15/Resources!$B$5</f>
        <v>9135.8024691358023</v>
      </c>
    </row>
    <row r="16" spans="1:67" ht="18">
      <c r="A16" s="34">
        <f t="shared" si="8"/>
        <v>42878</v>
      </c>
      <c r="B16" s="49">
        <f>SUMIFS(Collection!$J:$J, Collection!$A:$A, $A16, Collection!$B:$B, B$2)</f>
        <v>38266.666666666664</v>
      </c>
      <c r="C16" s="49">
        <f>SUMIFS(Collection!$J:$J, Collection!$A:$A, $A16, Collection!$B:$B, C$2)</f>
        <v>67600</v>
      </c>
      <c r="D16" s="49">
        <f>SUMIFS(Collection!$J:$J, Collection!$A:$A, $A16, Collection!$B:$B, D$2)</f>
        <v>0</v>
      </c>
      <c r="E16" s="49">
        <f>SUMIFS(Collection!$J:$J, Collection!$A:$A, $A16, Collection!$B:$B, E$2)</f>
        <v>0</v>
      </c>
      <c r="F16" s="49">
        <f>SUMIFS(Collection!$J:$J, Collection!$A:$A, $A16, Collection!$B:$B, F$2)</f>
        <v>0</v>
      </c>
      <c r="G16" s="49">
        <f>SUMIFS(Collection!$J:$J, Collection!$A:$A, $A16, Collection!$B:$B, G$2)</f>
        <v>209066.66666666669</v>
      </c>
      <c r="H16" s="49">
        <f>SUMIFS(Collection!$J:$J, Collection!$A:$A, $A16, Collection!$B:$B, H$2)</f>
        <v>0</v>
      </c>
      <c r="I16" s="49">
        <f>SUMIFS(Collection!$J:$J, Collection!$A:$A, $A16, Collection!$B:$B, I$2)</f>
        <v>0</v>
      </c>
      <c r="J16" s="49">
        <f>SUMIFS(Collection!$J:$J, Collection!$A:$A, $A16, Collection!$B:$B, J$2)</f>
        <v>241066.66666666666</v>
      </c>
      <c r="K16" s="49">
        <f>SUMIFS(Collection!$J:$J, Collection!$A:$A, $A16, Collection!$B:$B, K$2)</f>
        <v>1000</v>
      </c>
      <c r="L16" s="49">
        <f>SUMIFS(Collection!$J:$J, Collection!$A:$A, $A16, Collection!$B:$B, L$2)</f>
        <v>0</v>
      </c>
      <c r="M16" s="49">
        <f>SUMIFS(Collection!$J:$J, Collection!$A:$A, $A16, Collection!$B:$B, M$2)</f>
        <v>0</v>
      </c>
      <c r="N16" s="49">
        <f>SUMIFS(Collection!$J:$J, Collection!$A:$A, $A16, Collection!$B:$B, N$2)</f>
        <v>130933.33333333333</v>
      </c>
      <c r="O16" s="49">
        <f>SUMIFS(Collection!$J:$J, Collection!$A:$A, $A16, Collection!$B:$B, O$2)</f>
        <v>0</v>
      </c>
      <c r="P16" s="49">
        <f>SUMIFS(Collection!$J:$J, Collection!$A:$A, $A16, Collection!$B:$B, P$2)</f>
        <v>0</v>
      </c>
      <c r="Q16" s="49">
        <f>SUMIFS(Collection!$J:$J, Collection!$A:$A, $A16, Collection!$B:$B, Q$2)</f>
        <v>0</v>
      </c>
      <c r="R16" s="49">
        <f>SUMIFS(Collection!$J:$J, Collection!$A:$A, $A16, Collection!$B:$B, R$2)</f>
        <v>0</v>
      </c>
      <c r="S16" s="49">
        <f>SUMIFS(Collection!$J:$J, Collection!$A:$A, $A16, Collection!$B:$B, S$2)</f>
        <v>0</v>
      </c>
      <c r="T16" s="49">
        <f>SUMIFS(Collection!$J:$J, Collection!$A:$A, $A16, Collection!$B:$B, T$2)</f>
        <v>0</v>
      </c>
      <c r="U16" s="49">
        <f>SUMIFS(Collection!$J:$J, Collection!$A:$A, $A16, Collection!$B:$B, U$2)</f>
        <v>0</v>
      </c>
      <c r="V16" s="49">
        <f>SUMIFS(Collection!$J:$J, Collection!$A:$A, $A16, Collection!$B:$B, V$2)</f>
        <v>0</v>
      </c>
      <c r="W16" s="49">
        <f>SUMIFS(Collection!$J:$J, Collection!$A:$A, $A16, Collection!$B:$B, W$2)</f>
        <v>2266.666666666667</v>
      </c>
      <c r="X16" s="49">
        <f>SUMIFS(Collection!$J:$J, Collection!$A:$A, $A16, Collection!$B:$B, X$2)</f>
        <v>0</v>
      </c>
      <c r="Y16" s="49">
        <f>SUMIFS(Collection!$J:$J, Collection!$A:$A, $A16, Collection!$B:$B, Y$2)</f>
        <v>0</v>
      </c>
      <c r="Z16" s="49"/>
      <c r="AA16" s="49">
        <f t="shared" si="0"/>
        <v>1000</v>
      </c>
      <c r="AB16" s="49">
        <f t="shared" si="1"/>
        <v>209066.66666666669</v>
      </c>
      <c r="AC16" s="49">
        <f t="shared" si="2"/>
        <v>67600</v>
      </c>
      <c r="AD16" s="49">
        <f t="shared" si="3"/>
        <v>38266.666666666664</v>
      </c>
      <c r="AE16" s="49">
        <f t="shared" si="4"/>
        <v>0</v>
      </c>
      <c r="AF16" s="49">
        <f t="shared" si="5"/>
        <v>0</v>
      </c>
      <c r="AG16" s="49">
        <f t="shared" si="6"/>
        <v>2266.666666666667</v>
      </c>
      <c r="AH16" s="288">
        <f t="shared" si="7"/>
        <v>0</v>
      </c>
      <c r="AJ16" s="288">
        <f>SUM($S$4:S16)</f>
        <v>149994.44444444444</v>
      </c>
      <c r="AK16" s="288">
        <f>AJ16/Resources!$B$10</f>
        <v>12499.537037037036</v>
      </c>
      <c r="AL16" s="288">
        <f>SUM($Y$4:Y16)</f>
        <v>0</v>
      </c>
      <c r="AM16" s="295">
        <f>AL16/Resources!$B$11</f>
        <v>0</v>
      </c>
      <c r="AN16" s="288">
        <f>SUM($L$4:L16)</f>
        <v>0</v>
      </c>
      <c r="AO16" s="288">
        <f>AN16/Resources!$B$12</f>
        <v>0</v>
      </c>
      <c r="AP16" s="288">
        <f>SUM($R$4:R16)</f>
        <v>0</v>
      </c>
      <c r="AQ16" s="288">
        <f>AP16/Resources!$B$13</f>
        <v>0</v>
      </c>
      <c r="AR16" s="288">
        <f>SUM($N$4:N16)</f>
        <v>255933.33333333331</v>
      </c>
      <c r="AS16" s="288">
        <f>AR16/Resources!$B$14</f>
        <v>2305.7057057057054</v>
      </c>
      <c r="AT16" s="288">
        <f>SUM($U$4:U16)</f>
        <v>91708.333333333343</v>
      </c>
      <c r="AU16" s="288">
        <f>AT16/Resources!$B$15</f>
        <v>908.00330033003308</v>
      </c>
      <c r="AV16" s="288">
        <f>SUM($J$4:J16)</f>
        <v>330533.33333333331</v>
      </c>
      <c r="AW16" s="288">
        <f>AV16/Resources!$B$16</f>
        <v>3372.7891156462583</v>
      </c>
      <c r="AX16" s="288">
        <f>SUM($O$4:O16)</f>
        <v>236075</v>
      </c>
      <c r="AY16" s="288">
        <f>AX16/Resources!$B$17</f>
        <v>2248.3333333333335</v>
      </c>
      <c r="AZ16" s="288">
        <f>SUM($I$4:I16,$K$4:K16)</f>
        <v>609133.33333333337</v>
      </c>
      <c r="BA16" s="288">
        <f>AZ16/Resources!$B$6</f>
        <v>19035.416666666668</v>
      </c>
      <c r="BB16" s="288">
        <f>SUM($D$4:D16,$G$4:G16)</f>
        <v>995333.33333333326</v>
      </c>
      <c r="BC16" s="288">
        <f>BB16/Resources!$B$7</f>
        <v>33177.777777777774</v>
      </c>
      <c r="BD16" s="288">
        <f>SUM($C$4:C16,$H$4:H16)</f>
        <v>1114650</v>
      </c>
      <c r="BE16" s="300">
        <f>BD16/Resources!$B$8</f>
        <v>42871.153846153844</v>
      </c>
      <c r="BF16" s="288">
        <f>SUM($B$4:B16,$F$4:F16)</f>
        <v>1907260.0000000002</v>
      </c>
      <c r="BG16" s="288">
        <f>BF16/Resources!$B$9</f>
        <v>61524.516129032265</v>
      </c>
      <c r="BH16" s="288">
        <f>SUM($X$4:X16,$E$4:E16)</f>
        <v>0</v>
      </c>
      <c r="BI16" s="288">
        <f>BH16/Resources!$B$2</f>
        <v>0</v>
      </c>
      <c r="BJ16" s="288">
        <f>SUM($V$4:V16,$T$4:T16)</f>
        <v>816.66666666666663</v>
      </c>
      <c r="BK16" s="288">
        <f>BJ16/Resources!$B$3</f>
        <v>31.410256410256409</v>
      </c>
      <c r="BL16" s="288">
        <f>SUM($W$4:W16, $M$4:M16)</f>
        <v>129250</v>
      </c>
      <c r="BM16" s="288">
        <f>BL16/Resources!$B$4</f>
        <v>4616.0714285714284</v>
      </c>
      <c r="BN16" s="288">
        <f>SUM($P$4:P16,$Q$4:Q16)</f>
        <v>246666.66666666666</v>
      </c>
      <c r="BO16" s="297">
        <f>BN16/Resources!$B$5</f>
        <v>9135.8024691358023</v>
      </c>
    </row>
    <row r="17" spans="1:67" ht="18">
      <c r="A17" s="34">
        <f t="shared" si="8"/>
        <v>42879</v>
      </c>
      <c r="B17" s="49">
        <f>SUMIFS(Collection!$J:$J, Collection!$A:$A, $A17, Collection!$B:$B, B$2)</f>
        <v>0</v>
      </c>
      <c r="C17" s="49">
        <f>SUMIFS(Collection!$J:$J, Collection!$A:$A, $A17, Collection!$B:$B, C$2)</f>
        <v>0</v>
      </c>
      <c r="D17" s="49">
        <f>SUMIFS(Collection!$J:$J, Collection!$A:$A, $A17, Collection!$B:$B, D$2)</f>
        <v>0</v>
      </c>
      <c r="E17" s="49">
        <f>SUMIFS(Collection!$J:$J, Collection!$A:$A, $A17, Collection!$B:$B, E$2)</f>
        <v>0</v>
      </c>
      <c r="F17" s="49">
        <f>SUMIFS(Collection!$J:$J, Collection!$A:$A, $A17, Collection!$B:$B, F$2)</f>
        <v>0</v>
      </c>
      <c r="G17" s="49">
        <f>SUMIFS(Collection!$J:$J, Collection!$A:$A, $A17, Collection!$B:$B, G$2)</f>
        <v>4500</v>
      </c>
      <c r="H17" s="49">
        <f>SUMIFS(Collection!$J:$J, Collection!$A:$A, $A17, Collection!$B:$B, H$2)</f>
        <v>0</v>
      </c>
      <c r="I17" s="49">
        <f>SUMIFS(Collection!$J:$J, Collection!$A:$A, $A17, Collection!$B:$B, I$2)</f>
        <v>0</v>
      </c>
      <c r="J17" s="49">
        <f>SUMIFS(Collection!$J:$J, Collection!$A:$A, $A17, Collection!$B:$B, J$2)</f>
        <v>66666.666666666672</v>
      </c>
      <c r="K17" s="49">
        <f>SUMIFS(Collection!$J:$J, Collection!$A:$A, $A17, Collection!$B:$B, K$2)</f>
        <v>0</v>
      </c>
      <c r="L17" s="49">
        <f>SUMIFS(Collection!$J:$J, Collection!$A:$A, $A17, Collection!$B:$B, L$2)</f>
        <v>0</v>
      </c>
      <c r="M17" s="49">
        <f>SUMIFS(Collection!$J:$J, Collection!$A:$A, $A17, Collection!$B:$B, M$2)</f>
        <v>186133.33333333331</v>
      </c>
      <c r="N17" s="49">
        <f>SUMIFS(Collection!$J:$J, Collection!$A:$A, $A17, Collection!$B:$B, N$2)</f>
        <v>48406.666666666664</v>
      </c>
      <c r="O17" s="49">
        <f>SUMIFS(Collection!$J:$J, Collection!$A:$A, $A17, Collection!$B:$B, O$2)</f>
        <v>37566.666666666664</v>
      </c>
      <c r="P17" s="49">
        <f>SUMIFS(Collection!$J:$J, Collection!$A:$A, $A17, Collection!$B:$B, P$2)</f>
        <v>0</v>
      </c>
      <c r="Q17" s="49">
        <f>SUMIFS(Collection!$J:$J, Collection!$A:$A, $A17, Collection!$B:$B, Q$2)</f>
        <v>0</v>
      </c>
      <c r="R17" s="49">
        <f>SUMIFS(Collection!$J:$J, Collection!$A:$A, $A17, Collection!$B:$B, R$2)</f>
        <v>205866.66666666666</v>
      </c>
      <c r="S17" s="49">
        <f>SUMIFS(Collection!$J:$J, Collection!$A:$A, $A17, Collection!$B:$B, S$2)</f>
        <v>0</v>
      </c>
      <c r="T17" s="49">
        <f>SUMIFS(Collection!$J:$J, Collection!$A:$A, $A17, Collection!$B:$B, T$2)</f>
        <v>0</v>
      </c>
      <c r="U17" s="49">
        <f>SUMIFS(Collection!$J:$J, Collection!$A:$A, $A17, Collection!$B:$B, U$2)</f>
        <v>0</v>
      </c>
      <c r="V17" s="49">
        <f>SUMIFS(Collection!$J:$J, Collection!$A:$A, $A17, Collection!$B:$B, V$2)</f>
        <v>0</v>
      </c>
      <c r="W17" s="49">
        <f>SUMIFS(Collection!$J:$J, Collection!$A:$A, $A17, Collection!$B:$B, W$2)</f>
        <v>0</v>
      </c>
      <c r="X17" s="49">
        <f>SUMIFS(Collection!$J:$J, Collection!$A:$A, $A17, Collection!$B:$B, X$2)</f>
        <v>0</v>
      </c>
      <c r="Y17" s="49">
        <f>SUMIFS(Collection!$J:$J, Collection!$A:$A, $A17, Collection!$B:$B, Y$2)</f>
        <v>0</v>
      </c>
      <c r="Z17" s="49"/>
      <c r="AA17" s="49">
        <f t="shared" si="0"/>
        <v>0</v>
      </c>
      <c r="AB17" s="49">
        <f t="shared" si="1"/>
        <v>4500</v>
      </c>
      <c r="AC17" s="49">
        <f t="shared" si="2"/>
        <v>0</v>
      </c>
      <c r="AD17" s="49">
        <f t="shared" si="3"/>
        <v>0</v>
      </c>
      <c r="AE17" s="49">
        <f t="shared" si="4"/>
        <v>0</v>
      </c>
      <c r="AF17" s="49">
        <f t="shared" si="5"/>
        <v>0</v>
      </c>
      <c r="AG17" s="49">
        <f t="shared" si="6"/>
        <v>186133.33333333331</v>
      </c>
      <c r="AH17" s="288">
        <f t="shared" si="7"/>
        <v>0</v>
      </c>
      <c r="AJ17" s="288">
        <f>SUM($S$4:S17)</f>
        <v>149994.44444444444</v>
      </c>
      <c r="AK17" s="288">
        <f>AJ17/Resources!$B$10</f>
        <v>12499.537037037036</v>
      </c>
      <c r="AL17" s="288">
        <f>SUM($Y$4:Y17)</f>
        <v>0</v>
      </c>
      <c r="AM17" s="295">
        <f>AL17/Resources!$B$11</f>
        <v>0</v>
      </c>
      <c r="AN17" s="288">
        <f>SUM($L$4:L17)</f>
        <v>0</v>
      </c>
      <c r="AO17" s="288">
        <f>AN17/Resources!$B$12</f>
        <v>0</v>
      </c>
      <c r="AP17" s="288">
        <f>SUM($R$4:R17)</f>
        <v>205866.66666666666</v>
      </c>
      <c r="AQ17" s="288">
        <f>AP17/Resources!$B$13</f>
        <v>20586.666666666664</v>
      </c>
      <c r="AR17" s="288">
        <f>SUM($N$4:N17)</f>
        <v>304340</v>
      </c>
      <c r="AS17" s="288">
        <f>AR17/Resources!$B$14</f>
        <v>2741.801801801802</v>
      </c>
      <c r="AT17" s="288">
        <f>SUM($U$4:U17)</f>
        <v>91708.333333333343</v>
      </c>
      <c r="AU17" s="288">
        <f>AT17/Resources!$B$15</f>
        <v>908.00330033003308</v>
      </c>
      <c r="AV17" s="288">
        <f>SUM($J$4:J17)</f>
        <v>397200</v>
      </c>
      <c r="AW17" s="288">
        <f>AV17/Resources!$B$16</f>
        <v>4053.0612244897961</v>
      </c>
      <c r="AX17" s="288">
        <f>SUM($O$4:O17)</f>
        <v>273641.66666666669</v>
      </c>
      <c r="AY17" s="288">
        <f>AX17/Resources!$B$17</f>
        <v>2606.1111111111113</v>
      </c>
      <c r="AZ17" s="288">
        <f>SUM($I$4:I17,$K$4:K17)</f>
        <v>609133.33333333337</v>
      </c>
      <c r="BA17" s="288">
        <f>AZ17/Resources!$B$6</f>
        <v>19035.416666666668</v>
      </c>
      <c r="BB17" s="288">
        <f>SUM($D$4:D17,$G$4:G17)</f>
        <v>999833.33333333326</v>
      </c>
      <c r="BC17" s="288">
        <f>BB17/Resources!$B$7</f>
        <v>33327.777777777774</v>
      </c>
      <c r="BD17" s="288">
        <f>SUM($C$4:C17,$H$4:H17)</f>
        <v>1114650</v>
      </c>
      <c r="BE17" s="300">
        <f>BD17/Resources!$B$8</f>
        <v>42871.153846153844</v>
      </c>
      <c r="BF17" s="288">
        <f>SUM($B$4:B17,$F$4:F17)</f>
        <v>1907260.0000000002</v>
      </c>
      <c r="BG17" s="288">
        <f>BF17/Resources!$B$9</f>
        <v>61524.516129032265</v>
      </c>
      <c r="BH17" s="288">
        <f>SUM($X$4:X17,$E$4:E17)</f>
        <v>0</v>
      </c>
      <c r="BI17" s="288">
        <f>BH17/Resources!$B$2</f>
        <v>0</v>
      </c>
      <c r="BJ17" s="288">
        <f>SUM($V$4:V17,$T$4:T17)</f>
        <v>816.66666666666663</v>
      </c>
      <c r="BK17" s="288">
        <f>BJ17/Resources!$B$3</f>
        <v>31.410256410256409</v>
      </c>
      <c r="BL17" s="288">
        <f>SUM($W$4:W17, $M$4:M17)</f>
        <v>315383.33333333331</v>
      </c>
      <c r="BM17" s="288">
        <f>BL17/Resources!$B$4</f>
        <v>11263.690476190475</v>
      </c>
      <c r="BN17" s="288">
        <f>SUM($P$4:P17,$Q$4:Q17)</f>
        <v>246666.66666666666</v>
      </c>
      <c r="BO17" s="297">
        <f>BN17/Resources!$B$5</f>
        <v>9135.8024691358023</v>
      </c>
    </row>
    <row r="18" spans="1:67" ht="18">
      <c r="A18" s="34">
        <f t="shared" si="8"/>
        <v>42880</v>
      </c>
      <c r="B18" s="49">
        <f>SUMIFS(Collection!$J:$J, Collection!$A:$A, $A18, Collection!$B:$B, B$2)</f>
        <v>0</v>
      </c>
      <c r="C18" s="49">
        <f>SUMIFS(Collection!$J:$J, Collection!$A:$A, $A18, Collection!$B:$B, C$2)</f>
        <v>0</v>
      </c>
      <c r="D18" s="49">
        <f>SUMIFS(Collection!$J:$J, Collection!$A:$A, $A18, Collection!$B:$B, D$2)</f>
        <v>0</v>
      </c>
      <c r="E18" s="49">
        <f>SUMIFS(Collection!$J:$J, Collection!$A:$A, $A18, Collection!$B:$B, E$2)</f>
        <v>307800</v>
      </c>
      <c r="F18" s="49">
        <f>SUMIFS(Collection!$J:$J, Collection!$A:$A, $A18, Collection!$B:$B, F$2)</f>
        <v>0</v>
      </c>
      <c r="G18" s="49">
        <f>SUMIFS(Collection!$J:$J, Collection!$A:$A, $A18, Collection!$B:$B, G$2)</f>
        <v>0</v>
      </c>
      <c r="H18" s="49">
        <f>SUMIFS(Collection!$J:$J, Collection!$A:$A, $A18, Collection!$B:$B, H$2)</f>
        <v>0</v>
      </c>
      <c r="I18" s="49">
        <f>SUMIFS(Collection!$J:$J, Collection!$A:$A, $A18, Collection!$B:$B, I$2)</f>
        <v>0</v>
      </c>
      <c r="J18" s="49">
        <f>SUMIFS(Collection!$J:$J, Collection!$A:$A, $A18, Collection!$B:$B, J$2)</f>
        <v>3400</v>
      </c>
      <c r="K18" s="49">
        <f>SUMIFS(Collection!$J:$J, Collection!$A:$A, $A18, Collection!$B:$B, K$2)</f>
        <v>0</v>
      </c>
      <c r="L18" s="49">
        <f>SUMIFS(Collection!$J:$J, Collection!$A:$A, $A18, Collection!$B:$B, L$2)</f>
        <v>0</v>
      </c>
      <c r="M18" s="49">
        <f>SUMIFS(Collection!$J:$J, Collection!$A:$A, $A18, Collection!$B:$B, M$2)</f>
        <v>0</v>
      </c>
      <c r="N18" s="49">
        <f>SUMIFS(Collection!$J:$J, Collection!$A:$A, $A18, Collection!$B:$B, N$2)</f>
        <v>0</v>
      </c>
      <c r="O18" s="49">
        <f>SUMIFS(Collection!$J:$J, Collection!$A:$A, $A18, Collection!$B:$B, O$2)</f>
        <v>31206.666666666668</v>
      </c>
      <c r="P18" s="49">
        <f>SUMIFS(Collection!$J:$J, Collection!$A:$A, $A18, Collection!$B:$B, P$2)</f>
        <v>248000</v>
      </c>
      <c r="Q18" s="49">
        <f>SUMIFS(Collection!$J:$J, Collection!$A:$A, $A18, Collection!$B:$B, Q$2)</f>
        <v>0</v>
      </c>
      <c r="R18" s="49">
        <f>SUMIFS(Collection!$J:$J, Collection!$A:$A, $A18, Collection!$B:$B, R$2)</f>
        <v>26320</v>
      </c>
      <c r="S18" s="49">
        <f>SUMIFS(Collection!$J:$J, Collection!$A:$A, $A18, Collection!$B:$B, S$2)</f>
        <v>0</v>
      </c>
      <c r="T18" s="49">
        <f>SUMIFS(Collection!$J:$J, Collection!$A:$A, $A18, Collection!$B:$B, T$2)</f>
        <v>0</v>
      </c>
      <c r="U18" s="49">
        <f>SUMIFS(Collection!$J:$J, Collection!$A:$A, $A18, Collection!$B:$B, U$2)</f>
        <v>0</v>
      </c>
      <c r="V18" s="49">
        <f>SUMIFS(Collection!$J:$J, Collection!$A:$A, $A18, Collection!$B:$B, V$2)</f>
        <v>10800</v>
      </c>
      <c r="W18" s="49">
        <f>SUMIFS(Collection!$J:$J, Collection!$A:$A, $A18, Collection!$B:$B, W$2)</f>
        <v>0</v>
      </c>
      <c r="X18" s="49">
        <f>SUMIFS(Collection!$J:$J, Collection!$A:$A, $A18, Collection!$B:$B, X$2)</f>
        <v>0</v>
      </c>
      <c r="Y18" s="49">
        <f>SUMIFS(Collection!$J:$J, Collection!$A:$A, $A18, Collection!$B:$B, Y$2)</f>
        <v>0</v>
      </c>
      <c r="Z18" s="49"/>
      <c r="AA18" s="49">
        <f t="shared" si="0"/>
        <v>0</v>
      </c>
      <c r="AB18" s="49">
        <f t="shared" si="1"/>
        <v>0</v>
      </c>
      <c r="AC18" s="49">
        <f t="shared" si="2"/>
        <v>0</v>
      </c>
      <c r="AD18" s="49">
        <f t="shared" si="3"/>
        <v>0</v>
      </c>
      <c r="AE18" s="49">
        <f t="shared" si="4"/>
        <v>307800</v>
      </c>
      <c r="AF18" s="49">
        <f t="shared" si="5"/>
        <v>10800</v>
      </c>
      <c r="AG18" s="49">
        <f t="shared" si="6"/>
        <v>0</v>
      </c>
      <c r="AH18" s="288">
        <f t="shared" si="7"/>
        <v>248000</v>
      </c>
      <c r="AJ18" s="288">
        <f>SUM($S$4:S18)</f>
        <v>149994.44444444444</v>
      </c>
      <c r="AK18" s="288">
        <f>AJ18/Resources!$B$10</f>
        <v>12499.537037037036</v>
      </c>
      <c r="AL18" s="288">
        <f>SUM($Y$4:Y18)</f>
        <v>0</v>
      </c>
      <c r="AM18" s="295">
        <f>AL18/Resources!$B$11</f>
        <v>0</v>
      </c>
      <c r="AN18" s="288">
        <f>SUM($L$4:L18)</f>
        <v>0</v>
      </c>
      <c r="AO18" s="288">
        <f>AN18/Resources!$B$12</f>
        <v>0</v>
      </c>
      <c r="AP18" s="288">
        <f>SUM($R$4:R18)</f>
        <v>232186.66666666666</v>
      </c>
      <c r="AQ18" s="288">
        <f>AP18/Resources!$B$13</f>
        <v>23218.666666666664</v>
      </c>
      <c r="AR18" s="288">
        <f>SUM($N$4:N18)</f>
        <v>304340</v>
      </c>
      <c r="AS18" s="288">
        <f>AR18/Resources!$B$14</f>
        <v>2741.801801801802</v>
      </c>
      <c r="AT18" s="288">
        <f>SUM($U$4:U18)</f>
        <v>91708.333333333343</v>
      </c>
      <c r="AU18" s="288">
        <f>AT18/Resources!$B$15</f>
        <v>908.00330033003308</v>
      </c>
      <c r="AV18" s="288">
        <f>SUM($J$4:J18)</f>
        <v>400600</v>
      </c>
      <c r="AW18" s="288">
        <f>AV18/Resources!$B$16</f>
        <v>4087.7551020408164</v>
      </c>
      <c r="AX18" s="288">
        <f>SUM($O$4:O18)</f>
        <v>304848.33333333337</v>
      </c>
      <c r="AY18" s="288">
        <f>AX18/Resources!$B$17</f>
        <v>2903.3174603174607</v>
      </c>
      <c r="AZ18" s="288">
        <f>SUM($I$4:I18,$K$4:K18)</f>
        <v>609133.33333333337</v>
      </c>
      <c r="BA18" s="288">
        <f>AZ18/Resources!$B$6</f>
        <v>19035.416666666668</v>
      </c>
      <c r="BB18" s="288">
        <f>SUM($D$4:D18,$G$4:G18)</f>
        <v>999833.33333333326</v>
      </c>
      <c r="BC18" s="288">
        <f>BB18/Resources!$B$7</f>
        <v>33327.777777777774</v>
      </c>
      <c r="BD18" s="288">
        <f>SUM($C$4:C18,$H$4:H18)</f>
        <v>1114650</v>
      </c>
      <c r="BE18" s="300">
        <f>BD18/Resources!$B$8</f>
        <v>42871.153846153844</v>
      </c>
      <c r="BF18" s="288">
        <f>SUM($B$4:B18,$F$4:F18)</f>
        <v>1907260.0000000002</v>
      </c>
      <c r="BG18" s="288">
        <f>BF18/Resources!$B$9</f>
        <v>61524.516129032265</v>
      </c>
      <c r="BH18" s="288">
        <f>SUM($X$4:X18,$E$4:E18)</f>
        <v>307800</v>
      </c>
      <c r="BI18" s="288">
        <f>BH18/Resources!$B$2</f>
        <v>12825</v>
      </c>
      <c r="BJ18" s="288">
        <f>SUM($V$4:V18,$T$4:T18)</f>
        <v>11616.666666666666</v>
      </c>
      <c r="BK18" s="288">
        <f>BJ18/Resources!$B$3</f>
        <v>446.79487179487177</v>
      </c>
      <c r="BL18" s="288">
        <f>SUM($W$4:W18, $M$4:M18)</f>
        <v>315383.33333333331</v>
      </c>
      <c r="BM18" s="288">
        <f>BL18/Resources!$B$4</f>
        <v>11263.690476190475</v>
      </c>
      <c r="BN18" s="288">
        <f>SUM($P$4:P18,$Q$4:Q18)</f>
        <v>494666.66666666663</v>
      </c>
      <c r="BO18" s="297">
        <f>BN18/Resources!$B$5</f>
        <v>18320.987654320987</v>
      </c>
    </row>
    <row r="19" spans="1:67" ht="18">
      <c r="A19" s="34">
        <f t="shared" si="8"/>
        <v>42881</v>
      </c>
      <c r="B19" s="49">
        <f>SUMIFS(Collection!$J:$J, Collection!$A:$A, $A19, Collection!$B:$B, B$2)</f>
        <v>0</v>
      </c>
      <c r="C19" s="49">
        <f>SUMIFS(Collection!$J:$J, Collection!$A:$A, $A19, Collection!$B:$B, C$2)</f>
        <v>115733.33333333333</v>
      </c>
      <c r="D19" s="49">
        <f>SUMIFS(Collection!$J:$J, Collection!$A:$A, $A19, Collection!$B:$B, D$2)</f>
        <v>0</v>
      </c>
      <c r="E19" s="49">
        <f>SUMIFS(Collection!$J:$J, Collection!$A:$A, $A19, Collection!$B:$B, E$2)</f>
        <v>190400</v>
      </c>
      <c r="F19" s="49">
        <f>SUMIFS(Collection!$J:$J, Collection!$A:$A, $A19, Collection!$B:$B, F$2)</f>
        <v>0</v>
      </c>
      <c r="G19" s="49">
        <f>SUMIFS(Collection!$J:$J, Collection!$A:$A, $A19, Collection!$B:$B, G$2)</f>
        <v>0</v>
      </c>
      <c r="H19" s="49">
        <f>SUMIFS(Collection!$J:$J, Collection!$A:$A, $A19, Collection!$B:$B, H$2)</f>
        <v>0</v>
      </c>
      <c r="I19" s="49">
        <f>SUMIFS(Collection!$J:$J, Collection!$A:$A, $A19, Collection!$B:$B, I$2)</f>
        <v>0</v>
      </c>
      <c r="J19" s="49">
        <f>SUMIFS(Collection!$J:$J, Collection!$A:$A, $A19, Collection!$B:$B, J$2)</f>
        <v>10000</v>
      </c>
      <c r="K19" s="49">
        <f>SUMIFS(Collection!$J:$J, Collection!$A:$A, $A19, Collection!$B:$B, K$2)</f>
        <v>0</v>
      </c>
      <c r="L19" s="49">
        <f>SUMIFS(Collection!$J:$J, Collection!$A:$A, $A19, Collection!$B:$B, L$2)</f>
        <v>54400</v>
      </c>
      <c r="M19" s="49">
        <f>SUMIFS(Collection!$J:$J, Collection!$A:$A, $A19, Collection!$B:$B, M$2)</f>
        <v>0</v>
      </c>
      <c r="N19" s="49">
        <f>SUMIFS(Collection!$J:$J, Collection!$A:$A, $A19, Collection!$B:$B, N$2)</f>
        <v>4266.6666666666661</v>
      </c>
      <c r="O19" s="49">
        <f>SUMIFS(Collection!$J:$J, Collection!$A:$A, $A19, Collection!$B:$B, O$2)</f>
        <v>0</v>
      </c>
      <c r="P19" s="49">
        <f>SUMIFS(Collection!$J:$J, Collection!$A:$A, $A19, Collection!$B:$B, P$2)</f>
        <v>0</v>
      </c>
      <c r="Q19" s="49">
        <f>SUMIFS(Collection!$J:$J, Collection!$A:$A, $A19, Collection!$B:$B, Q$2)</f>
        <v>0</v>
      </c>
      <c r="R19" s="49">
        <f>SUMIFS(Collection!$J:$J, Collection!$A:$A, $A19, Collection!$B:$B, R$2)</f>
        <v>2800</v>
      </c>
      <c r="S19" s="49">
        <f>SUMIFS(Collection!$J:$J, Collection!$A:$A, $A19, Collection!$B:$B, S$2)</f>
        <v>0</v>
      </c>
      <c r="T19" s="49">
        <f>SUMIFS(Collection!$J:$J, Collection!$A:$A, $A19, Collection!$B:$B, T$2)</f>
        <v>139800</v>
      </c>
      <c r="U19" s="49">
        <f>SUMIFS(Collection!$J:$J, Collection!$A:$A, $A19, Collection!$B:$B, U$2)</f>
        <v>0</v>
      </c>
      <c r="V19" s="49">
        <f>SUMIFS(Collection!$J:$J, Collection!$A:$A, $A19, Collection!$B:$B, V$2)</f>
        <v>0</v>
      </c>
      <c r="W19" s="49">
        <f>SUMIFS(Collection!$J:$J, Collection!$A:$A, $A19, Collection!$B:$B, W$2)</f>
        <v>0</v>
      </c>
      <c r="X19" s="49">
        <f>SUMIFS(Collection!$J:$J, Collection!$A:$A, $A19, Collection!$B:$B, X$2)</f>
        <v>0</v>
      </c>
      <c r="Y19" s="49">
        <f>SUMIFS(Collection!$J:$J, Collection!$A:$A, $A19, Collection!$B:$B, Y$2)</f>
        <v>0</v>
      </c>
      <c r="Z19" s="49"/>
      <c r="AA19" s="49">
        <f t="shared" si="0"/>
        <v>0</v>
      </c>
      <c r="AB19" s="49">
        <f t="shared" si="1"/>
        <v>0</v>
      </c>
      <c r="AC19" s="49">
        <f t="shared" si="2"/>
        <v>115733.33333333333</v>
      </c>
      <c r="AD19" s="49">
        <f t="shared" si="3"/>
        <v>0</v>
      </c>
      <c r="AE19" s="49">
        <f t="shared" si="4"/>
        <v>190400</v>
      </c>
      <c r="AF19" s="49">
        <f t="shared" si="5"/>
        <v>139800</v>
      </c>
      <c r="AG19" s="49">
        <f t="shared" si="6"/>
        <v>0</v>
      </c>
      <c r="AH19" s="288">
        <f t="shared" si="7"/>
        <v>0</v>
      </c>
      <c r="AJ19" s="288">
        <f>SUM($S$4:S19)</f>
        <v>149994.44444444444</v>
      </c>
      <c r="AK19" s="288">
        <f>AJ19/Resources!$B$10</f>
        <v>12499.537037037036</v>
      </c>
      <c r="AL19" s="288">
        <f>SUM($Y$4:Y19)</f>
        <v>0</v>
      </c>
      <c r="AM19" s="295">
        <f>AL19/Resources!$B$11</f>
        <v>0</v>
      </c>
      <c r="AN19" s="288">
        <f>SUM($L$4:L19)</f>
        <v>54400</v>
      </c>
      <c r="AO19" s="288">
        <f>AN19/Resources!$B$12</f>
        <v>3626.6666666666665</v>
      </c>
      <c r="AP19" s="288">
        <f>SUM($R$4:R19)</f>
        <v>234986.66666666666</v>
      </c>
      <c r="AQ19" s="288">
        <f>AP19/Resources!$B$13</f>
        <v>23498.666666666664</v>
      </c>
      <c r="AR19" s="288">
        <f>SUM($N$4:N19)</f>
        <v>308606.66666666669</v>
      </c>
      <c r="AS19" s="288">
        <f>AR19/Resources!$B$14</f>
        <v>2780.2402402402404</v>
      </c>
      <c r="AT19" s="288">
        <f>SUM($U$4:U19)</f>
        <v>91708.333333333343</v>
      </c>
      <c r="AU19" s="288">
        <f>AT19/Resources!$B$15</f>
        <v>908.00330033003308</v>
      </c>
      <c r="AV19" s="288">
        <f>SUM($J$4:J19)</f>
        <v>410600</v>
      </c>
      <c r="AW19" s="288">
        <f>AV19/Resources!$B$16</f>
        <v>4189.7959183673465</v>
      </c>
      <c r="AX19" s="288">
        <f>SUM($O$4:O19)</f>
        <v>304848.33333333337</v>
      </c>
      <c r="AY19" s="288">
        <f>AX19/Resources!$B$17</f>
        <v>2903.3174603174607</v>
      </c>
      <c r="AZ19" s="288">
        <f>SUM($I$4:I19,$K$4:K19)</f>
        <v>609133.33333333337</v>
      </c>
      <c r="BA19" s="288">
        <f>AZ19/Resources!$B$6</f>
        <v>19035.416666666668</v>
      </c>
      <c r="BB19" s="288">
        <f>SUM($D$4:D19,$G$4:G19)</f>
        <v>999833.33333333326</v>
      </c>
      <c r="BC19" s="288">
        <f>BB19/Resources!$B$7</f>
        <v>33327.777777777774</v>
      </c>
      <c r="BD19" s="288">
        <f>SUM($C$4:C19,$H$4:H19)</f>
        <v>1230383.3333333335</v>
      </c>
      <c r="BE19" s="300">
        <f>BD19/Resources!$B$8</f>
        <v>47322.435897435906</v>
      </c>
      <c r="BF19" s="288">
        <f>SUM($B$4:B19,$F$4:F19)</f>
        <v>1907260.0000000002</v>
      </c>
      <c r="BG19" s="288">
        <f>BF19/Resources!$B$9</f>
        <v>61524.516129032265</v>
      </c>
      <c r="BH19" s="288">
        <f>SUM($X$4:X19,$E$4:E19)</f>
        <v>498200</v>
      </c>
      <c r="BI19" s="288">
        <f>BH19/Resources!$B$2</f>
        <v>20758.333333333332</v>
      </c>
      <c r="BJ19" s="288">
        <f>SUM($V$4:V19,$T$4:T19)</f>
        <v>151416.66666666666</v>
      </c>
      <c r="BK19" s="288">
        <f>BJ19/Resources!$B$3</f>
        <v>5823.7179487179483</v>
      </c>
      <c r="BL19" s="288">
        <f>SUM($W$4:W19, $M$4:M19)</f>
        <v>315383.33333333331</v>
      </c>
      <c r="BM19" s="288">
        <f>BL19/Resources!$B$4</f>
        <v>11263.690476190475</v>
      </c>
      <c r="BN19" s="288">
        <f>SUM($P$4:P19,$Q$4:Q19)</f>
        <v>494666.66666666663</v>
      </c>
      <c r="BO19" s="297">
        <f>BN19/Resources!$B$5</f>
        <v>18320.987654320987</v>
      </c>
    </row>
    <row r="20" spans="1:67" ht="18">
      <c r="A20" s="34">
        <f t="shared" si="8"/>
        <v>42882</v>
      </c>
      <c r="B20" s="49">
        <f>SUMIFS(Collection!$J:$J, Collection!$A:$A, $A20, Collection!$B:$B, B$2)</f>
        <v>0</v>
      </c>
      <c r="C20" s="49">
        <f>SUMIFS(Collection!$J:$J, Collection!$A:$A, $A20, Collection!$B:$B, C$2)</f>
        <v>156750</v>
      </c>
      <c r="D20" s="49">
        <f>SUMIFS(Collection!$J:$J, Collection!$A:$A, $A20, Collection!$B:$B, D$2)</f>
        <v>1400</v>
      </c>
      <c r="E20" s="49">
        <f>SUMIFS(Collection!$J:$J, Collection!$A:$A, $A20, Collection!$B:$B, E$2)</f>
        <v>8016.666666666667</v>
      </c>
      <c r="F20" s="49">
        <f>SUMIFS(Collection!$J:$J, Collection!$A:$A, $A20, Collection!$B:$B, F$2)</f>
        <v>0</v>
      </c>
      <c r="G20" s="49">
        <f>SUMIFS(Collection!$J:$J, Collection!$A:$A, $A20, Collection!$B:$B, G$2)</f>
        <v>0</v>
      </c>
      <c r="H20" s="49">
        <f>SUMIFS(Collection!$J:$J, Collection!$A:$A, $A20, Collection!$B:$B, H$2)</f>
        <v>0</v>
      </c>
      <c r="I20" s="49">
        <f>SUMIFS(Collection!$J:$J, Collection!$A:$A, $A20, Collection!$B:$B, I$2)</f>
        <v>245660</v>
      </c>
      <c r="J20" s="49">
        <f>SUMIFS(Collection!$J:$J, Collection!$A:$A, $A20, Collection!$B:$B, J$2)</f>
        <v>21600</v>
      </c>
      <c r="K20" s="49">
        <f>SUMIFS(Collection!$J:$J, Collection!$A:$A, $A20, Collection!$B:$B, K$2)</f>
        <v>0</v>
      </c>
      <c r="L20" s="49">
        <f>SUMIFS(Collection!$J:$J, Collection!$A:$A, $A20, Collection!$B:$B, L$2)</f>
        <v>268146.66666666669</v>
      </c>
      <c r="M20" s="49">
        <f>SUMIFS(Collection!$J:$J, Collection!$A:$A, $A20, Collection!$B:$B, M$2)</f>
        <v>2625</v>
      </c>
      <c r="N20" s="49">
        <f>SUMIFS(Collection!$J:$J, Collection!$A:$A, $A20, Collection!$B:$B, N$2)</f>
        <v>0</v>
      </c>
      <c r="O20" s="49">
        <f>SUMIFS(Collection!$J:$J, Collection!$A:$A, $A20, Collection!$B:$B, O$2)</f>
        <v>0</v>
      </c>
      <c r="P20" s="49">
        <f>SUMIFS(Collection!$J:$J, Collection!$A:$A, $A20, Collection!$B:$B, P$2)</f>
        <v>4916.666666666667</v>
      </c>
      <c r="Q20" s="49">
        <f>SUMIFS(Collection!$J:$J, Collection!$A:$A, $A20, Collection!$B:$B, Q$2)</f>
        <v>0</v>
      </c>
      <c r="R20" s="49">
        <f>SUMIFS(Collection!$J:$J, Collection!$A:$A, $A20, Collection!$B:$B, R$2)</f>
        <v>0</v>
      </c>
      <c r="S20" s="49">
        <f>SUMIFS(Collection!$J:$J, Collection!$A:$A, $A20, Collection!$B:$B, S$2)</f>
        <v>0</v>
      </c>
      <c r="T20" s="49">
        <f>SUMIFS(Collection!$J:$J, Collection!$A:$A, $A20, Collection!$B:$B, T$2)</f>
        <v>7050</v>
      </c>
      <c r="U20" s="49">
        <f>SUMIFS(Collection!$J:$J, Collection!$A:$A, $A20, Collection!$B:$B, U$2)</f>
        <v>0</v>
      </c>
      <c r="V20" s="49">
        <f>SUMIFS(Collection!$J:$J, Collection!$A:$A, $A20, Collection!$B:$B, V$2)</f>
        <v>3575</v>
      </c>
      <c r="W20" s="49">
        <f>SUMIFS(Collection!$J:$J, Collection!$A:$A, $A20, Collection!$B:$B, W$2)</f>
        <v>2333.333333333333</v>
      </c>
      <c r="X20" s="49">
        <f>SUMIFS(Collection!$J:$J, Collection!$A:$A, $A20, Collection!$B:$B, X$2)</f>
        <v>0</v>
      </c>
      <c r="Y20" s="49">
        <f>SUMIFS(Collection!$J:$J, Collection!$A:$A, $A20, Collection!$B:$B, Y$2)</f>
        <v>0</v>
      </c>
      <c r="Z20" s="49"/>
      <c r="AA20" s="49">
        <f t="shared" si="0"/>
        <v>245660</v>
      </c>
      <c r="AB20" s="49">
        <f t="shared" si="1"/>
        <v>1400</v>
      </c>
      <c r="AC20" s="49">
        <f t="shared" si="2"/>
        <v>156750</v>
      </c>
      <c r="AD20" s="49">
        <f t="shared" si="3"/>
        <v>0</v>
      </c>
      <c r="AE20" s="49">
        <f t="shared" si="4"/>
        <v>8016.666666666667</v>
      </c>
      <c r="AF20" s="49">
        <f t="shared" si="5"/>
        <v>10625</v>
      </c>
      <c r="AG20" s="49">
        <f t="shared" si="6"/>
        <v>4958.333333333333</v>
      </c>
      <c r="AH20" s="288">
        <f t="shared" si="7"/>
        <v>4916.666666666667</v>
      </c>
      <c r="AJ20" s="288">
        <f>SUM($S$4:S20)</f>
        <v>149994.44444444444</v>
      </c>
      <c r="AK20" s="288">
        <f>AJ20/Resources!$B$10</f>
        <v>12499.537037037036</v>
      </c>
      <c r="AL20" s="288">
        <f>SUM($Y$4:Y20)</f>
        <v>0</v>
      </c>
      <c r="AM20" s="295">
        <f>AL20/Resources!$B$11</f>
        <v>0</v>
      </c>
      <c r="AN20" s="288">
        <f>SUM($L$4:L20)</f>
        <v>322546.66666666669</v>
      </c>
      <c r="AO20" s="288">
        <f>AN20/Resources!$B$12</f>
        <v>21503.111111111113</v>
      </c>
      <c r="AP20" s="288">
        <f>SUM($R$4:R20)</f>
        <v>234986.66666666666</v>
      </c>
      <c r="AQ20" s="288">
        <f>AP20/Resources!$B$13</f>
        <v>23498.666666666664</v>
      </c>
      <c r="AR20" s="288">
        <f>SUM($N$4:N20)</f>
        <v>308606.66666666669</v>
      </c>
      <c r="AS20" s="288">
        <f>AR20/Resources!$B$14</f>
        <v>2780.2402402402404</v>
      </c>
      <c r="AT20" s="288">
        <f>SUM($U$4:U20)</f>
        <v>91708.333333333343</v>
      </c>
      <c r="AU20" s="288">
        <f>AT20/Resources!$B$15</f>
        <v>908.00330033003308</v>
      </c>
      <c r="AV20" s="288">
        <f>SUM($J$4:J20)</f>
        <v>432200</v>
      </c>
      <c r="AW20" s="288">
        <f>AV20/Resources!$B$16</f>
        <v>4410.2040816326535</v>
      </c>
      <c r="AX20" s="288">
        <f>SUM($O$4:O20)</f>
        <v>304848.33333333337</v>
      </c>
      <c r="AY20" s="288">
        <f>AX20/Resources!$B$17</f>
        <v>2903.3174603174607</v>
      </c>
      <c r="AZ20" s="288">
        <f>SUM($I$4:I20,$K$4:K20)</f>
        <v>854793.33333333337</v>
      </c>
      <c r="BA20" s="288">
        <f>AZ20/Resources!$B$6</f>
        <v>26712.291666666668</v>
      </c>
      <c r="BB20" s="288">
        <f>SUM($D$4:D20,$G$4:G20)</f>
        <v>1001233.3333333333</v>
      </c>
      <c r="BC20" s="288">
        <f>BB20/Resources!$B$7</f>
        <v>33374.444444444445</v>
      </c>
      <c r="BD20" s="288">
        <f>SUM($C$4:C20,$H$4:H20)</f>
        <v>1387133.3333333335</v>
      </c>
      <c r="BE20" s="300">
        <f>BD20/Resources!$B$8</f>
        <v>53351.282051282054</v>
      </c>
      <c r="BF20" s="288">
        <f>SUM($B$4:B20,$F$4:F20)</f>
        <v>1907260.0000000002</v>
      </c>
      <c r="BG20" s="288">
        <f>BF20/Resources!$B$9</f>
        <v>61524.516129032265</v>
      </c>
      <c r="BH20" s="288">
        <f>SUM($X$4:X20,$E$4:E20)</f>
        <v>506216.66666666669</v>
      </c>
      <c r="BI20" s="288">
        <f>BH20/Resources!$B$2</f>
        <v>21092.361111111113</v>
      </c>
      <c r="BJ20" s="288">
        <f>SUM($V$4:V20,$T$4:T20)</f>
        <v>162041.66666666666</v>
      </c>
      <c r="BK20" s="288">
        <f>BJ20/Resources!$B$3</f>
        <v>6232.3717948717949</v>
      </c>
      <c r="BL20" s="288">
        <f>SUM($W$4:W20, $M$4:M20)</f>
        <v>320341.66666666663</v>
      </c>
      <c r="BM20" s="288">
        <f>BL20/Resources!$B$4</f>
        <v>11440.773809523807</v>
      </c>
      <c r="BN20" s="288">
        <f>SUM($P$4:P20,$Q$4:Q20)</f>
        <v>499583.33333333331</v>
      </c>
      <c r="BO20" s="297">
        <f>BN20/Resources!$B$5</f>
        <v>18503.086419753086</v>
      </c>
    </row>
    <row r="21" spans="1:67" ht="18">
      <c r="A21" s="34">
        <f t="shared" si="8"/>
        <v>42883</v>
      </c>
      <c r="B21" s="49">
        <f>SUMIFS(Collection!$J:$J, Collection!$A:$A, $A21, Collection!$B:$B, B$2)</f>
        <v>0</v>
      </c>
      <c r="C21" s="49">
        <f>SUMIFS(Collection!$J:$J, Collection!$A:$A, $A21, Collection!$B:$B, C$2)</f>
        <v>0</v>
      </c>
      <c r="D21" s="49">
        <f>SUMIFS(Collection!$J:$J, Collection!$A:$A, $A21, Collection!$B:$B, D$2)</f>
        <v>0</v>
      </c>
      <c r="E21" s="49">
        <f>SUMIFS(Collection!$J:$J, Collection!$A:$A, $A21, Collection!$B:$B, E$2)</f>
        <v>0</v>
      </c>
      <c r="F21" s="49">
        <f>SUMIFS(Collection!$J:$J, Collection!$A:$A, $A21, Collection!$B:$B, F$2)</f>
        <v>0</v>
      </c>
      <c r="G21" s="49">
        <f>SUMIFS(Collection!$J:$J, Collection!$A:$A, $A21, Collection!$B:$B, G$2)</f>
        <v>0</v>
      </c>
      <c r="H21" s="49">
        <f>SUMIFS(Collection!$J:$J, Collection!$A:$A, $A21, Collection!$B:$B, H$2)</f>
        <v>0</v>
      </c>
      <c r="I21" s="49">
        <f>SUMIFS(Collection!$J:$J, Collection!$A:$A, $A21, Collection!$B:$B, I$2)</f>
        <v>0</v>
      </c>
      <c r="J21" s="49">
        <f>SUMIFS(Collection!$J:$J, Collection!$A:$A, $A21, Collection!$B:$B, J$2)</f>
        <v>0</v>
      </c>
      <c r="K21" s="49">
        <f>SUMIFS(Collection!$J:$J, Collection!$A:$A, $A21, Collection!$B:$B, K$2)</f>
        <v>0</v>
      </c>
      <c r="L21" s="49">
        <f>SUMIFS(Collection!$J:$J, Collection!$A:$A, $A21, Collection!$B:$B, L$2)</f>
        <v>0</v>
      </c>
      <c r="M21" s="49">
        <f>SUMIFS(Collection!$J:$J, Collection!$A:$A, $A21, Collection!$B:$B, M$2)</f>
        <v>0</v>
      </c>
      <c r="N21" s="49">
        <f>SUMIFS(Collection!$J:$J, Collection!$A:$A, $A21, Collection!$B:$B, N$2)</f>
        <v>0</v>
      </c>
      <c r="O21" s="49">
        <f>SUMIFS(Collection!$J:$J, Collection!$A:$A, $A21, Collection!$B:$B, O$2)</f>
        <v>0</v>
      </c>
      <c r="P21" s="49">
        <f>SUMIFS(Collection!$J:$J, Collection!$A:$A, $A21, Collection!$B:$B, P$2)</f>
        <v>0</v>
      </c>
      <c r="Q21" s="49">
        <f>SUMIFS(Collection!$J:$J, Collection!$A:$A, $A21, Collection!$B:$B, Q$2)</f>
        <v>0</v>
      </c>
      <c r="R21" s="49">
        <f>SUMIFS(Collection!$J:$J, Collection!$A:$A, $A21, Collection!$B:$B, R$2)</f>
        <v>0</v>
      </c>
      <c r="S21" s="49">
        <f>SUMIFS(Collection!$J:$J, Collection!$A:$A, $A21, Collection!$B:$B, S$2)</f>
        <v>0</v>
      </c>
      <c r="T21" s="49">
        <f>SUMIFS(Collection!$J:$J, Collection!$A:$A, $A21, Collection!$B:$B, T$2)</f>
        <v>0</v>
      </c>
      <c r="U21" s="49">
        <f>SUMIFS(Collection!$J:$J, Collection!$A:$A, $A21, Collection!$B:$B, U$2)</f>
        <v>0</v>
      </c>
      <c r="V21" s="49">
        <f>SUMIFS(Collection!$J:$J, Collection!$A:$A, $A21, Collection!$B:$B, V$2)</f>
        <v>0</v>
      </c>
      <c r="W21" s="49">
        <f>SUMIFS(Collection!$J:$J, Collection!$A:$A, $A21, Collection!$B:$B, W$2)</f>
        <v>0</v>
      </c>
      <c r="X21" s="49">
        <f>SUMIFS(Collection!$J:$J, Collection!$A:$A, $A21, Collection!$B:$B, X$2)</f>
        <v>0</v>
      </c>
      <c r="Y21" s="49">
        <f>SUMIFS(Collection!$J:$J, Collection!$A:$A, $A21, Collection!$B:$B, Y$2)</f>
        <v>0</v>
      </c>
      <c r="Z21" s="49"/>
      <c r="AA21" s="49">
        <f t="shared" si="0"/>
        <v>0</v>
      </c>
      <c r="AB21" s="49">
        <f t="shared" si="1"/>
        <v>0</v>
      </c>
      <c r="AC21" s="49">
        <f t="shared" si="2"/>
        <v>0</v>
      </c>
      <c r="AD21" s="49">
        <f t="shared" si="3"/>
        <v>0</v>
      </c>
      <c r="AE21" s="49">
        <f t="shared" si="4"/>
        <v>0</v>
      </c>
      <c r="AF21" s="49">
        <f t="shared" si="5"/>
        <v>0</v>
      </c>
      <c r="AG21" s="49">
        <f t="shared" si="6"/>
        <v>0</v>
      </c>
      <c r="AH21" s="288">
        <f t="shared" si="7"/>
        <v>0</v>
      </c>
      <c r="AJ21" s="288">
        <f>SUM($S$4:S21)</f>
        <v>149994.44444444444</v>
      </c>
      <c r="AK21" s="288">
        <f>AJ21/Resources!$B$10</f>
        <v>12499.537037037036</v>
      </c>
      <c r="AL21" s="288">
        <f>SUM($Y$4:Y21)</f>
        <v>0</v>
      </c>
      <c r="AM21" s="295">
        <f>AL21/Resources!$B$11</f>
        <v>0</v>
      </c>
      <c r="AN21" s="288">
        <f>SUM($L$4:L21)</f>
        <v>322546.66666666669</v>
      </c>
      <c r="AO21" s="288">
        <f>AN21/Resources!$B$12</f>
        <v>21503.111111111113</v>
      </c>
      <c r="AP21" s="288">
        <f>SUM($R$4:R21)</f>
        <v>234986.66666666666</v>
      </c>
      <c r="AQ21" s="288">
        <f>AP21/Resources!$B$13</f>
        <v>23498.666666666664</v>
      </c>
      <c r="AR21" s="288">
        <f>SUM($N$4:N21)</f>
        <v>308606.66666666669</v>
      </c>
      <c r="AS21" s="288">
        <f>AR21/Resources!$B$14</f>
        <v>2780.2402402402404</v>
      </c>
      <c r="AT21" s="288">
        <f>SUM($U$4:U21)</f>
        <v>91708.333333333343</v>
      </c>
      <c r="AU21" s="288">
        <f>AT21/Resources!$B$15</f>
        <v>908.00330033003308</v>
      </c>
      <c r="AV21" s="288">
        <f>SUM($J$4:J21)</f>
        <v>432200</v>
      </c>
      <c r="AW21" s="288">
        <f>AV21/Resources!$B$16</f>
        <v>4410.2040816326535</v>
      </c>
      <c r="AX21" s="288">
        <f>SUM($O$4:O21)</f>
        <v>304848.33333333337</v>
      </c>
      <c r="AY21" s="288">
        <f>AX21/Resources!$B$17</f>
        <v>2903.3174603174607</v>
      </c>
      <c r="AZ21" s="288">
        <f>SUM($I$4:I21,$K$4:K21)</f>
        <v>854793.33333333337</v>
      </c>
      <c r="BA21" s="288">
        <f>AZ21/Resources!$B$6</f>
        <v>26712.291666666668</v>
      </c>
      <c r="BB21" s="288">
        <f>SUM($D$4:D21,$G$4:G21)</f>
        <v>1001233.3333333333</v>
      </c>
      <c r="BC21" s="288">
        <f>BB21/Resources!$B$7</f>
        <v>33374.444444444445</v>
      </c>
      <c r="BD21" s="288">
        <f>SUM($C$4:C21,$H$4:H21)</f>
        <v>1387133.3333333335</v>
      </c>
      <c r="BE21" s="300">
        <f>BD21/Resources!$B$8</f>
        <v>53351.282051282054</v>
      </c>
      <c r="BF21" s="288">
        <f>SUM($B$4:B21,$F$4:F21)</f>
        <v>1907260.0000000002</v>
      </c>
      <c r="BG21" s="288">
        <f>BF21/Resources!$B$9</f>
        <v>61524.516129032265</v>
      </c>
      <c r="BH21" s="288">
        <f>SUM($X$4:X21,$E$4:E21)</f>
        <v>506216.66666666669</v>
      </c>
      <c r="BI21" s="288">
        <f>BH21/Resources!$B$2</f>
        <v>21092.361111111113</v>
      </c>
      <c r="BJ21" s="288">
        <f>SUM($V$4:V21,$T$4:T21)</f>
        <v>162041.66666666666</v>
      </c>
      <c r="BK21" s="288">
        <f>BJ21/Resources!$B$3</f>
        <v>6232.3717948717949</v>
      </c>
      <c r="BL21" s="288">
        <f>SUM($W$4:W21, $M$4:M21)</f>
        <v>320341.66666666663</v>
      </c>
      <c r="BM21" s="288">
        <f>BL21/Resources!$B$4</f>
        <v>11440.773809523807</v>
      </c>
      <c r="BN21" s="288">
        <f>SUM($P$4:P21,$Q$4:Q21)</f>
        <v>499583.33333333331</v>
      </c>
      <c r="BO21" s="297">
        <f>BN21/Resources!$B$5</f>
        <v>18503.086419753086</v>
      </c>
    </row>
    <row r="22" spans="1:67" ht="18">
      <c r="A22" s="34">
        <f t="shared" si="8"/>
        <v>42884</v>
      </c>
      <c r="B22" s="49">
        <f>SUMIFS(Collection!$J:$J, Collection!$A:$A, $A22, Collection!$B:$B, B$2)</f>
        <v>0</v>
      </c>
      <c r="C22" s="49">
        <f>SUMIFS(Collection!$J:$J, Collection!$A:$A, $A22, Collection!$B:$B, C$2)</f>
        <v>4500</v>
      </c>
      <c r="D22" s="49">
        <f>SUMIFS(Collection!$J:$J, Collection!$A:$A, $A22, Collection!$B:$B, D$2)</f>
        <v>0</v>
      </c>
      <c r="E22" s="49">
        <f>SUMIFS(Collection!$J:$J, Collection!$A:$A, $A22, Collection!$B:$B, E$2)</f>
        <v>0</v>
      </c>
      <c r="F22" s="49">
        <f>SUMIFS(Collection!$J:$J, Collection!$A:$A, $A22, Collection!$B:$B, F$2)</f>
        <v>0</v>
      </c>
      <c r="G22" s="49">
        <f>SUMIFS(Collection!$J:$J, Collection!$A:$A, $A22, Collection!$B:$B, G$2)</f>
        <v>0</v>
      </c>
      <c r="H22" s="49">
        <f>SUMIFS(Collection!$J:$J, Collection!$A:$A, $A22, Collection!$B:$B, H$2)</f>
        <v>0</v>
      </c>
      <c r="I22" s="49">
        <f>SUMIFS(Collection!$J:$J, Collection!$A:$A, $A22, Collection!$B:$B, I$2)</f>
        <v>7900</v>
      </c>
      <c r="J22" s="49">
        <f>SUMIFS(Collection!$J:$J, Collection!$A:$A, $A22, Collection!$B:$B, J$2)</f>
        <v>0</v>
      </c>
      <c r="K22" s="49">
        <f>SUMIFS(Collection!$J:$J, Collection!$A:$A, $A22, Collection!$B:$B, K$2)</f>
        <v>0</v>
      </c>
      <c r="L22" s="49">
        <f>SUMIFS(Collection!$J:$J, Collection!$A:$A, $A22, Collection!$B:$B, L$2)</f>
        <v>0</v>
      </c>
      <c r="M22" s="49">
        <f>SUMIFS(Collection!$J:$J, Collection!$A:$A, $A22, Collection!$B:$B, M$2)</f>
        <v>0</v>
      </c>
      <c r="N22" s="49">
        <f>SUMIFS(Collection!$J:$J, Collection!$A:$A, $A22, Collection!$B:$B, N$2)</f>
        <v>0</v>
      </c>
      <c r="O22" s="49">
        <f>SUMIFS(Collection!$J:$J, Collection!$A:$A, $A22, Collection!$B:$B, O$2)</f>
        <v>0</v>
      </c>
      <c r="P22" s="49">
        <f>SUMIFS(Collection!$J:$J, Collection!$A:$A, $A22, Collection!$B:$B, P$2)</f>
        <v>0</v>
      </c>
      <c r="Q22" s="49">
        <f>SUMIFS(Collection!$J:$J, Collection!$A:$A, $A22, Collection!$B:$B, Q$2)</f>
        <v>0</v>
      </c>
      <c r="R22" s="49">
        <f>SUMIFS(Collection!$J:$J, Collection!$A:$A, $A22, Collection!$B:$B, R$2)</f>
        <v>0</v>
      </c>
      <c r="S22" s="49">
        <f>SUMIFS(Collection!$J:$J, Collection!$A:$A, $A22, Collection!$B:$B, S$2)</f>
        <v>0</v>
      </c>
      <c r="T22" s="49">
        <f>SUMIFS(Collection!$J:$J, Collection!$A:$A, $A22, Collection!$B:$B, T$2)</f>
        <v>3200</v>
      </c>
      <c r="U22" s="49">
        <f>SUMIFS(Collection!$J:$J, Collection!$A:$A, $A22, Collection!$B:$B, U$2)</f>
        <v>0</v>
      </c>
      <c r="V22" s="49">
        <f>SUMIFS(Collection!$J:$J, Collection!$A:$A, $A22, Collection!$B:$B, V$2)</f>
        <v>111099.99999999999</v>
      </c>
      <c r="W22" s="49">
        <f>SUMIFS(Collection!$J:$J, Collection!$A:$A, $A22, Collection!$B:$B, W$2)</f>
        <v>0</v>
      </c>
      <c r="X22" s="49">
        <f>SUMIFS(Collection!$J:$J, Collection!$A:$A, $A22, Collection!$B:$B, X$2)</f>
        <v>0</v>
      </c>
      <c r="Y22" s="49">
        <f>SUMIFS(Collection!$J:$J, Collection!$A:$A, $A22, Collection!$B:$B, Y$2)</f>
        <v>0</v>
      </c>
      <c r="Z22" s="49"/>
      <c r="AA22" s="49">
        <f t="shared" si="0"/>
        <v>7900</v>
      </c>
      <c r="AB22" s="49">
        <f t="shared" si="1"/>
        <v>0</v>
      </c>
      <c r="AC22" s="49">
        <f t="shared" si="2"/>
        <v>4500</v>
      </c>
      <c r="AD22" s="49">
        <f t="shared" si="3"/>
        <v>0</v>
      </c>
      <c r="AE22" s="49">
        <f t="shared" si="4"/>
        <v>0</v>
      </c>
      <c r="AF22" s="49">
        <f t="shared" si="5"/>
        <v>114299.99999999999</v>
      </c>
      <c r="AG22" s="49">
        <f t="shared" si="6"/>
        <v>0</v>
      </c>
      <c r="AH22" s="288">
        <f t="shared" si="7"/>
        <v>0</v>
      </c>
      <c r="AJ22" s="288">
        <f>SUM($S$4:S22)</f>
        <v>149994.44444444444</v>
      </c>
      <c r="AK22" s="288">
        <f>AJ22/Resources!$B$10</f>
        <v>12499.537037037036</v>
      </c>
      <c r="AL22" s="288">
        <f>SUM($Y$4:Y22)</f>
        <v>0</v>
      </c>
      <c r="AM22" s="295">
        <f>AL22/Resources!$B$11</f>
        <v>0</v>
      </c>
      <c r="AN22" s="288">
        <f>SUM($L$4:L22)</f>
        <v>322546.66666666669</v>
      </c>
      <c r="AO22" s="288">
        <f>AN22/Resources!$B$12</f>
        <v>21503.111111111113</v>
      </c>
      <c r="AP22" s="288">
        <f>SUM($R$4:R22)</f>
        <v>234986.66666666666</v>
      </c>
      <c r="AQ22" s="288">
        <f>AP22/Resources!$B$13</f>
        <v>23498.666666666664</v>
      </c>
      <c r="AR22" s="288">
        <f>SUM($N$4:N22)</f>
        <v>308606.66666666669</v>
      </c>
      <c r="AS22" s="288">
        <f>AR22/Resources!$B$14</f>
        <v>2780.2402402402404</v>
      </c>
      <c r="AT22" s="288">
        <f>SUM($U$4:U22)</f>
        <v>91708.333333333343</v>
      </c>
      <c r="AU22" s="288">
        <f>AT22/Resources!$B$15</f>
        <v>908.00330033003308</v>
      </c>
      <c r="AV22" s="288">
        <f>SUM($J$4:J22)</f>
        <v>432200</v>
      </c>
      <c r="AW22" s="288">
        <f>AV22/Resources!$B$16</f>
        <v>4410.2040816326535</v>
      </c>
      <c r="AX22" s="288">
        <f>SUM($O$4:O22)</f>
        <v>304848.33333333337</v>
      </c>
      <c r="AY22" s="288">
        <f>AX22/Resources!$B$17</f>
        <v>2903.3174603174607</v>
      </c>
      <c r="AZ22" s="288">
        <f>SUM($I$4:I22,$K$4:K22)</f>
        <v>862693.33333333337</v>
      </c>
      <c r="BA22" s="288">
        <f>AZ22/Resources!$B$6</f>
        <v>26959.166666666668</v>
      </c>
      <c r="BB22" s="288">
        <f>SUM($D$4:D22,$G$4:G22)</f>
        <v>1001233.3333333333</v>
      </c>
      <c r="BC22" s="288">
        <f>BB22/Resources!$B$7</f>
        <v>33374.444444444445</v>
      </c>
      <c r="BD22" s="288">
        <f>SUM($C$4:C22,$H$4:H22)</f>
        <v>1391633.3333333335</v>
      </c>
      <c r="BE22" s="300">
        <f>BD22/Resources!$B$8</f>
        <v>53524.358974358984</v>
      </c>
      <c r="BF22" s="288">
        <f>SUM($B$4:B22,$F$4:F22)</f>
        <v>1907260.0000000002</v>
      </c>
      <c r="BG22" s="288">
        <f>BF22/Resources!$B$9</f>
        <v>61524.516129032265</v>
      </c>
      <c r="BH22" s="288">
        <f>SUM($X$4:X22,$E$4:E22)</f>
        <v>506216.66666666669</v>
      </c>
      <c r="BI22" s="288">
        <f>BH22/Resources!$B$2</f>
        <v>21092.361111111113</v>
      </c>
      <c r="BJ22" s="288">
        <f>SUM($V$4:V22,$T$4:T22)</f>
        <v>276341.66666666663</v>
      </c>
      <c r="BK22" s="288">
        <f>BJ22/Resources!$B$3</f>
        <v>10628.525641025639</v>
      </c>
      <c r="BL22" s="288">
        <f>SUM($W$4:W22, $M$4:M22)</f>
        <v>320341.66666666663</v>
      </c>
      <c r="BM22" s="288">
        <f>BL22/Resources!$B$4</f>
        <v>11440.773809523807</v>
      </c>
      <c r="BN22" s="288">
        <f>SUM($P$4:P22,$Q$4:Q22)</f>
        <v>499583.33333333331</v>
      </c>
      <c r="BO22" s="297">
        <f>BN22/Resources!$B$5</f>
        <v>18503.086419753086</v>
      </c>
    </row>
    <row r="23" spans="1:67" ht="18">
      <c r="A23" s="34">
        <f t="shared" si="8"/>
        <v>42885</v>
      </c>
      <c r="B23" s="49">
        <f>SUMIFS(Collection!$J:$J, Collection!$A:$A, $A23, Collection!$B:$B, B$2)</f>
        <v>0</v>
      </c>
      <c r="C23" s="49">
        <f>SUMIFS(Collection!$J:$J, Collection!$A:$A, $A23, Collection!$B:$B, C$2)</f>
        <v>0</v>
      </c>
      <c r="D23" s="49">
        <f>SUMIFS(Collection!$J:$J, Collection!$A:$A, $A23, Collection!$B:$B, D$2)</f>
        <v>0</v>
      </c>
      <c r="E23" s="49">
        <f>SUMIFS(Collection!$J:$J, Collection!$A:$A, $A23, Collection!$B:$B, E$2)</f>
        <v>0</v>
      </c>
      <c r="F23" s="49">
        <f>SUMIFS(Collection!$J:$J, Collection!$A:$A, $A23, Collection!$B:$B, F$2)</f>
        <v>0</v>
      </c>
      <c r="G23" s="49">
        <f>SUMIFS(Collection!$J:$J, Collection!$A:$A, $A23, Collection!$B:$B, G$2)</f>
        <v>0</v>
      </c>
      <c r="H23" s="49">
        <f>SUMIFS(Collection!$J:$J, Collection!$A:$A, $A23, Collection!$B:$B, H$2)</f>
        <v>0</v>
      </c>
      <c r="I23" s="49">
        <f>SUMIFS(Collection!$J:$J, Collection!$A:$A, $A23, Collection!$B:$B, I$2)</f>
        <v>0</v>
      </c>
      <c r="J23" s="49">
        <f>SUMIFS(Collection!$J:$J, Collection!$A:$A, $A23, Collection!$B:$B, J$2)</f>
        <v>0</v>
      </c>
      <c r="K23" s="49">
        <f>SUMIFS(Collection!$J:$J, Collection!$A:$A, $A23, Collection!$B:$B, K$2)</f>
        <v>0</v>
      </c>
      <c r="L23" s="49">
        <f>SUMIFS(Collection!$J:$J, Collection!$A:$A, $A23, Collection!$B:$B, L$2)</f>
        <v>0</v>
      </c>
      <c r="M23" s="49">
        <f>SUMIFS(Collection!$J:$J, Collection!$A:$A, $A23, Collection!$B:$B, M$2)</f>
        <v>0</v>
      </c>
      <c r="N23" s="49">
        <f>SUMIFS(Collection!$J:$J, Collection!$A:$A, $A23, Collection!$B:$B, N$2)</f>
        <v>0</v>
      </c>
      <c r="O23" s="49">
        <f>SUMIFS(Collection!$J:$J, Collection!$A:$A, $A23, Collection!$B:$B, O$2)</f>
        <v>0</v>
      </c>
      <c r="P23" s="49">
        <f>SUMIFS(Collection!$J:$J, Collection!$A:$A, $A23, Collection!$B:$B, P$2)</f>
        <v>0</v>
      </c>
      <c r="Q23" s="49">
        <f>SUMIFS(Collection!$J:$J, Collection!$A:$A, $A23, Collection!$B:$B, Q$2)</f>
        <v>0</v>
      </c>
      <c r="R23" s="49">
        <f>SUMIFS(Collection!$J:$J, Collection!$A:$A, $A23, Collection!$B:$B, R$2)</f>
        <v>0</v>
      </c>
      <c r="S23" s="49">
        <f>SUMIFS(Collection!$J:$J, Collection!$A:$A, $A23, Collection!$B:$B, S$2)</f>
        <v>0</v>
      </c>
      <c r="T23" s="49">
        <f>SUMIFS(Collection!$J:$J, Collection!$A:$A, $A23, Collection!$B:$B, T$2)</f>
        <v>0</v>
      </c>
      <c r="U23" s="49">
        <f>SUMIFS(Collection!$J:$J, Collection!$A:$A, $A23, Collection!$B:$B, U$2)</f>
        <v>0</v>
      </c>
      <c r="V23" s="49">
        <f>SUMIFS(Collection!$J:$J, Collection!$A:$A, $A23, Collection!$B:$B, V$2)</f>
        <v>0</v>
      </c>
      <c r="W23" s="49">
        <f>SUMIFS(Collection!$J:$J, Collection!$A:$A, $A23, Collection!$B:$B, W$2)</f>
        <v>0</v>
      </c>
      <c r="X23" s="49">
        <f>SUMIFS(Collection!$J:$J, Collection!$A:$A, $A23, Collection!$B:$B, X$2)</f>
        <v>0</v>
      </c>
      <c r="Y23" s="49">
        <f>SUMIFS(Collection!$J:$J, Collection!$A:$A, $A23, Collection!$B:$B, Y$2)</f>
        <v>0</v>
      </c>
      <c r="Z23" s="49"/>
      <c r="AA23" s="49">
        <f t="shared" si="0"/>
        <v>0</v>
      </c>
      <c r="AB23" s="49">
        <f t="shared" si="1"/>
        <v>0</v>
      </c>
      <c r="AC23" s="49">
        <f t="shared" si="2"/>
        <v>0</v>
      </c>
      <c r="AD23" s="49">
        <f t="shared" si="3"/>
        <v>0</v>
      </c>
      <c r="AE23" s="49">
        <f t="shared" si="4"/>
        <v>0</v>
      </c>
      <c r="AF23" s="49">
        <f t="shared" si="5"/>
        <v>0</v>
      </c>
      <c r="AG23" s="49">
        <f t="shared" si="6"/>
        <v>0</v>
      </c>
      <c r="AH23" s="288">
        <f t="shared" si="7"/>
        <v>0</v>
      </c>
      <c r="AJ23" s="288">
        <f>SUM($S$4:S23)</f>
        <v>149994.44444444444</v>
      </c>
      <c r="AK23" s="288">
        <f>AJ23/Resources!$B$10</f>
        <v>12499.537037037036</v>
      </c>
      <c r="AL23" s="288">
        <f>SUM($Y$4:Y23)</f>
        <v>0</v>
      </c>
      <c r="AM23" s="295">
        <f>AL23/Resources!$B$11</f>
        <v>0</v>
      </c>
      <c r="AN23" s="288">
        <f>SUM($L$4:L23)</f>
        <v>322546.66666666669</v>
      </c>
      <c r="AO23" s="288">
        <f>AN23/Resources!$B$12</f>
        <v>21503.111111111113</v>
      </c>
      <c r="AP23" s="288">
        <f>SUM($R$4:R23)</f>
        <v>234986.66666666666</v>
      </c>
      <c r="AQ23" s="288">
        <f>AP23/Resources!$B$13</f>
        <v>23498.666666666664</v>
      </c>
      <c r="AR23" s="288">
        <f>SUM($N$4:N23)</f>
        <v>308606.66666666669</v>
      </c>
      <c r="AS23" s="288">
        <f>AR23/Resources!$B$14</f>
        <v>2780.2402402402404</v>
      </c>
      <c r="AT23" s="288">
        <f>SUM($U$4:U23)</f>
        <v>91708.333333333343</v>
      </c>
      <c r="AU23" s="288">
        <f>AT23/Resources!$B$15</f>
        <v>908.00330033003308</v>
      </c>
      <c r="AV23" s="288">
        <f>SUM($J$4:J23)</f>
        <v>432200</v>
      </c>
      <c r="AW23" s="288">
        <f>AV23/Resources!$B$16</f>
        <v>4410.2040816326535</v>
      </c>
      <c r="AX23" s="288">
        <f>SUM($O$4:O23)</f>
        <v>304848.33333333337</v>
      </c>
      <c r="AY23" s="288">
        <f>AX23/Resources!$B$17</f>
        <v>2903.3174603174607</v>
      </c>
      <c r="AZ23" s="288">
        <f>SUM($I$4:I23,$K$4:K23)</f>
        <v>862693.33333333337</v>
      </c>
      <c r="BA23" s="288">
        <f>AZ23/Resources!$B$6</f>
        <v>26959.166666666668</v>
      </c>
      <c r="BB23" s="288">
        <f>SUM($D$4:D23,$G$4:G23)</f>
        <v>1001233.3333333333</v>
      </c>
      <c r="BC23" s="288">
        <f>BB23/Resources!$B$7</f>
        <v>33374.444444444445</v>
      </c>
      <c r="BD23" s="288">
        <f>SUM($C$4:C23,$H$4:H23)</f>
        <v>1391633.3333333335</v>
      </c>
      <c r="BE23" s="300">
        <f>BD23/Resources!$B$8</f>
        <v>53524.358974358984</v>
      </c>
      <c r="BF23" s="288">
        <f>SUM($B$4:B23,$F$4:F23)</f>
        <v>1907260.0000000002</v>
      </c>
      <c r="BG23" s="288">
        <f>BF23/Resources!$B$9</f>
        <v>61524.516129032265</v>
      </c>
      <c r="BH23" s="288">
        <f>SUM($X$4:X23,$E$4:E23)</f>
        <v>506216.66666666669</v>
      </c>
      <c r="BI23" s="288">
        <f>BH23/Resources!$B$2</f>
        <v>21092.361111111113</v>
      </c>
      <c r="BJ23" s="288">
        <f>SUM($V$4:V23,$T$4:T23)</f>
        <v>276341.66666666663</v>
      </c>
      <c r="BK23" s="288">
        <f>BJ23/Resources!$B$3</f>
        <v>10628.525641025639</v>
      </c>
      <c r="BL23" s="288">
        <f>SUM($W$4:W23, $M$4:M23)</f>
        <v>320341.66666666663</v>
      </c>
      <c r="BM23" s="288">
        <f>BL23/Resources!$B$4</f>
        <v>11440.773809523807</v>
      </c>
      <c r="BN23" s="288">
        <f>SUM($P$4:P23,$Q$4:Q23)</f>
        <v>499583.33333333331</v>
      </c>
      <c r="BO23" s="297">
        <f>BN23/Resources!$B$5</f>
        <v>18503.086419753086</v>
      </c>
    </row>
    <row r="24" spans="1:67" ht="18">
      <c r="A24" s="34">
        <f t="shared" si="8"/>
        <v>42886</v>
      </c>
      <c r="B24" s="49">
        <f>SUMIFS(Collection!$J:$J, Collection!$A:$A, $A24, Collection!$B:$B, B$2)</f>
        <v>0</v>
      </c>
      <c r="C24" s="49">
        <f>SUMIFS(Collection!$J:$J, Collection!$A:$A, $A24, Collection!$B:$B, C$2)</f>
        <v>0</v>
      </c>
      <c r="D24" s="49">
        <f>SUMIFS(Collection!$J:$J, Collection!$A:$A, $A24, Collection!$B:$B, D$2)</f>
        <v>0</v>
      </c>
      <c r="E24" s="49">
        <f>SUMIFS(Collection!$J:$J, Collection!$A:$A, $A24, Collection!$B:$B, E$2)</f>
        <v>0</v>
      </c>
      <c r="F24" s="49">
        <f>SUMIFS(Collection!$J:$J, Collection!$A:$A, $A24, Collection!$B:$B, F$2)</f>
        <v>0</v>
      </c>
      <c r="G24" s="49">
        <f>SUMIFS(Collection!$J:$J, Collection!$A:$A, $A24, Collection!$B:$B, G$2)</f>
        <v>0</v>
      </c>
      <c r="H24" s="49">
        <f>SUMIFS(Collection!$J:$J, Collection!$A:$A, $A24, Collection!$B:$B, H$2)</f>
        <v>378000</v>
      </c>
      <c r="I24" s="49">
        <f>SUMIFS(Collection!$J:$J, Collection!$A:$A, $A24, Collection!$B:$B, I$2)</f>
        <v>0</v>
      </c>
      <c r="J24" s="49">
        <f>SUMIFS(Collection!$J:$J, Collection!$A:$A, $A24, Collection!$B:$B, J$2)</f>
        <v>0</v>
      </c>
      <c r="K24" s="49">
        <f>SUMIFS(Collection!$J:$J, Collection!$A:$A, $A24, Collection!$B:$B, K$2)</f>
        <v>164266.66666666669</v>
      </c>
      <c r="L24" s="49">
        <f>SUMIFS(Collection!$J:$J, Collection!$A:$A, $A24, Collection!$B:$B, L$2)</f>
        <v>0</v>
      </c>
      <c r="M24" s="49">
        <f>SUMIFS(Collection!$J:$J, Collection!$A:$A, $A24, Collection!$B:$B, M$2)</f>
        <v>0</v>
      </c>
      <c r="N24" s="49">
        <f>SUMIFS(Collection!$J:$J, Collection!$A:$A, $A24, Collection!$B:$B, N$2)</f>
        <v>0</v>
      </c>
      <c r="O24" s="49">
        <f>SUMIFS(Collection!$J:$J, Collection!$A:$A, $A24, Collection!$B:$B, O$2)</f>
        <v>0</v>
      </c>
      <c r="P24" s="49">
        <f>SUMIFS(Collection!$J:$J, Collection!$A:$A, $A24, Collection!$B:$B, P$2)</f>
        <v>0</v>
      </c>
      <c r="Q24" s="49">
        <f>SUMIFS(Collection!$J:$J, Collection!$A:$A, $A24, Collection!$B:$B, Q$2)</f>
        <v>0</v>
      </c>
      <c r="R24" s="49">
        <f>SUMIFS(Collection!$J:$J, Collection!$A:$A, $A24, Collection!$B:$B, R$2)</f>
        <v>436800</v>
      </c>
      <c r="S24" s="49">
        <f>SUMIFS(Collection!$J:$J, Collection!$A:$A, $A24, Collection!$B:$B, S$2)</f>
        <v>0</v>
      </c>
      <c r="T24" s="49">
        <f>SUMIFS(Collection!$J:$J, Collection!$A:$A, $A24, Collection!$B:$B, T$2)</f>
        <v>0</v>
      </c>
      <c r="U24" s="49">
        <f>SUMIFS(Collection!$J:$J, Collection!$A:$A, $A24, Collection!$B:$B, U$2)</f>
        <v>0</v>
      </c>
      <c r="V24" s="49">
        <f>SUMIFS(Collection!$J:$J, Collection!$A:$A, $A24, Collection!$B:$B, V$2)</f>
        <v>1333.3333333333335</v>
      </c>
      <c r="W24" s="49">
        <f>SUMIFS(Collection!$J:$J, Collection!$A:$A, $A24, Collection!$B:$B, W$2)</f>
        <v>0</v>
      </c>
      <c r="X24" s="49">
        <f>SUMIFS(Collection!$J:$J, Collection!$A:$A, $A24, Collection!$B:$B, X$2)</f>
        <v>0</v>
      </c>
      <c r="Y24" s="49">
        <f>SUMIFS(Collection!$J:$J, Collection!$A:$A, $A24, Collection!$B:$B, Y$2)</f>
        <v>0</v>
      </c>
      <c r="Z24" s="49"/>
      <c r="AA24" s="49">
        <f t="shared" si="0"/>
        <v>164266.66666666669</v>
      </c>
      <c r="AB24" s="49">
        <f t="shared" si="1"/>
        <v>0</v>
      </c>
      <c r="AC24" s="49">
        <f t="shared" si="2"/>
        <v>378000</v>
      </c>
      <c r="AD24" s="49">
        <f t="shared" si="3"/>
        <v>0</v>
      </c>
      <c r="AE24" s="49">
        <f t="shared" si="4"/>
        <v>0</v>
      </c>
      <c r="AF24" s="49">
        <f t="shared" si="5"/>
        <v>1333.3333333333335</v>
      </c>
      <c r="AG24" s="49">
        <f t="shared" si="6"/>
        <v>0</v>
      </c>
      <c r="AH24" s="288">
        <f t="shared" si="7"/>
        <v>0</v>
      </c>
      <c r="AJ24" s="288">
        <f>SUM($S$4:S24)</f>
        <v>149994.44444444444</v>
      </c>
      <c r="AK24" s="288">
        <f>AJ24/Resources!$B$10</f>
        <v>12499.537037037036</v>
      </c>
      <c r="AL24" s="288">
        <f>SUM($Y$4:Y24)</f>
        <v>0</v>
      </c>
      <c r="AM24" s="295">
        <f>AL24/Resources!$B$11</f>
        <v>0</v>
      </c>
      <c r="AN24" s="288">
        <f>SUM($L$4:L24)</f>
        <v>322546.66666666669</v>
      </c>
      <c r="AO24" s="288">
        <f>AN24/Resources!$B$12</f>
        <v>21503.111111111113</v>
      </c>
      <c r="AP24" s="288">
        <f>SUM($R$4:R24)</f>
        <v>671786.66666666663</v>
      </c>
      <c r="AQ24" s="288">
        <f>AP24/Resources!$B$13</f>
        <v>67178.666666666657</v>
      </c>
      <c r="AR24" s="288">
        <f>SUM($N$4:N24)</f>
        <v>308606.66666666669</v>
      </c>
      <c r="AS24" s="288">
        <f>AR24/Resources!$B$14</f>
        <v>2780.2402402402404</v>
      </c>
      <c r="AT24" s="288">
        <f>SUM($U$4:U24)</f>
        <v>91708.333333333343</v>
      </c>
      <c r="AU24" s="288">
        <f>AT24/Resources!$B$15</f>
        <v>908.00330033003308</v>
      </c>
      <c r="AV24" s="288">
        <f>SUM($J$4:J24)</f>
        <v>432200</v>
      </c>
      <c r="AW24" s="288">
        <f>AV24/Resources!$B$16</f>
        <v>4410.2040816326535</v>
      </c>
      <c r="AX24" s="288">
        <f>SUM($O$4:O24)</f>
        <v>304848.33333333337</v>
      </c>
      <c r="AY24" s="288">
        <f>AX24/Resources!$B$17</f>
        <v>2903.3174603174607</v>
      </c>
      <c r="AZ24" s="288">
        <f>SUM($I$4:I24,$K$4:K24)</f>
        <v>1026960</v>
      </c>
      <c r="BA24" s="288">
        <f>AZ24/Resources!$B$6</f>
        <v>32092.5</v>
      </c>
      <c r="BB24" s="288">
        <f>SUM($D$4:D24,$G$4:G24)</f>
        <v>1001233.3333333333</v>
      </c>
      <c r="BC24" s="288">
        <f>BB24/Resources!$B$7</f>
        <v>33374.444444444445</v>
      </c>
      <c r="BD24" s="288">
        <f>SUM($C$4:C24,$H$4:H24)</f>
        <v>1769633.3333333335</v>
      </c>
      <c r="BE24" s="300">
        <f>BD24/Resources!$B$8</f>
        <v>68062.820512820515</v>
      </c>
      <c r="BF24" s="288">
        <f>SUM($B$4:B24,$F$4:F24)</f>
        <v>1907260.0000000002</v>
      </c>
      <c r="BG24" s="288">
        <f>BF24/Resources!$B$9</f>
        <v>61524.516129032265</v>
      </c>
      <c r="BH24" s="288">
        <f>SUM($X$4:X24,$E$4:E24)</f>
        <v>506216.66666666669</v>
      </c>
      <c r="BI24" s="288">
        <f>BH24/Resources!$B$2</f>
        <v>21092.361111111113</v>
      </c>
      <c r="BJ24" s="288">
        <f>SUM($V$4:V24,$T$4:T24)</f>
        <v>277675</v>
      </c>
      <c r="BK24" s="288">
        <f>BJ24/Resources!$B$3</f>
        <v>10679.807692307691</v>
      </c>
      <c r="BL24" s="288">
        <f>SUM($W$4:W24, $M$4:M24)</f>
        <v>320341.66666666663</v>
      </c>
      <c r="BM24" s="288">
        <f>BL24/Resources!$B$4</f>
        <v>11440.773809523807</v>
      </c>
      <c r="BN24" s="288">
        <f>SUM($P$4:P24,$Q$4:Q24)</f>
        <v>499583.33333333331</v>
      </c>
      <c r="BO24" s="297">
        <f>BN24/Resources!$B$5</f>
        <v>18503.086419753086</v>
      </c>
    </row>
    <row r="25" spans="1:67" ht="18">
      <c r="A25" s="34">
        <f t="shared" si="8"/>
        <v>42887</v>
      </c>
      <c r="B25" s="49">
        <f>SUMIFS(Collection!$J:$J, Collection!$A:$A, $A25, Collection!$B:$B, B$2)</f>
        <v>0</v>
      </c>
      <c r="C25" s="49">
        <f>SUMIFS(Collection!$J:$J, Collection!$A:$A, $A25, Collection!$B:$B, C$2)</f>
        <v>0</v>
      </c>
      <c r="D25" s="49">
        <f>SUMIFS(Collection!$J:$J, Collection!$A:$A, $A25, Collection!$B:$B, D$2)</f>
        <v>0</v>
      </c>
      <c r="E25" s="49">
        <f>SUMIFS(Collection!$J:$J, Collection!$A:$A, $A25, Collection!$B:$B, E$2)</f>
        <v>0</v>
      </c>
      <c r="F25" s="49">
        <f>SUMIFS(Collection!$J:$J, Collection!$A:$A, $A25, Collection!$B:$B, F$2)</f>
        <v>406800</v>
      </c>
      <c r="G25" s="49">
        <f>SUMIFS(Collection!$J:$J, Collection!$A:$A, $A25, Collection!$B:$B, G$2)</f>
        <v>0</v>
      </c>
      <c r="H25" s="49">
        <f>SUMIFS(Collection!$J:$J, Collection!$A:$A, $A25, Collection!$B:$B, H$2)</f>
        <v>0</v>
      </c>
      <c r="I25" s="49">
        <f>SUMIFS(Collection!$J:$J, Collection!$A:$A, $A25, Collection!$B:$B, I$2)</f>
        <v>0</v>
      </c>
      <c r="J25" s="49">
        <f>SUMIFS(Collection!$J:$J, Collection!$A:$A, $A25, Collection!$B:$B, J$2)</f>
        <v>0</v>
      </c>
      <c r="K25" s="49">
        <f>SUMIFS(Collection!$J:$J, Collection!$A:$A, $A25, Collection!$B:$B, K$2)</f>
        <v>750</v>
      </c>
      <c r="L25" s="49">
        <f>SUMIFS(Collection!$J:$J, Collection!$A:$A, $A25, Collection!$B:$B, L$2)</f>
        <v>0</v>
      </c>
      <c r="M25" s="49">
        <f>SUMIFS(Collection!$J:$J, Collection!$A:$A, $A25, Collection!$B:$B, M$2)</f>
        <v>1466.6666666666665</v>
      </c>
      <c r="N25" s="49">
        <f>SUMIFS(Collection!$J:$J, Collection!$A:$A, $A25, Collection!$B:$B, N$2)</f>
        <v>0</v>
      </c>
      <c r="O25" s="49">
        <f>SUMIFS(Collection!$J:$J, Collection!$A:$A, $A25, Collection!$B:$B, O$2)</f>
        <v>40533.333333333328</v>
      </c>
      <c r="P25" s="49">
        <f>SUMIFS(Collection!$J:$J, Collection!$A:$A, $A25, Collection!$B:$B, P$2)</f>
        <v>0</v>
      </c>
      <c r="Q25" s="49">
        <f>SUMIFS(Collection!$J:$J, Collection!$A:$A, $A25, Collection!$B:$B, Q$2)</f>
        <v>0</v>
      </c>
      <c r="R25" s="49">
        <f>SUMIFS(Collection!$J:$J, Collection!$A:$A, $A25, Collection!$B:$B, R$2)</f>
        <v>0</v>
      </c>
      <c r="S25" s="49">
        <f>SUMIFS(Collection!$J:$J, Collection!$A:$A, $A25, Collection!$B:$B, S$2)</f>
        <v>0</v>
      </c>
      <c r="T25" s="49">
        <f>SUMIFS(Collection!$J:$J, Collection!$A:$A, $A25, Collection!$B:$B, T$2)</f>
        <v>0</v>
      </c>
      <c r="U25" s="49">
        <f>SUMIFS(Collection!$J:$J, Collection!$A:$A, $A25, Collection!$B:$B, U$2)</f>
        <v>99733.333333333343</v>
      </c>
      <c r="V25" s="49">
        <f>SUMIFS(Collection!$J:$J, Collection!$A:$A, $A25, Collection!$B:$B, V$2)</f>
        <v>0</v>
      </c>
      <c r="W25" s="49">
        <f>SUMIFS(Collection!$J:$J, Collection!$A:$A, $A25, Collection!$B:$B, W$2)</f>
        <v>0</v>
      </c>
      <c r="X25" s="49">
        <f>SUMIFS(Collection!$J:$J, Collection!$A:$A, $A25, Collection!$B:$B, X$2)</f>
        <v>0</v>
      </c>
      <c r="Y25" s="49">
        <f>SUMIFS(Collection!$J:$J, Collection!$A:$A, $A25, Collection!$B:$B, Y$2)</f>
        <v>0</v>
      </c>
      <c r="Z25" s="49"/>
      <c r="AA25" s="49">
        <f t="shared" si="0"/>
        <v>750</v>
      </c>
      <c r="AB25" s="49">
        <f t="shared" si="1"/>
        <v>0</v>
      </c>
      <c r="AC25" s="49">
        <f t="shared" si="2"/>
        <v>0</v>
      </c>
      <c r="AD25" s="49">
        <f t="shared" si="3"/>
        <v>406800</v>
      </c>
      <c r="AE25" s="49">
        <f t="shared" si="4"/>
        <v>0</v>
      </c>
      <c r="AF25" s="49">
        <f t="shared" si="5"/>
        <v>0</v>
      </c>
      <c r="AG25" s="49">
        <f t="shared" si="6"/>
        <v>1466.6666666666665</v>
      </c>
      <c r="AH25" s="288">
        <f t="shared" si="7"/>
        <v>0</v>
      </c>
      <c r="AJ25" s="288">
        <f>SUM($S$4:S25)</f>
        <v>149994.44444444444</v>
      </c>
      <c r="AK25" s="288">
        <f>AJ25/Resources!$B$10</f>
        <v>12499.537037037036</v>
      </c>
      <c r="AL25" s="288">
        <f>SUM($Y$4:Y25)</f>
        <v>0</v>
      </c>
      <c r="AM25" s="295">
        <f>AL25/Resources!$B$11</f>
        <v>0</v>
      </c>
      <c r="AN25" s="288">
        <f>SUM($L$4:L25)</f>
        <v>322546.66666666669</v>
      </c>
      <c r="AO25" s="288">
        <f>AN25/Resources!$B$12</f>
        <v>21503.111111111113</v>
      </c>
      <c r="AP25" s="288">
        <f>SUM($R$4:R25)</f>
        <v>671786.66666666663</v>
      </c>
      <c r="AQ25" s="288">
        <f>AP25/Resources!$B$13</f>
        <v>67178.666666666657</v>
      </c>
      <c r="AR25" s="288">
        <f>SUM($N$4:N25)</f>
        <v>308606.66666666669</v>
      </c>
      <c r="AS25" s="288">
        <f>AR25/Resources!$B$14</f>
        <v>2780.2402402402404</v>
      </c>
      <c r="AT25" s="288">
        <f>SUM($U$4:U25)</f>
        <v>191441.66666666669</v>
      </c>
      <c r="AU25" s="288">
        <f>AT25/Resources!$B$15</f>
        <v>1895.4620462046207</v>
      </c>
      <c r="AV25" s="288">
        <f>SUM($J$4:J25)</f>
        <v>432200</v>
      </c>
      <c r="AW25" s="288">
        <f>AV25/Resources!$B$16</f>
        <v>4410.2040816326535</v>
      </c>
      <c r="AX25" s="288">
        <f>SUM($O$4:O25)</f>
        <v>345381.66666666669</v>
      </c>
      <c r="AY25" s="288">
        <f>AX25/Resources!$B$17</f>
        <v>3289.3492063492067</v>
      </c>
      <c r="AZ25" s="288">
        <f>SUM($I$4:I25,$K$4:K25)</f>
        <v>1027710</v>
      </c>
      <c r="BA25" s="288">
        <f>AZ25/Resources!$B$6</f>
        <v>32115.9375</v>
      </c>
      <c r="BB25" s="288">
        <f>SUM($D$4:D25,$G$4:G25)</f>
        <v>1001233.3333333333</v>
      </c>
      <c r="BC25" s="288">
        <f>BB25/Resources!$B$7</f>
        <v>33374.444444444445</v>
      </c>
      <c r="BD25" s="288">
        <f>SUM($C$4:C25,$H$4:H25)</f>
        <v>1769633.3333333335</v>
      </c>
      <c r="BE25" s="300">
        <f>BD25/Resources!$B$8</f>
        <v>68062.820512820515</v>
      </c>
      <c r="BF25" s="288">
        <f>SUM($B$4:B25,$F$4:F25)</f>
        <v>2314060</v>
      </c>
      <c r="BG25" s="288">
        <f>BF25/Resources!$B$9</f>
        <v>74647.096774193546</v>
      </c>
      <c r="BH25" s="288">
        <f>SUM($X$4:X25,$E$4:E25)</f>
        <v>506216.66666666669</v>
      </c>
      <c r="BI25" s="288">
        <f>BH25/Resources!$B$2</f>
        <v>21092.361111111113</v>
      </c>
      <c r="BJ25" s="288">
        <f>SUM($V$4:V25,$T$4:T25)</f>
        <v>277675</v>
      </c>
      <c r="BK25" s="288">
        <f>BJ25/Resources!$B$3</f>
        <v>10679.807692307691</v>
      </c>
      <c r="BL25" s="288">
        <f>SUM($W$4:W25, $M$4:M25)</f>
        <v>321808.33333333331</v>
      </c>
      <c r="BM25" s="288">
        <f>BL25/Resources!$B$4</f>
        <v>11493.154761904761</v>
      </c>
      <c r="BN25" s="288">
        <f>SUM($P$4:P25,$Q$4:Q25)</f>
        <v>499583.33333333331</v>
      </c>
      <c r="BO25" s="297">
        <f>BN25/Resources!$B$5</f>
        <v>18503.086419753086</v>
      </c>
    </row>
    <row r="26" spans="1:67" ht="18">
      <c r="A26" s="34">
        <f t="shared" si="8"/>
        <v>42888</v>
      </c>
      <c r="B26" s="49">
        <f>SUMIFS(Collection!$J:$J, Collection!$A:$A, $A26, Collection!$B:$B, B$2)</f>
        <v>0</v>
      </c>
      <c r="C26" s="49">
        <f>SUMIFS(Collection!$J:$J, Collection!$A:$A, $A26, Collection!$B:$B, C$2)</f>
        <v>0</v>
      </c>
      <c r="D26" s="49">
        <f>SUMIFS(Collection!$J:$J, Collection!$A:$A, $A26, Collection!$B:$B, D$2)</f>
        <v>0</v>
      </c>
      <c r="E26" s="49">
        <f>SUMIFS(Collection!$J:$J, Collection!$A:$A, $A26, Collection!$B:$B, E$2)</f>
        <v>0</v>
      </c>
      <c r="F26" s="49">
        <f>SUMIFS(Collection!$J:$J, Collection!$A:$A, $A26, Collection!$B:$B, F$2)</f>
        <v>0</v>
      </c>
      <c r="G26" s="49">
        <f>SUMIFS(Collection!$J:$J, Collection!$A:$A, $A26, Collection!$B:$B, G$2)</f>
        <v>0</v>
      </c>
      <c r="H26" s="49">
        <f>SUMIFS(Collection!$J:$J, Collection!$A:$A, $A26, Collection!$B:$B, H$2)</f>
        <v>0</v>
      </c>
      <c r="I26" s="49">
        <f>SUMIFS(Collection!$J:$J, Collection!$A:$A, $A26, Collection!$B:$B, I$2)</f>
        <v>0</v>
      </c>
      <c r="J26" s="49">
        <f>SUMIFS(Collection!$J:$J, Collection!$A:$A, $A26, Collection!$B:$B, J$2)</f>
        <v>0</v>
      </c>
      <c r="K26" s="49">
        <f>SUMIFS(Collection!$J:$J, Collection!$A:$A, $A26, Collection!$B:$B, K$2)</f>
        <v>0</v>
      </c>
      <c r="L26" s="49">
        <f>SUMIFS(Collection!$J:$J, Collection!$A:$A, $A26, Collection!$B:$B, L$2)</f>
        <v>0</v>
      </c>
      <c r="M26" s="49">
        <f>SUMIFS(Collection!$J:$J, Collection!$A:$A, $A26, Collection!$B:$B, M$2)</f>
        <v>0</v>
      </c>
      <c r="N26" s="49">
        <f>SUMIFS(Collection!$J:$J, Collection!$A:$A, $A26, Collection!$B:$B, N$2)</f>
        <v>0</v>
      </c>
      <c r="O26" s="49">
        <f>SUMIFS(Collection!$J:$J, Collection!$A:$A, $A26, Collection!$B:$B, O$2)</f>
        <v>0</v>
      </c>
      <c r="P26" s="49">
        <f>SUMIFS(Collection!$J:$J, Collection!$A:$A, $A26, Collection!$B:$B, P$2)</f>
        <v>0</v>
      </c>
      <c r="Q26" s="49">
        <f>SUMIFS(Collection!$J:$J, Collection!$A:$A, $A26, Collection!$B:$B, Q$2)</f>
        <v>0</v>
      </c>
      <c r="R26" s="49">
        <f>SUMIFS(Collection!$J:$J, Collection!$A:$A, $A26, Collection!$B:$B, R$2)</f>
        <v>0</v>
      </c>
      <c r="S26" s="49">
        <f>SUMIFS(Collection!$J:$J, Collection!$A:$A, $A26, Collection!$B:$B, S$2)</f>
        <v>0</v>
      </c>
      <c r="T26" s="49">
        <f>SUMIFS(Collection!$J:$J, Collection!$A:$A, $A26, Collection!$B:$B, T$2)</f>
        <v>0</v>
      </c>
      <c r="U26" s="49">
        <f>SUMIFS(Collection!$J:$J, Collection!$A:$A, $A26, Collection!$B:$B, U$2)</f>
        <v>0</v>
      </c>
      <c r="V26" s="49">
        <f>SUMIFS(Collection!$J:$J, Collection!$A:$A, $A26, Collection!$B:$B, V$2)</f>
        <v>0</v>
      </c>
      <c r="W26" s="49">
        <f>SUMIFS(Collection!$J:$J, Collection!$A:$A, $A26, Collection!$B:$B, W$2)</f>
        <v>0</v>
      </c>
      <c r="X26" s="49">
        <f>SUMIFS(Collection!$J:$J, Collection!$A:$A, $A26, Collection!$B:$B, X$2)</f>
        <v>0</v>
      </c>
      <c r="Y26" s="49">
        <f>SUMIFS(Collection!$J:$J, Collection!$A:$A, $A26, Collection!$B:$B, Y$2)</f>
        <v>0</v>
      </c>
      <c r="Z26" s="49"/>
      <c r="AA26" s="49">
        <f t="shared" si="0"/>
        <v>0</v>
      </c>
      <c r="AB26" s="49">
        <f t="shared" si="1"/>
        <v>0</v>
      </c>
      <c r="AC26" s="49">
        <f t="shared" si="2"/>
        <v>0</v>
      </c>
      <c r="AD26" s="49">
        <f t="shared" si="3"/>
        <v>0</v>
      </c>
      <c r="AE26" s="49">
        <f t="shared" si="4"/>
        <v>0</v>
      </c>
      <c r="AF26" s="49">
        <f t="shared" si="5"/>
        <v>0</v>
      </c>
      <c r="AG26" s="49">
        <f t="shared" si="6"/>
        <v>0</v>
      </c>
      <c r="AH26" s="288">
        <f t="shared" si="7"/>
        <v>0</v>
      </c>
      <c r="AJ26" s="288">
        <f>SUM($S$4:S26)</f>
        <v>149994.44444444444</v>
      </c>
      <c r="AK26" s="288">
        <f>AJ26/Resources!$B$10</f>
        <v>12499.537037037036</v>
      </c>
      <c r="AL26" s="288">
        <f>SUM($Y$4:Y26)</f>
        <v>0</v>
      </c>
      <c r="AM26" s="295">
        <f>AL26/Resources!$B$11</f>
        <v>0</v>
      </c>
      <c r="AN26" s="288">
        <f>SUM($L$4:L26)</f>
        <v>322546.66666666669</v>
      </c>
      <c r="AO26" s="288">
        <f>AN26/Resources!$B$12</f>
        <v>21503.111111111113</v>
      </c>
      <c r="AP26" s="288">
        <f>SUM($R$4:R26)</f>
        <v>671786.66666666663</v>
      </c>
      <c r="AQ26" s="288">
        <f>AP26/Resources!$B$13</f>
        <v>67178.666666666657</v>
      </c>
      <c r="AR26" s="288">
        <f>SUM($N$4:N26)</f>
        <v>308606.66666666669</v>
      </c>
      <c r="AS26" s="288">
        <f>AR26/Resources!$B$14</f>
        <v>2780.2402402402404</v>
      </c>
      <c r="AT26" s="288">
        <f>SUM($U$4:U26)</f>
        <v>191441.66666666669</v>
      </c>
      <c r="AU26" s="288">
        <f>AT26/Resources!$B$15</f>
        <v>1895.4620462046207</v>
      </c>
      <c r="AV26" s="288">
        <f>SUM($J$4:J26)</f>
        <v>432200</v>
      </c>
      <c r="AW26" s="288">
        <f>AV26/Resources!$B$16</f>
        <v>4410.2040816326535</v>
      </c>
      <c r="AX26" s="288">
        <f>SUM($O$4:O26)</f>
        <v>345381.66666666669</v>
      </c>
      <c r="AY26" s="288">
        <f>AX26/Resources!$B$17</f>
        <v>3289.3492063492067</v>
      </c>
      <c r="AZ26" s="288">
        <f>SUM($I$4:I26,$K$4:K26)</f>
        <v>1027710</v>
      </c>
      <c r="BA26" s="288">
        <f>AZ26/Resources!$B$6</f>
        <v>32115.9375</v>
      </c>
      <c r="BB26" s="288">
        <f>SUM($D$4:D26,$G$4:G26)</f>
        <v>1001233.3333333333</v>
      </c>
      <c r="BC26" s="288">
        <f>BB26/Resources!$B$7</f>
        <v>33374.444444444445</v>
      </c>
      <c r="BD26" s="288">
        <f>SUM($C$4:C26,$H$4:H26)</f>
        <v>1769633.3333333335</v>
      </c>
      <c r="BE26" s="300">
        <f>BD26/Resources!$B$8</f>
        <v>68062.820512820515</v>
      </c>
      <c r="BF26" s="288">
        <f>SUM($B$4:B26,$F$4:F26)</f>
        <v>2314060</v>
      </c>
      <c r="BG26" s="288">
        <f>BF26/Resources!$B$9</f>
        <v>74647.096774193546</v>
      </c>
      <c r="BH26" s="288">
        <f>SUM($X$4:X26,$E$4:E26)</f>
        <v>506216.66666666669</v>
      </c>
      <c r="BI26" s="288">
        <f>BH26/Resources!$B$2</f>
        <v>21092.361111111113</v>
      </c>
      <c r="BJ26" s="288">
        <f>SUM($V$4:V26,$T$4:T26)</f>
        <v>277675</v>
      </c>
      <c r="BK26" s="288">
        <f>BJ26/Resources!$B$3</f>
        <v>10679.807692307691</v>
      </c>
      <c r="BL26" s="288">
        <f>SUM($W$4:W26, $M$4:M26)</f>
        <v>321808.33333333331</v>
      </c>
      <c r="BM26" s="288">
        <f>BL26/Resources!$B$4</f>
        <v>11493.154761904761</v>
      </c>
      <c r="BN26" s="288">
        <f>SUM($P$4:P26,$Q$4:Q26)</f>
        <v>499583.33333333331</v>
      </c>
      <c r="BO26" s="297">
        <f>BN26/Resources!$B$5</f>
        <v>18503.086419753086</v>
      </c>
    </row>
    <row r="27" spans="1:67" ht="18">
      <c r="A27" s="34">
        <f t="shared" si="8"/>
        <v>42889</v>
      </c>
      <c r="B27" s="49">
        <f>SUMIFS(Collection!$J:$J, Collection!$A:$A, $A27, Collection!$B:$B, B$2)</f>
        <v>326906.66666666669</v>
      </c>
      <c r="C27" s="49">
        <f>SUMIFS(Collection!$J:$J, Collection!$A:$A, $A27, Collection!$B:$B, C$2)</f>
        <v>0</v>
      </c>
      <c r="D27" s="49">
        <f>SUMIFS(Collection!$J:$J, Collection!$A:$A, $A27, Collection!$B:$B, D$2)</f>
        <v>0</v>
      </c>
      <c r="E27" s="49">
        <f>SUMIFS(Collection!$J:$J, Collection!$A:$A, $A27, Collection!$B:$B, E$2)</f>
        <v>0</v>
      </c>
      <c r="F27" s="49">
        <f>SUMIFS(Collection!$J:$J, Collection!$A:$A, $A27, Collection!$B:$B, F$2)</f>
        <v>177173.33333333334</v>
      </c>
      <c r="G27" s="49">
        <f>SUMIFS(Collection!$J:$J, Collection!$A:$A, $A27, Collection!$B:$B, G$2)</f>
        <v>150166.66666666666</v>
      </c>
      <c r="H27" s="49">
        <f>SUMIFS(Collection!$J:$J, Collection!$A:$A, $A27, Collection!$B:$B, H$2)</f>
        <v>0</v>
      </c>
      <c r="I27" s="49">
        <f>SUMIFS(Collection!$J:$J, Collection!$A:$A, $A27, Collection!$B:$B, I$2)</f>
        <v>0</v>
      </c>
      <c r="J27" s="49">
        <f>SUMIFS(Collection!$J:$J, Collection!$A:$A, $A27, Collection!$B:$B, J$2)</f>
        <v>0</v>
      </c>
      <c r="K27" s="49">
        <f>SUMIFS(Collection!$J:$J, Collection!$A:$A, $A27, Collection!$B:$B, K$2)</f>
        <v>0</v>
      </c>
      <c r="L27" s="49">
        <f>SUMIFS(Collection!$J:$J, Collection!$A:$A, $A27, Collection!$B:$B, L$2)</f>
        <v>0</v>
      </c>
      <c r="M27" s="49">
        <f>SUMIFS(Collection!$J:$J, Collection!$A:$A, $A27, Collection!$B:$B, M$2)</f>
        <v>74666.666666666657</v>
      </c>
      <c r="N27" s="49">
        <f>SUMIFS(Collection!$J:$J, Collection!$A:$A, $A27, Collection!$B:$B, N$2)</f>
        <v>0</v>
      </c>
      <c r="O27" s="49">
        <f>SUMIFS(Collection!$J:$J, Collection!$A:$A, $A27, Collection!$B:$B, O$2)</f>
        <v>63413.333333333328</v>
      </c>
      <c r="P27" s="49">
        <f>SUMIFS(Collection!$J:$J, Collection!$A:$A, $A27, Collection!$B:$B, P$2)</f>
        <v>214480</v>
      </c>
      <c r="Q27" s="49">
        <f>SUMIFS(Collection!$J:$J, Collection!$A:$A, $A27, Collection!$B:$B, Q$2)</f>
        <v>0</v>
      </c>
      <c r="R27" s="49">
        <f>SUMIFS(Collection!$J:$J, Collection!$A:$A, $A27, Collection!$B:$B, R$2)</f>
        <v>0</v>
      </c>
      <c r="S27" s="49">
        <f>SUMIFS(Collection!$J:$J, Collection!$A:$A, $A27, Collection!$B:$B, S$2)</f>
        <v>0</v>
      </c>
      <c r="T27" s="49">
        <f>SUMIFS(Collection!$J:$J, Collection!$A:$A, $A27, Collection!$B:$B, T$2)</f>
        <v>0</v>
      </c>
      <c r="U27" s="49">
        <f>SUMIFS(Collection!$J:$J, Collection!$A:$A, $A27, Collection!$B:$B, U$2)</f>
        <v>132840</v>
      </c>
      <c r="V27" s="49">
        <f>SUMIFS(Collection!$J:$J, Collection!$A:$A, $A27, Collection!$B:$B, V$2)</f>
        <v>0</v>
      </c>
      <c r="W27" s="49">
        <f>SUMIFS(Collection!$J:$J, Collection!$A:$A, $A27, Collection!$B:$B, W$2)</f>
        <v>0</v>
      </c>
      <c r="X27" s="49">
        <f>SUMIFS(Collection!$J:$J, Collection!$A:$A, $A27, Collection!$B:$B, X$2)</f>
        <v>0</v>
      </c>
      <c r="Y27" s="49">
        <f>SUMIFS(Collection!$J:$J, Collection!$A:$A, $A27, Collection!$B:$B, Y$2)</f>
        <v>0</v>
      </c>
      <c r="Z27" s="49"/>
      <c r="AA27" s="49">
        <f t="shared" si="0"/>
        <v>0</v>
      </c>
      <c r="AB27" s="49">
        <f t="shared" si="1"/>
        <v>150166.66666666666</v>
      </c>
      <c r="AC27" s="49">
        <f t="shared" si="2"/>
        <v>0</v>
      </c>
      <c r="AD27" s="49">
        <f t="shared" si="3"/>
        <v>504080</v>
      </c>
      <c r="AE27" s="49">
        <f t="shared" si="4"/>
        <v>0</v>
      </c>
      <c r="AF27" s="49">
        <f t="shared" si="5"/>
        <v>0</v>
      </c>
      <c r="AG27" s="49">
        <f t="shared" si="6"/>
        <v>74666.666666666657</v>
      </c>
      <c r="AH27" s="288">
        <f t="shared" si="7"/>
        <v>214480</v>
      </c>
      <c r="AJ27" s="288">
        <f>SUM($S$4:S27)</f>
        <v>149994.44444444444</v>
      </c>
      <c r="AK27" s="288">
        <f>AJ27/Resources!$B$10</f>
        <v>12499.537037037036</v>
      </c>
      <c r="AL27" s="288">
        <f>SUM($Y$4:Y27)</f>
        <v>0</v>
      </c>
      <c r="AM27" s="295">
        <f>AL27/Resources!$B$11</f>
        <v>0</v>
      </c>
      <c r="AN27" s="288">
        <f>SUM($L$4:L27)</f>
        <v>322546.66666666669</v>
      </c>
      <c r="AO27" s="288">
        <f>AN27/Resources!$B$12</f>
        <v>21503.111111111113</v>
      </c>
      <c r="AP27" s="288">
        <f>SUM($R$4:R27)</f>
        <v>671786.66666666663</v>
      </c>
      <c r="AQ27" s="288">
        <f>AP27/Resources!$B$13</f>
        <v>67178.666666666657</v>
      </c>
      <c r="AR27" s="288">
        <f>SUM($N$4:N27)</f>
        <v>308606.66666666669</v>
      </c>
      <c r="AS27" s="288">
        <f>AR27/Resources!$B$14</f>
        <v>2780.2402402402404</v>
      </c>
      <c r="AT27" s="288">
        <f>SUM($U$4:U27)</f>
        <v>324281.66666666669</v>
      </c>
      <c r="AU27" s="288">
        <f>AT27/Resources!$B$15</f>
        <v>3210.7095709570958</v>
      </c>
      <c r="AV27" s="288">
        <f>SUM($J$4:J27)</f>
        <v>432200</v>
      </c>
      <c r="AW27" s="288">
        <f>AV27/Resources!$B$16</f>
        <v>4410.2040816326535</v>
      </c>
      <c r="AX27" s="288">
        <f>SUM($O$4:O27)</f>
        <v>408795</v>
      </c>
      <c r="AY27" s="288">
        <f>AX27/Resources!$B$17</f>
        <v>3893.2857142857142</v>
      </c>
      <c r="AZ27" s="288">
        <f>SUM($I$4:I27,$K$4:K27)</f>
        <v>1027710</v>
      </c>
      <c r="BA27" s="288">
        <f>AZ27/Resources!$B$6</f>
        <v>32115.9375</v>
      </c>
      <c r="BB27" s="288">
        <f>SUM($D$4:D27,$G$4:G27)</f>
        <v>1151400</v>
      </c>
      <c r="BC27" s="288">
        <f>BB27/Resources!$B$7</f>
        <v>38380</v>
      </c>
      <c r="BD27" s="288">
        <f>SUM($C$4:C27,$H$4:H27)</f>
        <v>1769633.3333333335</v>
      </c>
      <c r="BE27" s="300">
        <f>BD27/Resources!$B$8</f>
        <v>68062.820512820515</v>
      </c>
      <c r="BF27" s="288">
        <f>SUM($B$4:B27,$F$4:F27)</f>
        <v>2818140.0000000005</v>
      </c>
      <c r="BG27" s="288">
        <f>BF27/Resources!$B$9</f>
        <v>90907.741935483893</v>
      </c>
      <c r="BH27" s="288">
        <f>SUM($X$4:X27,$E$4:E27)</f>
        <v>506216.66666666669</v>
      </c>
      <c r="BI27" s="288">
        <f>BH27/Resources!$B$2</f>
        <v>21092.361111111113</v>
      </c>
      <c r="BJ27" s="288">
        <f>SUM($V$4:V27,$T$4:T27)</f>
        <v>277675</v>
      </c>
      <c r="BK27" s="288">
        <f>BJ27/Resources!$B$3</f>
        <v>10679.807692307691</v>
      </c>
      <c r="BL27" s="288">
        <f>SUM($W$4:W27, $M$4:M27)</f>
        <v>396475</v>
      </c>
      <c r="BM27" s="288">
        <f>BL27/Resources!$B$4</f>
        <v>14159.821428571429</v>
      </c>
      <c r="BN27" s="288">
        <f>SUM($P$4:P27,$Q$4:Q27)</f>
        <v>714063.33333333326</v>
      </c>
      <c r="BO27" s="297">
        <f>BN27/Resources!$B$5</f>
        <v>26446.790123456787</v>
      </c>
    </row>
    <row r="28" spans="1:67" ht="18">
      <c r="A28" s="34">
        <f t="shared" si="8"/>
        <v>42890</v>
      </c>
      <c r="B28" s="49">
        <f>SUMIFS(Collection!$J:$J, Collection!$A:$A, $A28, Collection!$B:$B, B$2)</f>
        <v>182050</v>
      </c>
      <c r="C28" s="49">
        <f>SUMIFS(Collection!$J:$J, Collection!$A:$A, $A28, Collection!$B:$B, C$2)</f>
        <v>0</v>
      </c>
      <c r="D28" s="49">
        <f>SUMIFS(Collection!$J:$J, Collection!$A:$A, $A28, Collection!$B:$B, D$2)</f>
        <v>0</v>
      </c>
      <c r="E28" s="49">
        <f>SUMIFS(Collection!$J:$J, Collection!$A:$A, $A28, Collection!$B:$B, E$2)</f>
        <v>0</v>
      </c>
      <c r="F28" s="49">
        <f>SUMIFS(Collection!$J:$J, Collection!$A:$A, $A28, Collection!$B:$B, F$2)</f>
        <v>0</v>
      </c>
      <c r="G28" s="49">
        <f>SUMIFS(Collection!$J:$J, Collection!$A:$A, $A28, Collection!$B:$B, G$2)</f>
        <v>0</v>
      </c>
      <c r="H28" s="49">
        <f>SUMIFS(Collection!$J:$J, Collection!$A:$A, $A28, Collection!$B:$B, H$2)</f>
        <v>0</v>
      </c>
      <c r="I28" s="49">
        <f>SUMIFS(Collection!$J:$J, Collection!$A:$A, $A28, Collection!$B:$B, I$2)</f>
        <v>0</v>
      </c>
      <c r="J28" s="49">
        <f>SUMIFS(Collection!$J:$J, Collection!$A:$A, $A28, Collection!$B:$B, J$2)</f>
        <v>190850</v>
      </c>
      <c r="K28" s="49">
        <f>SUMIFS(Collection!$J:$J, Collection!$A:$A, $A28, Collection!$B:$B, K$2)</f>
        <v>0</v>
      </c>
      <c r="L28" s="49">
        <f>SUMIFS(Collection!$J:$J, Collection!$A:$A, $A28, Collection!$B:$B, L$2)</f>
        <v>0</v>
      </c>
      <c r="M28" s="49">
        <f>SUMIFS(Collection!$J:$J, Collection!$A:$A, $A28, Collection!$B:$B, M$2)</f>
        <v>1200</v>
      </c>
      <c r="N28" s="49">
        <f>SUMIFS(Collection!$J:$J, Collection!$A:$A, $A28, Collection!$B:$B, N$2)</f>
        <v>0</v>
      </c>
      <c r="O28" s="49">
        <f>SUMIFS(Collection!$J:$J, Collection!$A:$A, $A28, Collection!$B:$B, O$2)</f>
        <v>0</v>
      </c>
      <c r="P28" s="49">
        <f>SUMIFS(Collection!$J:$J, Collection!$A:$A, $A28, Collection!$B:$B, P$2)</f>
        <v>2933.333333333333</v>
      </c>
      <c r="Q28" s="49">
        <f>SUMIFS(Collection!$J:$J, Collection!$A:$A, $A28, Collection!$B:$B, Q$2)</f>
        <v>0</v>
      </c>
      <c r="R28" s="49">
        <f>SUMIFS(Collection!$J:$J, Collection!$A:$A, $A28, Collection!$B:$B, R$2)</f>
        <v>0</v>
      </c>
      <c r="S28" s="49">
        <f>SUMIFS(Collection!$J:$J, Collection!$A:$A, $A28, Collection!$B:$B, S$2)</f>
        <v>0</v>
      </c>
      <c r="T28" s="49">
        <f>SUMIFS(Collection!$J:$J, Collection!$A:$A, $A28, Collection!$B:$B, T$2)</f>
        <v>0</v>
      </c>
      <c r="U28" s="49">
        <f>SUMIFS(Collection!$J:$J, Collection!$A:$A, $A28, Collection!$B:$B, U$2)</f>
        <v>0</v>
      </c>
      <c r="V28" s="49">
        <f>SUMIFS(Collection!$J:$J, Collection!$A:$A, $A28, Collection!$B:$B, V$2)</f>
        <v>0</v>
      </c>
      <c r="W28" s="49">
        <f>SUMIFS(Collection!$J:$J, Collection!$A:$A, $A28, Collection!$B:$B, W$2)</f>
        <v>0</v>
      </c>
      <c r="X28" s="49">
        <f>SUMIFS(Collection!$J:$J, Collection!$A:$A, $A28, Collection!$B:$B, X$2)</f>
        <v>0</v>
      </c>
      <c r="Y28" s="49">
        <f>SUMIFS(Collection!$J:$J, Collection!$A:$A, $A28, Collection!$B:$B, Y$2)</f>
        <v>0</v>
      </c>
      <c r="Z28" s="49"/>
      <c r="AA28" s="49">
        <f t="shared" si="0"/>
        <v>0</v>
      </c>
      <c r="AB28" s="49">
        <f t="shared" si="1"/>
        <v>0</v>
      </c>
      <c r="AC28" s="49">
        <f t="shared" si="2"/>
        <v>0</v>
      </c>
      <c r="AD28" s="49">
        <f t="shared" si="3"/>
        <v>182050</v>
      </c>
      <c r="AE28" s="49">
        <f t="shared" si="4"/>
        <v>0</v>
      </c>
      <c r="AF28" s="49">
        <f t="shared" si="5"/>
        <v>0</v>
      </c>
      <c r="AG28" s="49">
        <f t="shared" si="6"/>
        <v>1200</v>
      </c>
      <c r="AH28" s="288">
        <f t="shared" si="7"/>
        <v>2933.333333333333</v>
      </c>
      <c r="AJ28" s="288">
        <f>SUM($S$4:S28)</f>
        <v>149994.44444444444</v>
      </c>
      <c r="AK28" s="288">
        <f>AJ28/Resources!$B$10</f>
        <v>12499.537037037036</v>
      </c>
      <c r="AL28" s="288">
        <f>SUM($Y$4:Y28)</f>
        <v>0</v>
      </c>
      <c r="AM28" s="295">
        <f>AL28/Resources!$B$11</f>
        <v>0</v>
      </c>
      <c r="AN28" s="288">
        <f>SUM($L$4:L28)</f>
        <v>322546.66666666669</v>
      </c>
      <c r="AO28" s="288">
        <f>AN28/Resources!$B$12</f>
        <v>21503.111111111113</v>
      </c>
      <c r="AP28" s="288">
        <f>SUM($R$4:R28)</f>
        <v>671786.66666666663</v>
      </c>
      <c r="AQ28" s="288">
        <f>AP28/Resources!$B$13</f>
        <v>67178.666666666657</v>
      </c>
      <c r="AR28" s="288">
        <f>SUM($N$4:N28)</f>
        <v>308606.66666666669</v>
      </c>
      <c r="AS28" s="288">
        <f>AR28/Resources!$B$14</f>
        <v>2780.2402402402404</v>
      </c>
      <c r="AT28" s="288">
        <f>SUM($U$4:U28)</f>
        <v>324281.66666666669</v>
      </c>
      <c r="AU28" s="288">
        <f>AT28/Resources!$B$15</f>
        <v>3210.7095709570958</v>
      </c>
      <c r="AV28" s="288">
        <f>SUM($J$4:J28)</f>
        <v>623050</v>
      </c>
      <c r="AW28" s="288">
        <f>AV28/Resources!$B$16</f>
        <v>6357.6530612244896</v>
      </c>
      <c r="AX28" s="288">
        <f>SUM($O$4:O28)</f>
        <v>408795</v>
      </c>
      <c r="AY28" s="288">
        <f>AX28/Resources!$B$17</f>
        <v>3893.2857142857142</v>
      </c>
      <c r="AZ28" s="288">
        <f>SUM($I$4:I28,$K$4:K28)</f>
        <v>1027710</v>
      </c>
      <c r="BA28" s="288">
        <f>AZ28/Resources!$B$6</f>
        <v>32115.9375</v>
      </c>
      <c r="BB28" s="288">
        <f>SUM($D$4:D28,$G$4:G28)</f>
        <v>1151400</v>
      </c>
      <c r="BC28" s="288">
        <f>BB28/Resources!$B$7</f>
        <v>38380</v>
      </c>
      <c r="BD28" s="288">
        <f>SUM($C$4:C28,$H$4:H28)</f>
        <v>1769633.3333333335</v>
      </c>
      <c r="BE28" s="300">
        <f>BD28/Resources!$B$8</f>
        <v>68062.820512820515</v>
      </c>
      <c r="BF28" s="288">
        <f>SUM($B$4:B28,$F$4:F28)</f>
        <v>3000190</v>
      </c>
      <c r="BG28" s="288">
        <f>BF28/Resources!$B$9</f>
        <v>96780.322580645166</v>
      </c>
      <c r="BH28" s="288">
        <f>SUM($X$4:X28,$E$4:E28)</f>
        <v>506216.66666666669</v>
      </c>
      <c r="BI28" s="288">
        <f>BH28/Resources!$B$2</f>
        <v>21092.361111111113</v>
      </c>
      <c r="BJ28" s="288">
        <f>SUM($V$4:V28,$T$4:T28)</f>
        <v>277675</v>
      </c>
      <c r="BK28" s="288">
        <f>BJ28/Resources!$B$3</f>
        <v>10679.807692307691</v>
      </c>
      <c r="BL28" s="288">
        <f>SUM($W$4:W28, $M$4:M28)</f>
        <v>397675</v>
      </c>
      <c r="BM28" s="288">
        <f>BL28/Resources!$B$4</f>
        <v>14202.678571428571</v>
      </c>
      <c r="BN28" s="288">
        <f>SUM($P$4:P28,$Q$4:Q28)</f>
        <v>716996.66666666663</v>
      </c>
      <c r="BO28" s="297">
        <f>BN28/Resources!$B$5</f>
        <v>26555.432098765432</v>
      </c>
    </row>
    <row r="29" spans="1:67" ht="18">
      <c r="A29" s="34">
        <f t="shared" si="8"/>
        <v>42891</v>
      </c>
      <c r="B29" s="49">
        <f>SUMIFS(Collection!$J:$J, Collection!$A:$A, $A29, Collection!$B:$B, B$2)</f>
        <v>0</v>
      </c>
      <c r="C29" s="49">
        <f>SUMIFS(Collection!$J:$J, Collection!$A:$A, $A29, Collection!$B:$B, C$2)</f>
        <v>0</v>
      </c>
      <c r="D29" s="49">
        <f>SUMIFS(Collection!$J:$J, Collection!$A:$A, $A29, Collection!$B:$B, D$2)</f>
        <v>0</v>
      </c>
      <c r="E29" s="49">
        <f>SUMIFS(Collection!$J:$J, Collection!$A:$A, $A29, Collection!$B:$B, E$2)</f>
        <v>81600</v>
      </c>
      <c r="F29" s="49">
        <f>SUMIFS(Collection!$J:$J, Collection!$A:$A, $A29, Collection!$B:$B, F$2)</f>
        <v>0</v>
      </c>
      <c r="G29" s="49">
        <f>SUMIFS(Collection!$J:$J, Collection!$A:$A, $A29, Collection!$B:$B, G$2)</f>
        <v>484266.66666666669</v>
      </c>
      <c r="H29" s="49">
        <f>SUMIFS(Collection!$J:$J, Collection!$A:$A, $A29, Collection!$B:$B, H$2)</f>
        <v>0</v>
      </c>
      <c r="I29" s="49">
        <f>SUMIFS(Collection!$J:$J, Collection!$A:$A, $A29, Collection!$B:$B, I$2)</f>
        <v>0</v>
      </c>
      <c r="J29" s="49">
        <f>SUMIFS(Collection!$J:$J, Collection!$A:$A, $A29, Collection!$B:$B, J$2)</f>
        <v>17306.666666666668</v>
      </c>
      <c r="K29" s="49">
        <f>SUMIFS(Collection!$J:$J, Collection!$A:$A, $A29, Collection!$B:$B, K$2)</f>
        <v>0</v>
      </c>
      <c r="L29" s="49">
        <f>SUMIFS(Collection!$J:$J, Collection!$A:$A, $A29, Collection!$B:$B, L$2)</f>
        <v>0</v>
      </c>
      <c r="M29" s="49">
        <f>SUMIFS(Collection!$J:$J, Collection!$A:$A, $A29, Collection!$B:$B, M$2)</f>
        <v>0</v>
      </c>
      <c r="N29" s="49">
        <f>SUMIFS(Collection!$J:$J, Collection!$A:$A, $A29, Collection!$B:$B, N$2)</f>
        <v>0</v>
      </c>
      <c r="O29" s="49">
        <f>SUMIFS(Collection!$J:$J, Collection!$A:$A, $A29, Collection!$B:$B, O$2)</f>
        <v>0</v>
      </c>
      <c r="P29" s="49">
        <f>SUMIFS(Collection!$J:$J, Collection!$A:$A, $A29, Collection!$B:$B, P$2)</f>
        <v>0</v>
      </c>
      <c r="Q29" s="49">
        <f>SUMIFS(Collection!$J:$J, Collection!$A:$A, $A29, Collection!$B:$B, Q$2)</f>
        <v>0</v>
      </c>
      <c r="R29" s="49">
        <f>SUMIFS(Collection!$J:$J, Collection!$A:$A, $A29, Collection!$B:$B, R$2)</f>
        <v>0</v>
      </c>
      <c r="S29" s="49">
        <f>SUMIFS(Collection!$J:$J, Collection!$A:$A, $A29, Collection!$B:$B, S$2)</f>
        <v>0</v>
      </c>
      <c r="T29" s="49">
        <f>SUMIFS(Collection!$J:$J, Collection!$A:$A, $A29, Collection!$B:$B, T$2)</f>
        <v>0</v>
      </c>
      <c r="U29" s="49">
        <f>SUMIFS(Collection!$J:$J, Collection!$A:$A, $A29, Collection!$B:$B, U$2)</f>
        <v>0</v>
      </c>
      <c r="V29" s="49">
        <f>SUMIFS(Collection!$J:$J, Collection!$A:$A, $A29, Collection!$B:$B, V$2)</f>
        <v>0</v>
      </c>
      <c r="W29" s="49">
        <f>SUMIFS(Collection!$J:$J, Collection!$A:$A, $A29, Collection!$B:$B, W$2)</f>
        <v>0</v>
      </c>
      <c r="X29" s="49">
        <f>SUMIFS(Collection!$J:$J, Collection!$A:$A, $A29, Collection!$B:$B, X$2)</f>
        <v>88200</v>
      </c>
      <c r="Y29" s="49">
        <f>SUMIFS(Collection!$J:$J, Collection!$A:$A, $A29, Collection!$B:$B, Y$2)</f>
        <v>0</v>
      </c>
      <c r="Z29" s="49"/>
      <c r="AA29" s="49">
        <f t="shared" si="0"/>
        <v>0</v>
      </c>
      <c r="AB29" s="49">
        <f t="shared" si="1"/>
        <v>484266.66666666669</v>
      </c>
      <c r="AC29" s="49">
        <f t="shared" si="2"/>
        <v>0</v>
      </c>
      <c r="AD29" s="49">
        <f t="shared" si="3"/>
        <v>0</v>
      </c>
      <c r="AE29" s="49">
        <f t="shared" si="4"/>
        <v>169800</v>
      </c>
      <c r="AF29" s="49">
        <f t="shared" si="5"/>
        <v>0</v>
      </c>
      <c r="AG29" s="49">
        <f t="shared" si="6"/>
        <v>0</v>
      </c>
      <c r="AH29" s="288">
        <f t="shared" si="7"/>
        <v>0</v>
      </c>
      <c r="AJ29" s="288">
        <f>SUM($S$4:S29)</f>
        <v>149994.44444444444</v>
      </c>
      <c r="AK29" s="288">
        <f>AJ29/Resources!$B$10</f>
        <v>12499.537037037036</v>
      </c>
      <c r="AL29" s="288">
        <f>SUM($Y$4:Y29)</f>
        <v>0</v>
      </c>
      <c r="AM29" s="295">
        <f>AL29/Resources!$B$11</f>
        <v>0</v>
      </c>
      <c r="AN29" s="288">
        <f>SUM($L$4:L29)</f>
        <v>322546.66666666669</v>
      </c>
      <c r="AO29" s="288">
        <f>AN29/Resources!$B$12</f>
        <v>21503.111111111113</v>
      </c>
      <c r="AP29" s="288">
        <f>SUM($R$4:R29)</f>
        <v>671786.66666666663</v>
      </c>
      <c r="AQ29" s="288">
        <f>AP29/Resources!$B$13</f>
        <v>67178.666666666657</v>
      </c>
      <c r="AR29" s="288">
        <f>SUM($N$4:N29)</f>
        <v>308606.66666666669</v>
      </c>
      <c r="AS29" s="288">
        <f>AR29/Resources!$B$14</f>
        <v>2780.2402402402404</v>
      </c>
      <c r="AT29" s="288">
        <f>SUM($U$4:U29)</f>
        <v>324281.66666666669</v>
      </c>
      <c r="AU29" s="288">
        <f>AT29/Resources!$B$15</f>
        <v>3210.7095709570958</v>
      </c>
      <c r="AV29" s="288">
        <f>SUM($J$4:J29)</f>
        <v>640356.66666666663</v>
      </c>
      <c r="AW29" s="288">
        <f>AV29/Resources!$B$16</f>
        <v>6534.2517006802718</v>
      </c>
      <c r="AX29" s="288">
        <f>SUM($O$4:O29)</f>
        <v>408795</v>
      </c>
      <c r="AY29" s="288">
        <f>AX29/Resources!$B$17</f>
        <v>3893.2857142857142</v>
      </c>
      <c r="AZ29" s="288">
        <f>SUM($I$4:I29,$K$4:K29)</f>
        <v>1027710</v>
      </c>
      <c r="BA29" s="288">
        <f>AZ29/Resources!$B$6</f>
        <v>32115.9375</v>
      </c>
      <c r="BB29" s="288">
        <f>SUM($D$4:D29,$G$4:G29)</f>
        <v>1635666.6666666667</v>
      </c>
      <c r="BC29" s="288">
        <f>BB29/Resources!$B$7</f>
        <v>54522.222222222226</v>
      </c>
      <c r="BD29" s="288">
        <f>SUM($C$4:C29,$H$4:H29)</f>
        <v>1769633.3333333335</v>
      </c>
      <c r="BE29" s="300">
        <f>BD29/Resources!$B$8</f>
        <v>68062.820512820515</v>
      </c>
      <c r="BF29" s="288">
        <f>SUM($B$4:B29,$F$4:F29)</f>
        <v>3000190</v>
      </c>
      <c r="BG29" s="288">
        <f>BF29/Resources!$B$9</f>
        <v>96780.322580645166</v>
      </c>
      <c r="BH29" s="288">
        <f>SUM($X$4:X29,$E$4:E29)</f>
        <v>676016.66666666663</v>
      </c>
      <c r="BI29" s="288">
        <f>BH29/Resources!$B$2</f>
        <v>28167.361111111109</v>
      </c>
      <c r="BJ29" s="288">
        <f>SUM($V$4:V29,$T$4:T29)</f>
        <v>277675</v>
      </c>
      <c r="BK29" s="288">
        <f>BJ29/Resources!$B$3</f>
        <v>10679.807692307691</v>
      </c>
      <c r="BL29" s="288">
        <f>SUM($W$4:W29, $M$4:M29)</f>
        <v>397675</v>
      </c>
      <c r="BM29" s="288">
        <f>BL29/Resources!$B$4</f>
        <v>14202.678571428571</v>
      </c>
      <c r="BN29" s="288">
        <f>SUM($P$4:P29,$Q$4:Q29)</f>
        <v>716996.66666666663</v>
      </c>
      <c r="BO29" s="297">
        <f>BN29/Resources!$B$5</f>
        <v>26555.432098765432</v>
      </c>
    </row>
    <row r="30" spans="1:67" ht="18">
      <c r="A30" s="34">
        <f t="shared" si="8"/>
        <v>42892</v>
      </c>
      <c r="B30" s="49">
        <f>SUMIFS(Collection!$J:$J, Collection!$A:$A, $A30, Collection!$B:$B, B$2)</f>
        <v>6300</v>
      </c>
      <c r="C30" s="49">
        <f>SUMIFS(Collection!$J:$J, Collection!$A:$A, $A30, Collection!$B:$B, C$2)</f>
        <v>0</v>
      </c>
      <c r="D30" s="49">
        <f>SUMIFS(Collection!$J:$J, Collection!$A:$A, $A30, Collection!$B:$B, D$2)</f>
        <v>0</v>
      </c>
      <c r="E30" s="49">
        <f>SUMIFS(Collection!$J:$J, Collection!$A:$A, $A30, Collection!$B:$B, E$2)</f>
        <v>1586.6666666666667</v>
      </c>
      <c r="F30" s="49">
        <f>SUMIFS(Collection!$J:$J, Collection!$A:$A, $A30, Collection!$B:$B, F$2)</f>
        <v>0</v>
      </c>
      <c r="G30" s="49">
        <f>SUMIFS(Collection!$J:$J, Collection!$A:$A, $A30, Collection!$B:$B, G$2)</f>
        <v>9866.6666666666679</v>
      </c>
      <c r="H30" s="49">
        <f>SUMIFS(Collection!$J:$J, Collection!$A:$A, $A30, Collection!$B:$B, H$2)</f>
        <v>0</v>
      </c>
      <c r="I30" s="49">
        <f>SUMIFS(Collection!$J:$J, Collection!$A:$A, $A30, Collection!$B:$B, I$2)</f>
        <v>0</v>
      </c>
      <c r="J30" s="49">
        <f>SUMIFS(Collection!$J:$J, Collection!$A:$A, $A30, Collection!$B:$B, J$2)</f>
        <v>0</v>
      </c>
      <c r="K30" s="49">
        <f>SUMIFS(Collection!$J:$J, Collection!$A:$A, $A30, Collection!$B:$B, K$2)</f>
        <v>0</v>
      </c>
      <c r="L30" s="49">
        <f>SUMIFS(Collection!$J:$J, Collection!$A:$A, $A30, Collection!$B:$B, L$2)</f>
        <v>0</v>
      </c>
      <c r="M30" s="49">
        <f>SUMIFS(Collection!$J:$J, Collection!$A:$A, $A30, Collection!$B:$B, M$2)</f>
        <v>0</v>
      </c>
      <c r="N30" s="49">
        <f>SUMIFS(Collection!$J:$J, Collection!$A:$A, $A30, Collection!$B:$B, N$2)</f>
        <v>0</v>
      </c>
      <c r="O30" s="49">
        <f>SUMIFS(Collection!$J:$J, Collection!$A:$A, $A30, Collection!$B:$B, O$2)</f>
        <v>0</v>
      </c>
      <c r="P30" s="49">
        <f>SUMIFS(Collection!$J:$J, Collection!$A:$A, $A30, Collection!$B:$B, P$2)</f>
        <v>0</v>
      </c>
      <c r="Q30" s="49">
        <f>SUMIFS(Collection!$J:$J, Collection!$A:$A, $A30, Collection!$B:$B, Q$2)</f>
        <v>0</v>
      </c>
      <c r="R30" s="49">
        <f>SUMIFS(Collection!$J:$J, Collection!$A:$A, $A30, Collection!$B:$B, R$2)</f>
        <v>0</v>
      </c>
      <c r="S30" s="49">
        <f>SUMIFS(Collection!$J:$J, Collection!$A:$A, $A30, Collection!$B:$B, S$2)</f>
        <v>0</v>
      </c>
      <c r="T30" s="49">
        <f>SUMIFS(Collection!$J:$J, Collection!$A:$A, $A30, Collection!$B:$B, T$2)</f>
        <v>0</v>
      </c>
      <c r="U30" s="49">
        <f>SUMIFS(Collection!$J:$J, Collection!$A:$A, $A30, Collection!$B:$B, U$2)</f>
        <v>0</v>
      </c>
      <c r="V30" s="49">
        <f>SUMIFS(Collection!$J:$J, Collection!$A:$A, $A30, Collection!$B:$B, V$2)</f>
        <v>0</v>
      </c>
      <c r="W30" s="49">
        <f>SUMIFS(Collection!$J:$J, Collection!$A:$A, $A30, Collection!$B:$B, W$2)</f>
        <v>0</v>
      </c>
      <c r="X30" s="49">
        <f>SUMIFS(Collection!$J:$J, Collection!$A:$A, $A30, Collection!$B:$B, X$2)</f>
        <v>47025</v>
      </c>
      <c r="Y30" s="49">
        <f>SUMIFS(Collection!$J:$J, Collection!$A:$A, $A30, Collection!$B:$B, Y$2)</f>
        <v>0</v>
      </c>
      <c r="Z30" s="49"/>
      <c r="AA30" s="49">
        <f t="shared" si="0"/>
        <v>0</v>
      </c>
      <c r="AB30" s="49">
        <f t="shared" si="1"/>
        <v>9866.6666666666679</v>
      </c>
      <c r="AC30" s="49">
        <f t="shared" si="2"/>
        <v>0</v>
      </c>
      <c r="AD30" s="49">
        <f t="shared" si="3"/>
        <v>6300</v>
      </c>
      <c r="AE30" s="49">
        <f t="shared" si="4"/>
        <v>48611.666666666664</v>
      </c>
      <c r="AF30" s="49">
        <f t="shared" si="5"/>
        <v>0</v>
      </c>
      <c r="AG30" s="49">
        <f t="shared" si="6"/>
        <v>0</v>
      </c>
      <c r="AH30" s="288">
        <f t="shared" si="7"/>
        <v>0</v>
      </c>
      <c r="AJ30" s="288">
        <f>SUM($S$4:S30)</f>
        <v>149994.44444444444</v>
      </c>
      <c r="AK30" s="288">
        <f>AJ30/Resources!$B$10</f>
        <v>12499.537037037036</v>
      </c>
      <c r="AL30" s="288">
        <f>SUM($Y$4:Y30)</f>
        <v>0</v>
      </c>
      <c r="AM30" s="295">
        <f>AL30/Resources!$B$11</f>
        <v>0</v>
      </c>
      <c r="AN30" s="288">
        <f>SUM($L$4:L30)</f>
        <v>322546.66666666669</v>
      </c>
      <c r="AO30" s="288">
        <f>AN30/Resources!$B$12</f>
        <v>21503.111111111113</v>
      </c>
      <c r="AP30" s="288">
        <f>SUM($R$4:R30)</f>
        <v>671786.66666666663</v>
      </c>
      <c r="AQ30" s="288">
        <f>AP30/Resources!$B$13</f>
        <v>67178.666666666657</v>
      </c>
      <c r="AR30" s="288">
        <f>SUM($N$4:N30)</f>
        <v>308606.66666666669</v>
      </c>
      <c r="AS30" s="288">
        <f>AR30/Resources!$B$14</f>
        <v>2780.2402402402404</v>
      </c>
      <c r="AT30" s="288">
        <f>SUM($U$4:U30)</f>
        <v>324281.66666666669</v>
      </c>
      <c r="AU30" s="288">
        <f>AT30/Resources!$B$15</f>
        <v>3210.7095709570958</v>
      </c>
      <c r="AV30" s="288">
        <f>SUM($J$4:J30)</f>
        <v>640356.66666666663</v>
      </c>
      <c r="AW30" s="288">
        <f>AV30/Resources!$B$16</f>
        <v>6534.2517006802718</v>
      </c>
      <c r="AX30" s="288">
        <f>SUM($O$4:O30)</f>
        <v>408795</v>
      </c>
      <c r="AY30" s="288">
        <f>AX30/Resources!$B$17</f>
        <v>3893.2857142857142</v>
      </c>
      <c r="AZ30" s="288">
        <f>SUM($I$4:I30,$K$4:K30)</f>
        <v>1027710</v>
      </c>
      <c r="BA30" s="288">
        <f>AZ30/Resources!$B$6</f>
        <v>32115.9375</v>
      </c>
      <c r="BB30" s="288">
        <f>SUM($D$4:D30,$G$4:G30)</f>
        <v>1645533.3333333335</v>
      </c>
      <c r="BC30" s="288">
        <f>BB30/Resources!$B$7</f>
        <v>54851.111111111117</v>
      </c>
      <c r="BD30" s="288">
        <f>SUM($C$4:C30,$H$4:H30)</f>
        <v>1769633.3333333335</v>
      </c>
      <c r="BE30" s="300">
        <f>BD30/Resources!$B$8</f>
        <v>68062.820512820515</v>
      </c>
      <c r="BF30" s="288">
        <f>SUM($B$4:B30,$F$4:F30)</f>
        <v>3006490</v>
      </c>
      <c r="BG30" s="288">
        <f>BF30/Resources!$B$9</f>
        <v>96983.548387096773</v>
      </c>
      <c r="BH30" s="288">
        <f>SUM($X$4:X30,$E$4:E30)</f>
        <v>724628.33333333326</v>
      </c>
      <c r="BI30" s="288">
        <f>BH30/Resources!$B$2</f>
        <v>30192.847222222219</v>
      </c>
      <c r="BJ30" s="288">
        <f>SUM($V$4:V30,$T$4:T30)</f>
        <v>277675</v>
      </c>
      <c r="BK30" s="288">
        <f>BJ30/Resources!$B$3</f>
        <v>10679.807692307691</v>
      </c>
      <c r="BL30" s="288">
        <f>SUM($W$4:W30, $M$4:M30)</f>
        <v>397675</v>
      </c>
      <c r="BM30" s="288">
        <f>BL30/Resources!$B$4</f>
        <v>14202.678571428571</v>
      </c>
      <c r="BN30" s="288">
        <f>SUM($P$4:P30,$Q$4:Q30)</f>
        <v>716996.66666666663</v>
      </c>
      <c r="BO30" s="297">
        <f>BN30/Resources!$B$5</f>
        <v>26555.432098765432</v>
      </c>
    </row>
    <row r="31" spans="1:67" ht="18">
      <c r="A31" s="34">
        <f t="shared" si="8"/>
        <v>42893</v>
      </c>
      <c r="B31" s="49">
        <f>SUMIFS(Collection!$J:$J, Collection!$A:$A, $A31, Collection!$B:$B, B$2)</f>
        <v>0</v>
      </c>
      <c r="C31" s="49">
        <f>SUMIFS(Collection!$J:$J, Collection!$A:$A, $A31, Collection!$B:$B, C$2)</f>
        <v>0</v>
      </c>
      <c r="D31" s="49">
        <f>SUMIFS(Collection!$J:$J, Collection!$A:$A, $A31, Collection!$B:$B, D$2)</f>
        <v>0</v>
      </c>
      <c r="E31" s="49">
        <f>SUMIFS(Collection!$J:$J, Collection!$A:$A, $A31, Collection!$B:$B, E$2)</f>
        <v>0</v>
      </c>
      <c r="F31" s="49">
        <f>SUMIFS(Collection!$J:$J, Collection!$A:$A, $A31, Collection!$B:$B, F$2)</f>
        <v>0</v>
      </c>
      <c r="G31" s="49">
        <f>SUMIFS(Collection!$J:$J, Collection!$A:$A, $A31, Collection!$B:$B, G$2)</f>
        <v>0</v>
      </c>
      <c r="H31" s="49">
        <f>SUMIFS(Collection!$J:$J, Collection!$A:$A, $A31, Collection!$B:$B, H$2)</f>
        <v>0</v>
      </c>
      <c r="I31" s="49">
        <f>SUMIFS(Collection!$J:$J, Collection!$A:$A, $A31, Collection!$B:$B, I$2)</f>
        <v>0</v>
      </c>
      <c r="J31" s="49">
        <f>SUMIFS(Collection!$J:$J, Collection!$A:$A, $A31, Collection!$B:$B, J$2)</f>
        <v>0</v>
      </c>
      <c r="K31" s="49">
        <f>SUMIFS(Collection!$J:$J, Collection!$A:$A, $A31, Collection!$B:$B, K$2)</f>
        <v>0</v>
      </c>
      <c r="L31" s="49">
        <f>SUMIFS(Collection!$J:$J, Collection!$A:$A, $A31, Collection!$B:$B, L$2)</f>
        <v>0</v>
      </c>
      <c r="M31" s="49">
        <f>SUMIFS(Collection!$J:$J, Collection!$A:$A, $A31, Collection!$B:$B, M$2)</f>
        <v>0</v>
      </c>
      <c r="N31" s="49">
        <f>SUMIFS(Collection!$J:$J, Collection!$A:$A, $A31, Collection!$B:$B, N$2)</f>
        <v>49600</v>
      </c>
      <c r="O31" s="49">
        <f>SUMIFS(Collection!$J:$J, Collection!$A:$A, $A31, Collection!$B:$B, O$2)</f>
        <v>0</v>
      </c>
      <c r="P31" s="49">
        <f>SUMIFS(Collection!$J:$J, Collection!$A:$A, $A31, Collection!$B:$B, P$2)</f>
        <v>224533.33333333334</v>
      </c>
      <c r="Q31" s="49">
        <f>SUMIFS(Collection!$J:$J, Collection!$A:$A, $A31, Collection!$B:$B, Q$2)</f>
        <v>0</v>
      </c>
      <c r="R31" s="49">
        <f>SUMIFS(Collection!$J:$J, Collection!$A:$A, $A31, Collection!$B:$B, R$2)</f>
        <v>0</v>
      </c>
      <c r="S31" s="49">
        <f>SUMIFS(Collection!$J:$J, Collection!$A:$A, $A31, Collection!$B:$B, S$2)</f>
        <v>282133.33333333337</v>
      </c>
      <c r="T31" s="49">
        <f>SUMIFS(Collection!$J:$J, Collection!$A:$A, $A31, Collection!$B:$B, T$2)</f>
        <v>0</v>
      </c>
      <c r="U31" s="49">
        <f>SUMIFS(Collection!$J:$J, Collection!$A:$A, $A31, Collection!$B:$B, U$2)</f>
        <v>0</v>
      </c>
      <c r="V31" s="49">
        <f>SUMIFS(Collection!$J:$J, Collection!$A:$A, $A31, Collection!$B:$B, V$2)</f>
        <v>0</v>
      </c>
      <c r="W31" s="49">
        <f>SUMIFS(Collection!$J:$J, Collection!$A:$A, $A31, Collection!$B:$B, W$2)</f>
        <v>0</v>
      </c>
      <c r="X31" s="49">
        <f>SUMIFS(Collection!$J:$J, Collection!$A:$A, $A31, Collection!$B:$B, X$2)</f>
        <v>0</v>
      </c>
      <c r="Y31" s="49">
        <f>SUMIFS(Collection!$J:$J, Collection!$A:$A, $A31, Collection!$B:$B, Y$2)</f>
        <v>0</v>
      </c>
      <c r="Z31" s="49"/>
      <c r="AA31" s="49">
        <f t="shared" si="0"/>
        <v>0</v>
      </c>
      <c r="AB31" s="49">
        <f t="shared" si="1"/>
        <v>0</v>
      </c>
      <c r="AC31" s="49">
        <f t="shared" si="2"/>
        <v>0</v>
      </c>
      <c r="AD31" s="49">
        <f t="shared" si="3"/>
        <v>0</v>
      </c>
      <c r="AE31" s="49">
        <f t="shared" si="4"/>
        <v>0</v>
      </c>
      <c r="AF31" s="49">
        <f t="shared" si="5"/>
        <v>0</v>
      </c>
      <c r="AG31" s="49">
        <f t="shared" si="6"/>
        <v>0</v>
      </c>
      <c r="AH31" s="288">
        <f t="shared" si="7"/>
        <v>224533.33333333334</v>
      </c>
      <c r="AJ31" s="288">
        <f>SUM($S$4:S31)</f>
        <v>432127.77777777781</v>
      </c>
      <c r="AK31" s="288">
        <f>AJ31/Resources!$B$10</f>
        <v>36010.648148148153</v>
      </c>
      <c r="AL31" s="288">
        <f>SUM($Y$4:Y31)</f>
        <v>0</v>
      </c>
      <c r="AM31" s="295">
        <f>AL31/Resources!$B$11</f>
        <v>0</v>
      </c>
      <c r="AN31" s="288">
        <f>SUM($L$4:L31)</f>
        <v>322546.66666666669</v>
      </c>
      <c r="AO31" s="288">
        <f>AN31/Resources!$B$12</f>
        <v>21503.111111111113</v>
      </c>
      <c r="AP31" s="288">
        <f>SUM($R$4:R31)</f>
        <v>671786.66666666663</v>
      </c>
      <c r="AQ31" s="288">
        <f>AP31/Resources!$B$13</f>
        <v>67178.666666666657</v>
      </c>
      <c r="AR31" s="288">
        <f>SUM($N$4:N31)</f>
        <v>358206.66666666669</v>
      </c>
      <c r="AS31" s="288">
        <f>AR31/Resources!$B$14</f>
        <v>3227.0870870870872</v>
      </c>
      <c r="AT31" s="288">
        <f>SUM($U$4:U31)</f>
        <v>324281.66666666669</v>
      </c>
      <c r="AU31" s="288">
        <f>AT31/Resources!$B$15</f>
        <v>3210.7095709570958</v>
      </c>
      <c r="AV31" s="288">
        <f>SUM($J$4:J31)</f>
        <v>640356.66666666663</v>
      </c>
      <c r="AW31" s="288">
        <f>AV31/Resources!$B$16</f>
        <v>6534.2517006802718</v>
      </c>
      <c r="AX31" s="288">
        <f>SUM($O$4:O31)</f>
        <v>408795</v>
      </c>
      <c r="AY31" s="288">
        <f>AX31/Resources!$B$17</f>
        <v>3893.2857142857142</v>
      </c>
      <c r="AZ31" s="288">
        <f>SUM($I$4:I31,$K$4:K31)</f>
        <v>1027710</v>
      </c>
      <c r="BA31" s="288">
        <f>AZ31/Resources!$B$6</f>
        <v>32115.9375</v>
      </c>
      <c r="BB31" s="288">
        <f>SUM($D$4:D31,$G$4:G31)</f>
        <v>1645533.3333333335</v>
      </c>
      <c r="BC31" s="288">
        <f>BB31/Resources!$B$7</f>
        <v>54851.111111111117</v>
      </c>
      <c r="BD31" s="288">
        <f>SUM($C$4:C31,$H$4:H31)</f>
        <v>1769633.3333333335</v>
      </c>
      <c r="BE31" s="300">
        <f>BD31/Resources!$B$8</f>
        <v>68062.820512820515</v>
      </c>
      <c r="BF31" s="288">
        <f>SUM($B$4:B31,$F$4:F31)</f>
        <v>3006490</v>
      </c>
      <c r="BG31" s="288">
        <f>BF31/Resources!$B$9</f>
        <v>96983.548387096773</v>
      </c>
      <c r="BH31" s="288">
        <f>SUM($X$4:X31,$E$4:E31)</f>
        <v>724628.33333333326</v>
      </c>
      <c r="BI31" s="288">
        <f>BH31/Resources!$B$2</f>
        <v>30192.847222222219</v>
      </c>
      <c r="BJ31" s="288">
        <f>SUM($V$4:V31,$T$4:T31)</f>
        <v>277675</v>
      </c>
      <c r="BK31" s="288">
        <f>BJ31/Resources!$B$3</f>
        <v>10679.807692307691</v>
      </c>
      <c r="BL31" s="288">
        <f>SUM($W$4:W31, $M$4:M31)</f>
        <v>397675</v>
      </c>
      <c r="BM31" s="288">
        <f>BL31/Resources!$B$4</f>
        <v>14202.678571428571</v>
      </c>
      <c r="BN31" s="288">
        <f>SUM($P$4:P31,$Q$4:Q31)</f>
        <v>941529.99999999988</v>
      </c>
      <c r="BO31" s="297">
        <f>BN31/Resources!$B$5</f>
        <v>34871.481481481474</v>
      </c>
    </row>
    <row r="32" spans="1:67" ht="18">
      <c r="A32" s="34">
        <f t="shared" si="8"/>
        <v>42894</v>
      </c>
      <c r="B32" s="49">
        <f>SUMIFS(Collection!$J:$J, Collection!$A:$A, $A32, Collection!$B:$B, B$2)</f>
        <v>0</v>
      </c>
      <c r="C32" s="49">
        <f>SUMIFS(Collection!$J:$J, Collection!$A:$A, $A32, Collection!$B:$B, C$2)</f>
        <v>0</v>
      </c>
      <c r="D32" s="49">
        <f>SUMIFS(Collection!$J:$J, Collection!$A:$A, $A32, Collection!$B:$B, D$2)</f>
        <v>0</v>
      </c>
      <c r="E32" s="49">
        <f>SUMIFS(Collection!$J:$J, Collection!$A:$A, $A32, Collection!$B:$B, E$2)</f>
        <v>0</v>
      </c>
      <c r="F32" s="49">
        <f>SUMIFS(Collection!$J:$J, Collection!$A:$A, $A32, Collection!$B:$B, F$2)</f>
        <v>0</v>
      </c>
      <c r="G32" s="49">
        <f>SUMIFS(Collection!$J:$J, Collection!$A:$A, $A32, Collection!$B:$B, G$2)</f>
        <v>0</v>
      </c>
      <c r="H32" s="49">
        <f>SUMIFS(Collection!$J:$J, Collection!$A:$A, $A32, Collection!$B:$B, H$2)</f>
        <v>0</v>
      </c>
      <c r="I32" s="49">
        <f>SUMIFS(Collection!$J:$J, Collection!$A:$A, $A32, Collection!$B:$B, I$2)</f>
        <v>0</v>
      </c>
      <c r="J32" s="49">
        <f>SUMIFS(Collection!$J:$J, Collection!$A:$A, $A32, Collection!$B:$B, J$2)</f>
        <v>0</v>
      </c>
      <c r="K32" s="49">
        <f>SUMIFS(Collection!$J:$J, Collection!$A:$A, $A32, Collection!$B:$B, K$2)</f>
        <v>0</v>
      </c>
      <c r="L32" s="49">
        <f>SUMIFS(Collection!$J:$J, Collection!$A:$A, $A32, Collection!$B:$B, L$2)</f>
        <v>0</v>
      </c>
      <c r="M32" s="49">
        <f>SUMIFS(Collection!$J:$J, Collection!$A:$A, $A32, Collection!$B:$B, M$2)</f>
        <v>0</v>
      </c>
      <c r="N32" s="49">
        <f>SUMIFS(Collection!$J:$J, Collection!$A:$A, $A32, Collection!$B:$B, N$2)</f>
        <v>9066.6666666666679</v>
      </c>
      <c r="O32" s="49">
        <f>SUMIFS(Collection!$J:$J, Collection!$A:$A, $A32, Collection!$B:$B, O$2)</f>
        <v>25166.666666666668</v>
      </c>
      <c r="P32" s="49">
        <f>SUMIFS(Collection!$J:$J, Collection!$A:$A, $A32, Collection!$B:$B, P$2)</f>
        <v>0</v>
      </c>
      <c r="Q32" s="49">
        <f>SUMIFS(Collection!$J:$J, Collection!$A:$A, $A32, Collection!$B:$B, Q$2)</f>
        <v>0</v>
      </c>
      <c r="R32" s="49">
        <f>SUMIFS(Collection!$J:$J, Collection!$A:$A, $A32, Collection!$B:$B, R$2)</f>
        <v>0</v>
      </c>
      <c r="S32" s="49">
        <f>SUMIFS(Collection!$J:$J, Collection!$A:$A, $A32, Collection!$B:$B, S$2)</f>
        <v>4391.666666666667</v>
      </c>
      <c r="T32" s="49">
        <f>SUMIFS(Collection!$J:$J, Collection!$A:$A, $A32, Collection!$B:$B, T$2)</f>
        <v>0</v>
      </c>
      <c r="U32" s="49">
        <f>SUMIFS(Collection!$J:$J, Collection!$A:$A, $A32, Collection!$B:$B, U$2)</f>
        <v>0</v>
      </c>
      <c r="V32" s="49">
        <f>SUMIFS(Collection!$J:$J, Collection!$A:$A, $A32, Collection!$B:$B, V$2)</f>
        <v>0</v>
      </c>
      <c r="W32" s="49">
        <f>SUMIFS(Collection!$J:$J, Collection!$A:$A, $A32, Collection!$B:$B, W$2)</f>
        <v>0</v>
      </c>
      <c r="X32" s="49">
        <f>SUMIFS(Collection!$J:$J, Collection!$A:$A, $A32, Collection!$B:$B, X$2)</f>
        <v>0</v>
      </c>
      <c r="Y32" s="49">
        <f>SUMIFS(Collection!$J:$J, Collection!$A:$A, $A32, Collection!$B:$B, Y$2)</f>
        <v>0</v>
      </c>
      <c r="Z32" s="49"/>
      <c r="AA32" s="49">
        <f t="shared" si="0"/>
        <v>0</v>
      </c>
      <c r="AB32" s="49">
        <f t="shared" si="1"/>
        <v>0</v>
      </c>
      <c r="AC32" s="49">
        <f t="shared" si="2"/>
        <v>0</v>
      </c>
      <c r="AD32" s="49">
        <f t="shared" si="3"/>
        <v>0</v>
      </c>
      <c r="AE32" s="49">
        <f t="shared" si="4"/>
        <v>0</v>
      </c>
      <c r="AF32" s="49">
        <f t="shared" si="5"/>
        <v>0</v>
      </c>
      <c r="AG32" s="49">
        <f t="shared" si="6"/>
        <v>0</v>
      </c>
      <c r="AH32" s="288">
        <f t="shared" si="7"/>
        <v>0</v>
      </c>
      <c r="AJ32" s="288">
        <f>SUM($S$4:S32)</f>
        <v>436519.4444444445</v>
      </c>
      <c r="AK32" s="288">
        <f>AJ32/Resources!$B$10</f>
        <v>36376.620370370372</v>
      </c>
      <c r="AL32" s="288">
        <f>SUM($Y$4:Y32)</f>
        <v>0</v>
      </c>
      <c r="AM32" s="295">
        <f>AL32/Resources!$B$11</f>
        <v>0</v>
      </c>
      <c r="AN32" s="288">
        <f>SUM($L$4:L32)</f>
        <v>322546.66666666669</v>
      </c>
      <c r="AO32" s="288">
        <f>AN32/Resources!$B$12</f>
        <v>21503.111111111113</v>
      </c>
      <c r="AP32" s="288">
        <f>SUM($R$4:R32)</f>
        <v>671786.66666666663</v>
      </c>
      <c r="AQ32" s="288">
        <f>AP32/Resources!$B$13</f>
        <v>67178.666666666657</v>
      </c>
      <c r="AR32" s="288">
        <f>SUM($N$4:N32)</f>
        <v>367273.33333333337</v>
      </c>
      <c r="AS32" s="288">
        <f>AR32/Resources!$B$14</f>
        <v>3308.768768768769</v>
      </c>
      <c r="AT32" s="288">
        <f>SUM($U$4:U32)</f>
        <v>324281.66666666669</v>
      </c>
      <c r="AU32" s="288">
        <f>AT32/Resources!$B$15</f>
        <v>3210.7095709570958</v>
      </c>
      <c r="AV32" s="288">
        <f>SUM($J$4:J32)</f>
        <v>640356.66666666663</v>
      </c>
      <c r="AW32" s="288">
        <f>AV32/Resources!$B$16</f>
        <v>6534.2517006802718</v>
      </c>
      <c r="AX32" s="288">
        <f>SUM($O$4:O32)</f>
        <v>433961.66666666669</v>
      </c>
      <c r="AY32" s="288">
        <f>AX32/Resources!$B$17</f>
        <v>4132.9682539682544</v>
      </c>
      <c r="AZ32" s="288">
        <f>SUM($I$4:I32,$K$4:K32)</f>
        <v>1027710</v>
      </c>
      <c r="BA32" s="288">
        <f>AZ32/Resources!$B$6</f>
        <v>32115.9375</v>
      </c>
      <c r="BB32" s="288">
        <f>SUM($D$4:D32,$G$4:G32)</f>
        <v>1645533.3333333335</v>
      </c>
      <c r="BC32" s="288">
        <f>BB32/Resources!$B$7</f>
        <v>54851.111111111117</v>
      </c>
      <c r="BD32" s="288">
        <f>SUM($C$4:C32,$H$4:H32)</f>
        <v>1769633.3333333335</v>
      </c>
      <c r="BE32" s="300">
        <f>BD32/Resources!$B$8</f>
        <v>68062.820512820515</v>
      </c>
      <c r="BF32" s="288">
        <f>SUM($B$4:B32,$F$4:F32)</f>
        <v>3006490</v>
      </c>
      <c r="BG32" s="288">
        <f>BF32/Resources!$B$9</f>
        <v>96983.548387096773</v>
      </c>
      <c r="BH32" s="288">
        <f>SUM($X$4:X32,$E$4:E32)</f>
        <v>724628.33333333326</v>
      </c>
      <c r="BI32" s="288">
        <f>BH32/Resources!$B$2</f>
        <v>30192.847222222219</v>
      </c>
      <c r="BJ32" s="288">
        <f>SUM($V$4:V32,$T$4:T32)</f>
        <v>277675</v>
      </c>
      <c r="BK32" s="288">
        <f>BJ32/Resources!$B$3</f>
        <v>10679.807692307691</v>
      </c>
      <c r="BL32" s="288">
        <f>SUM($W$4:W32, $M$4:M32)</f>
        <v>397675</v>
      </c>
      <c r="BM32" s="288">
        <f>BL32/Resources!$B$4</f>
        <v>14202.678571428571</v>
      </c>
      <c r="BN32" s="288">
        <f>SUM($P$4:P32,$Q$4:Q32)</f>
        <v>941529.99999999988</v>
      </c>
      <c r="BO32" s="297">
        <f>BN32/Resources!$B$5</f>
        <v>34871.481481481474</v>
      </c>
    </row>
    <row r="33" spans="1:67" ht="18">
      <c r="A33" s="34">
        <f t="shared" si="8"/>
        <v>42895</v>
      </c>
      <c r="B33" s="49">
        <f>SUMIFS(Collection!$J:$J, Collection!$A:$A, $A33, Collection!$B:$B, B$2)</f>
        <v>0</v>
      </c>
      <c r="C33" s="49">
        <f>SUMIFS(Collection!$J:$J, Collection!$A:$A, $A33, Collection!$B:$B, C$2)</f>
        <v>0</v>
      </c>
      <c r="D33" s="49">
        <f>SUMIFS(Collection!$J:$J, Collection!$A:$A, $A33, Collection!$B:$B, D$2)</f>
        <v>0</v>
      </c>
      <c r="E33" s="49">
        <f>SUMIFS(Collection!$J:$J, Collection!$A:$A, $A33, Collection!$B:$B, E$2)</f>
        <v>0</v>
      </c>
      <c r="F33" s="49">
        <f>SUMIFS(Collection!$J:$J, Collection!$A:$A, $A33, Collection!$B:$B, F$2)</f>
        <v>0</v>
      </c>
      <c r="G33" s="49">
        <f>SUMIFS(Collection!$J:$J, Collection!$A:$A, $A33, Collection!$B:$B, G$2)</f>
        <v>0</v>
      </c>
      <c r="H33" s="49">
        <f>SUMIFS(Collection!$J:$J, Collection!$A:$A, $A33, Collection!$B:$B, H$2)</f>
        <v>0</v>
      </c>
      <c r="I33" s="49">
        <f>SUMIFS(Collection!$J:$J, Collection!$A:$A, $A33, Collection!$B:$B, I$2)</f>
        <v>0</v>
      </c>
      <c r="J33" s="49">
        <f>SUMIFS(Collection!$J:$J, Collection!$A:$A, $A33, Collection!$B:$B, J$2)</f>
        <v>0</v>
      </c>
      <c r="K33" s="49">
        <f>SUMIFS(Collection!$J:$J, Collection!$A:$A, $A33, Collection!$B:$B, K$2)</f>
        <v>0</v>
      </c>
      <c r="L33" s="49">
        <f>SUMIFS(Collection!$J:$J, Collection!$A:$A, $A33, Collection!$B:$B, L$2)</f>
        <v>0</v>
      </c>
      <c r="M33" s="49">
        <f>SUMIFS(Collection!$J:$J, Collection!$A:$A, $A33, Collection!$B:$B, M$2)</f>
        <v>0</v>
      </c>
      <c r="N33" s="49">
        <f>SUMIFS(Collection!$J:$J, Collection!$A:$A, $A33, Collection!$B:$B, N$2)</f>
        <v>0</v>
      </c>
      <c r="O33" s="49">
        <f>SUMIFS(Collection!$J:$J, Collection!$A:$A, $A33, Collection!$B:$B, O$2)</f>
        <v>0</v>
      </c>
      <c r="P33" s="49">
        <f>SUMIFS(Collection!$J:$J, Collection!$A:$A, $A33, Collection!$B:$B, P$2)</f>
        <v>0</v>
      </c>
      <c r="Q33" s="49">
        <f>SUMIFS(Collection!$J:$J, Collection!$A:$A, $A33, Collection!$B:$B, Q$2)</f>
        <v>0</v>
      </c>
      <c r="R33" s="49">
        <f>SUMIFS(Collection!$J:$J, Collection!$A:$A, $A33, Collection!$B:$B, R$2)</f>
        <v>0</v>
      </c>
      <c r="S33" s="49">
        <f>SUMIFS(Collection!$J:$J, Collection!$A:$A, $A33, Collection!$B:$B, S$2)</f>
        <v>0</v>
      </c>
      <c r="T33" s="49">
        <f>SUMIFS(Collection!$J:$J, Collection!$A:$A, $A33, Collection!$B:$B, T$2)</f>
        <v>0</v>
      </c>
      <c r="U33" s="49">
        <f>SUMIFS(Collection!$J:$J, Collection!$A:$A, $A33, Collection!$B:$B, U$2)</f>
        <v>0</v>
      </c>
      <c r="V33" s="49">
        <f>SUMIFS(Collection!$J:$J, Collection!$A:$A, $A33, Collection!$B:$B, V$2)</f>
        <v>0</v>
      </c>
      <c r="W33" s="49">
        <f>SUMIFS(Collection!$J:$J, Collection!$A:$A, $A33, Collection!$B:$B, W$2)</f>
        <v>0</v>
      </c>
      <c r="X33" s="49">
        <f>SUMIFS(Collection!$J:$J, Collection!$A:$A, $A33, Collection!$B:$B, X$2)</f>
        <v>0</v>
      </c>
      <c r="Y33" s="49">
        <f>SUMIFS(Collection!$J:$J, Collection!$A:$A, $A33, Collection!$B:$B, Y$2)</f>
        <v>0</v>
      </c>
      <c r="Z33" s="49"/>
      <c r="AA33" s="49">
        <f t="shared" si="0"/>
        <v>0</v>
      </c>
      <c r="AB33" s="49">
        <f t="shared" si="1"/>
        <v>0</v>
      </c>
      <c r="AC33" s="49">
        <f t="shared" si="2"/>
        <v>0</v>
      </c>
      <c r="AD33" s="49">
        <f t="shared" si="3"/>
        <v>0</v>
      </c>
      <c r="AE33" s="49">
        <f t="shared" si="4"/>
        <v>0</v>
      </c>
      <c r="AF33" s="49">
        <f t="shared" si="5"/>
        <v>0</v>
      </c>
      <c r="AG33" s="49">
        <f t="shared" si="6"/>
        <v>0</v>
      </c>
      <c r="AH33" s="288">
        <f t="shared" si="7"/>
        <v>0</v>
      </c>
      <c r="AJ33" s="288">
        <f>SUM($S$4:S33)</f>
        <v>436519.4444444445</v>
      </c>
      <c r="AK33" s="288">
        <f>AJ33/Resources!$B$10</f>
        <v>36376.620370370372</v>
      </c>
      <c r="AL33" s="288">
        <f>SUM($Y$4:Y33)</f>
        <v>0</v>
      </c>
      <c r="AM33" s="295">
        <f>AL33/Resources!$B$11</f>
        <v>0</v>
      </c>
      <c r="AN33" s="288">
        <f>SUM($L$4:L33)</f>
        <v>322546.66666666669</v>
      </c>
      <c r="AO33" s="288">
        <f>AN33/Resources!$B$12</f>
        <v>21503.111111111113</v>
      </c>
      <c r="AP33" s="288">
        <f>SUM($R$4:R33)</f>
        <v>671786.66666666663</v>
      </c>
      <c r="AQ33" s="288">
        <f>AP33/Resources!$B$13</f>
        <v>67178.666666666657</v>
      </c>
      <c r="AR33" s="288">
        <f>SUM($N$4:N33)</f>
        <v>367273.33333333337</v>
      </c>
      <c r="AS33" s="288">
        <f>AR33/Resources!$B$14</f>
        <v>3308.768768768769</v>
      </c>
      <c r="AT33" s="288">
        <f>SUM($U$4:U33)</f>
        <v>324281.66666666669</v>
      </c>
      <c r="AU33" s="288">
        <f>AT33/Resources!$B$15</f>
        <v>3210.7095709570958</v>
      </c>
      <c r="AV33" s="288">
        <f>SUM($J$4:J33)</f>
        <v>640356.66666666663</v>
      </c>
      <c r="AW33" s="288">
        <f>AV33/Resources!$B$16</f>
        <v>6534.2517006802718</v>
      </c>
      <c r="AX33" s="288">
        <f>SUM($O$4:O33)</f>
        <v>433961.66666666669</v>
      </c>
      <c r="AY33" s="288">
        <f>AX33/Resources!$B$17</f>
        <v>4132.9682539682544</v>
      </c>
      <c r="AZ33" s="288">
        <f>SUM($I$4:I33,$K$4:K33)</f>
        <v>1027710</v>
      </c>
      <c r="BA33" s="288">
        <f>AZ33/Resources!$B$6</f>
        <v>32115.9375</v>
      </c>
      <c r="BB33" s="288">
        <f>SUM($D$4:D33,$G$4:G33)</f>
        <v>1645533.3333333335</v>
      </c>
      <c r="BC33" s="288">
        <f>BB33/Resources!$B$7</f>
        <v>54851.111111111117</v>
      </c>
      <c r="BD33" s="288">
        <f>SUM($C$4:C33,$H$4:H33)</f>
        <v>1769633.3333333335</v>
      </c>
      <c r="BE33" s="300">
        <f>BD33/Resources!$B$8</f>
        <v>68062.820512820515</v>
      </c>
      <c r="BF33" s="288">
        <f>SUM($B$4:B33,$F$4:F33)</f>
        <v>3006490</v>
      </c>
      <c r="BG33" s="288">
        <f>BF33/Resources!$B$9</f>
        <v>96983.548387096773</v>
      </c>
      <c r="BH33" s="288">
        <f>SUM($X$4:X33,$E$4:E33)</f>
        <v>724628.33333333326</v>
      </c>
      <c r="BI33" s="288">
        <f>BH33/Resources!$B$2</f>
        <v>30192.847222222219</v>
      </c>
      <c r="BJ33" s="288">
        <f>SUM($V$4:V33,$T$4:T33)</f>
        <v>277675</v>
      </c>
      <c r="BK33" s="288">
        <f>BJ33/Resources!$B$3</f>
        <v>10679.807692307691</v>
      </c>
      <c r="BL33" s="288">
        <f>SUM($W$4:W33, $M$4:M33)</f>
        <v>397675</v>
      </c>
      <c r="BM33" s="288">
        <f>BL33/Resources!$B$4</f>
        <v>14202.678571428571</v>
      </c>
      <c r="BN33" s="288">
        <f>SUM($P$4:P33,$Q$4:Q33)</f>
        <v>941529.99999999988</v>
      </c>
      <c r="BO33" s="297">
        <f>BN33/Resources!$B$5</f>
        <v>34871.481481481474</v>
      </c>
    </row>
    <row r="34" spans="1:67" ht="18">
      <c r="A34" s="34">
        <f t="shared" si="8"/>
        <v>42896</v>
      </c>
      <c r="B34" s="49">
        <f>SUMIFS(Collection!$J:$J, Collection!$A:$A, $A34, Collection!$B:$B, B$2)</f>
        <v>0</v>
      </c>
      <c r="C34" s="49">
        <f>SUMIFS(Collection!$J:$J, Collection!$A:$A, $A34, Collection!$B:$B, C$2)</f>
        <v>0</v>
      </c>
      <c r="D34" s="49">
        <f>SUMIFS(Collection!$J:$J, Collection!$A:$A, $A34, Collection!$B:$B, D$2)</f>
        <v>0</v>
      </c>
      <c r="E34" s="49">
        <f>SUMIFS(Collection!$J:$J, Collection!$A:$A, $A34, Collection!$B:$B, E$2)</f>
        <v>0</v>
      </c>
      <c r="F34" s="49">
        <f>SUMIFS(Collection!$J:$J, Collection!$A:$A, $A34, Collection!$B:$B, F$2)</f>
        <v>0</v>
      </c>
      <c r="G34" s="49">
        <f>SUMIFS(Collection!$J:$J, Collection!$A:$A, $A34, Collection!$B:$B, G$2)</f>
        <v>0</v>
      </c>
      <c r="H34" s="49">
        <f>SUMIFS(Collection!$J:$J, Collection!$A:$A, $A34, Collection!$B:$B, H$2)</f>
        <v>0</v>
      </c>
      <c r="I34" s="49">
        <f>SUMIFS(Collection!$J:$J, Collection!$A:$A, $A34, Collection!$B:$B, I$2)</f>
        <v>0</v>
      </c>
      <c r="J34" s="49">
        <f>SUMIFS(Collection!$J:$J, Collection!$A:$A, $A34, Collection!$B:$B, J$2)</f>
        <v>0</v>
      </c>
      <c r="K34" s="49">
        <f>SUMIFS(Collection!$J:$J, Collection!$A:$A, $A34, Collection!$B:$B, K$2)</f>
        <v>0</v>
      </c>
      <c r="L34" s="49">
        <f>SUMIFS(Collection!$J:$J, Collection!$A:$A, $A34, Collection!$B:$B, L$2)</f>
        <v>149050</v>
      </c>
      <c r="M34" s="49">
        <f>SUMIFS(Collection!$J:$J, Collection!$A:$A, $A34, Collection!$B:$B, M$2)</f>
        <v>0</v>
      </c>
      <c r="N34" s="49">
        <f>SUMIFS(Collection!$J:$J, Collection!$A:$A, $A34, Collection!$B:$B, N$2)</f>
        <v>2800</v>
      </c>
      <c r="O34" s="49">
        <f>SUMIFS(Collection!$J:$J, Collection!$A:$A, $A34, Collection!$B:$B, O$2)</f>
        <v>1280</v>
      </c>
      <c r="P34" s="49">
        <f>SUMIFS(Collection!$J:$J, Collection!$A:$A, $A34, Collection!$B:$B, P$2)</f>
        <v>0</v>
      </c>
      <c r="Q34" s="49">
        <f>SUMIFS(Collection!$J:$J, Collection!$A:$A, $A34, Collection!$B:$B, Q$2)</f>
        <v>0</v>
      </c>
      <c r="R34" s="49">
        <f>SUMIFS(Collection!$J:$J, Collection!$A:$A, $A34, Collection!$B:$B, R$2)</f>
        <v>0</v>
      </c>
      <c r="S34" s="49">
        <f>SUMIFS(Collection!$J:$J, Collection!$A:$A, $A34, Collection!$B:$B, S$2)</f>
        <v>0</v>
      </c>
      <c r="T34" s="49">
        <f>SUMIFS(Collection!$J:$J, Collection!$A:$A, $A34, Collection!$B:$B, T$2)</f>
        <v>0</v>
      </c>
      <c r="U34" s="49">
        <f>SUMIFS(Collection!$J:$J, Collection!$A:$A, $A34, Collection!$B:$B, U$2)</f>
        <v>72053.333333333328</v>
      </c>
      <c r="V34" s="49">
        <f>SUMIFS(Collection!$J:$J, Collection!$A:$A, $A34, Collection!$B:$B, V$2)</f>
        <v>0</v>
      </c>
      <c r="W34" s="49">
        <f>SUMIFS(Collection!$J:$J, Collection!$A:$A, $A34, Collection!$B:$B, W$2)</f>
        <v>0</v>
      </c>
      <c r="X34" s="49">
        <f>SUMIFS(Collection!$J:$J, Collection!$A:$A, $A34, Collection!$B:$B, X$2)</f>
        <v>246933.33333333334</v>
      </c>
      <c r="Y34" s="49">
        <f>SUMIFS(Collection!$J:$J, Collection!$A:$A, $A34, Collection!$B:$B, Y$2)</f>
        <v>0</v>
      </c>
      <c r="Z34" s="49"/>
      <c r="AA34" s="49">
        <f t="shared" si="0"/>
        <v>0</v>
      </c>
      <c r="AB34" s="49">
        <f t="shared" si="1"/>
        <v>0</v>
      </c>
      <c r="AC34" s="49">
        <f t="shared" si="2"/>
        <v>0</v>
      </c>
      <c r="AD34" s="49">
        <f t="shared" si="3"/>
        <v>0</v>
      </c>
      <c r="AE34" s="49">
        <f t="shared" si="4"/>
        <v>246933.33333333334</v>
      </c>
      <c r="AF34" s="49">
        <f t="shared" si="5"/>
        <v>0</v>
      </c>
      <c r="AG34" s="49">
        <f t="shared" si="6"/>
        <v>0</v>
      </c>
      <c r="AH34" s="288">
        <f t="shared" si="7"/>
        <v>0</v>
      </c>
      <c r="AJ34" s="288">
        <f>SUM($S$4:S34)</f>
        <v>436519.4444444445</v>
      </c>
      <c r="AK34" s="288">
        <f>AJ34/Resources!$B$10</f>
        <v>36376.620370370372</v>
      </c>
      <c r="AL34" s="288">
        <f>SUM($Y$4:Y34)</f>
        <v>0</v>
      </c>
      <c r="AM34" s="295">
        <f>AL34/Resources!$B$11</f>
        <v>0</v>
      </c>
      <c r="AN34" s="288">
        <f>SUM($L$4:L34)</f>
        <v>471596.66666666669</v>
      </c>
      <c r="AO34" s="288">
        <f>AN34/Resources!$B$12</f>
        <v>31439.777777777777</v>
      </c>
      <c r="AP34" s="288">
        <f>SUM($R$4:R34)</f>
        <v>671786.66666666663</v>
      </c>
      <c r="AQ34" s="288">
        <f>AP34/Resources!$B$13</f>
        <v>67178.666666666657</v>
      </c>
      <c r="AR34" s="288">
        <f>SUM($N$4:N34)</f>
        <v>370073.33333333337</v>
      </c>
      <c r="AS34" s="288">
        <f>AR34/Resources!$B$14</f>
        <v>3333.9939939939945</v>
      </c>
      <c r="AT34" s="288">
        <f>SUM($U$4:U34)</f>
        <v>396335</v>
      </c>
      <c r="AU34" s="288">
        <f>AT34/Resources!$B$15</f>
        <v>3924.1089108910892</v>
      </c>
      <c r="AV34" s="288">
        <f>SUM($J$4:J34)</f>
        <v>640356.66666666663</v>
      </c>
      <c r="AW34" s="288">
        <f>AV34/Resources!$B$16</f>
        <v>6534.2517006802718</v>
      </c>
      <c r="AX34" s="288">
        <f>SUM($O$4:O34)</f>
        <v>435241.66666666669</v>
      </c>
      <c r="AY34" s="288">
        <f>AX34/Resources!$B$17</f>
        <v>4145.1587301587306</v>
      </c>
      <c r="AZ34" s="288">
        <f>SUM($I$4:I34,$K$4:K34)</f>
        <v>1027710</v>
      </c>
      <c r="BA34" s="288">
        <f>AZ34/Resources!$B$6</f>
        <v>32115.9375</v>
      </c>
      <c r="BB34" s="288">
        <f>SUM($D$4:D34,$G$4:G34)</f>
        <v>1645533.3333333335</v>
      </c>
      <c r="BC34" s="288">
        <f>BB34/Resources!$B$7</f>
        <v>54851.111111111117</v>
      </c>
      <c r="BD34" s="288">
        <f>SUM($C$4:C34,$H$4:H34)</f>
        <v>1769633.3333333335</v>
      </c>
      <c r="BE34" s="300">
        <f>BD34/Resources!$B$8</f>
        <v>68062.820512820515</v>
      </c>
      <c r="BF34" s="288">
        <f>SUM($B$4:B34,$F$4:F34)</f>
        <v>3006490</v>
      </c>
      <c r="BG34" s="288">
        <f>BF34/Resources!$B$9</f>
        <v>96983.548387096773</v>
      </c>
      <c r="BH34" s="288">
        <f>SUM($X$4:X34,$E$4:E34)</f>
        <v>971561.66666666663</v>
      </c>
      <c r="BI34" s="288">
        <f>BH34/Resources!$B$2</f>
        <v>40481.736111111109</v>
      </c>
      <c r="BJ34" s="288">
        <f>SUM($V$4:V34,$T$4:T34)</f>
        <v>277675</v>
      </c>
      <c r="BK34" s="288">
        <f>BJ34/Resources!$B$3</f>
        <v>10679.807692307691</v>
      </c>
      <c r="BL34" s="288">
        <f>SUM($W$4:W34, $M$4:M34)</f>
        <v>397675</v>
      </c>
      <c r="BM34" s="288">
        <f>BL34/Resources!$B$4</f>
        <v>14202.678571428571</v>
      </c>
      <c r="BN34" s="288">
        <f>SUM($P$4:P34,$Q$4:Q34)</f>
        <v>941529.99999999988</v>
      </c>
      <c r="BO34" s="297">
        <f>BN34/Resources!$B$5</f>
        <v>34871.481481481474</v>
      </c>
    </row>
    <row r="35" spans="1:67" ht="18">
      <c r="A35" s="34">
        <f t="shared" si="8"/>
        <v>42897</v>
      </c>
      <c r="B35" s="49">
        <f>SUMIFS(Collection!$J:$J, Collection!$A:$A, $A35, Collection!$B:$B, B$2)</f>
        <v>0</v>
      </c>
      <c r="C35" s="49">
        <f>SUMIFS(Collection!$J:$J, Collection!$A:$A, $A35, Collection!$B:$B, C$2)</f>
        <v>0</v>
      </c>
      <c r="D35" s="49">
        <f>SUMIFS(Collection!$J:$J, Collection!$A:$A, $A35, Collection!$B:$B, D$2)</f>
        <v>0</v>
      </c>
      <c r="E35" s="49">
        <f>SUMIFS(Collection!$J:$J, Collection!$A:$A, $A35, Collection!$B:$B, E$2)</f>
        <v>0</v>
      </c>
      <c r="F35" s="49">
        <f>SUMIFS(Collection!$J:$J, Collection!$A:$A, $A35, Collection!$B:$B, F$2)</f>
        <v>0</v>
      </c>
      <c r="G35" s="49">
        <f>SUMIFS(Collection!$J:$J, Collection!$A:$A, $A35, Collection!$B:$B, G$2)</f>
        <v>0</v>
      </c>
      <c r="H35" s="49">
        <f>SUMIFS(Collection!$J:$J, Collection!$A:$A, $A35, Collection!$B:$B, H$2)</f>
        <v>0</v>
      </c>
      <c r="I35" s="49">
        <f>SUMIFS(Collection!$J:$J, Collection!$A:$A, $A35, Collection!$B:$B, I$2)</f>
        <v>0</v>
      </c>
      <c r="J35" s="49">
        <f>SUMIFS(Collection!$J:$J, Collection!$A:$A, $A35, Collection!$B:$B, J$2)</f>
        <v>0</v>
      </c>
      <c r="K35" s="49">
        <f>SUMIFS(Collection!$J:$J, Collection!$A:$A, $A35, Collection!$B:$B, K$2)</f>
        <v>0</v>
      </c>
      <c r="L35" s="49">
        <f>SUMIFS(Collection!$J:$J, Collection!$A:$A, $A35, Collection!$B:$B, L$2)</f>
        <v>0</v>
      </c>
      <c r="M35" s="49">
        <f>SUMIFS(Collection!$J:$J, Collection!$A:$A, $A35, Collection!$B:$B, M$2)</f>
        <v>0</v>
      </c>
      <c r="N35" s="49">
        <f>SUMIFS(Collection!$J:$J, Collection!$A:$A, $A35, Collection!$B:$B, N$2)</f>
        <v>0</v>
      </c>
      <c r="O35" s="49">
        <f>SUMIFS(Collection!$J:$J, Collection!$A:$A, $A35, Collection!$B:$B, O$2)</f>
        <v>0</v>
      </c>
      <c r="P35" s="49">
        <f>SUMIFS(Collection!$J:$J, Collection!$A:$A, $A35, Collection!$B:$B, P$2)</f>
        <v>0</v>
      </c>
      <c r="Q35" s="49">
        <f>SUMIFS(Collection!$J:$J, Collection!$A:$A, $A35, Collection!$B:$B, Q$2)</f>
        <v>0</v>
      </c>
      <c r="R35" s="49">
        <f>SUMIFS(Collection!$J:$J, Collection!$A:$A, $A35, Collection!$B:$B, R$2)</f>
        <v>0</v>
      </c>
      <c r="S35" s="49">
        <f>SUMIFS(Collection!$J:$J, Collection!$A:$A, $A35, Collection!$B:$B, S$2)</f>
        <v>0</v>
      </c>
      <c r="T35" s="49">
        <f>SUMIFS(Collection!$J:$J, Collection!$A:$A, $A35, Collection!$B:$B, T$2)</f>
        <v>0</v>
      </c>
      <c r="U35" s="49">
        <f>SUMIFS(Collection!$J:$J, Collection!$A:$A, $A35, Collection!$B:$B, U$2)</f>
        <v>0</v>
      </c>
      <c r="V35" s="49">
        <f>SUMIFS(Collection!$J:$J, Collection!$A:$A, $A35, Collection!$B:$B, V$2)</f>
        <v>0</v>
      </c>
      <c r="W35" s="49">
        <f>SUMIFS(Collection!$J:$J, Collection!$A:$A, $A35, Collection!$B:$B, W$2)</f>
        <v>0</v>
      </c>
      <c r="X35" s="49">
        <f>SUMIFS(Collection!$J:$J, Collection!$A:$A, $A35, Collection!$B:$B, X$2)</f>
        <v>0</v>
      </c>
      <c r="Y35" s="49">
        <f>SUMIFS(Collection!$J:$J, Collection!$A:$A, $A35, Collection!$B:$B, Y$2)</f>
        <v>0</v>
      </c>
      <c r="Z35" s="49"/>
      <c r="AA35" s="49">
        <f t="shared" si="0"/>
        <v>0</v>
      </c>
      <c r="AB35" s="49">
        <f t="shared" si="1"/>
        <v>0</v>
      </c>
      <c r="AC35" s="49">
        <f t="shared" si="2"/>
        <v>0</v>
      </c>
      <c r="AD35" s="49">
        <f t="shared" si="3"/>
        <v>0</v>
      </c>
      <c r="AE35" s="49">
        <f t="shared" si="4"/>
        <v>0</v>
      </c>
      <c r="AF35" s="49">
        <f t="shared" si="5"/>
        <v>0</v>
      </c>
      <c r="AG35" s="49">
        <f t="shared" si="6"/>
        <v>0</v>
      </c>
      <c r="AH35" s="288">
        <f t="shared" si="7"/>
        <v>0</v>
      </c>
      <c r="AJ35" s="288">
        <f>SUM($S$4:S35)</f>
        <v>436519.4444444445</v>
      </c>
      <c r="AK35" s="288">
        <f>AJ35/Resources!$B$10</f>
        <v>36376.620370370372</v>
      </c>
      <c r="AL35" s="288">
        <f>SUM($Y$4:Y35)</f>
        <v>0</v>
      </c>
      <c r="AM35" s="295">
        <f>AL35/Resources!$B$11</f>
        <v>0</v>
      </c>
      <c r="AN35" s="288">
        <f>SUM($L$4:L35)</f>
        <v>471596.66666666669</v>
      </c>
      <c r="AO35" s="288">
        <f>AN35/Resources!$B$12</f>
        <v>31439.777777777777</v>
      </c>
      <c r="AP35" s="288">
        <f>SUM($R$4:R35)</f>
        <v>671786.66666666663</v>
      </c>
      <c r="AQ35" s="288">
        <f>AP35/Resources!$B$13</f>
        <v>67178.666666666657</v>
      </c>
      <c r="AR35" s="288">
        <f>SUM($N$4:N35)</f>
        <v>370073.33333333337</v>
      </c>
      <c r="AS35" s="288">
        <f>AR35/Resources!$B$14</f>
        <v>3333.9939939939945</v>
      </c>
      <c r="AT35" s="288">
        <f>SUM($U$4:U35)</f>
        <v>396335</v>
      </c>
      <c r="AU35" s="288">
        <f>AT35/Resources!$B$15</f>
        <v>3924.1089108910892</v>
      </c>
      <c r="AV35" s="288">
        <f>SUM($J$4:J35)</f>
        <v>640356.66666666663</v>
      </c>
      <c r="AW35" s="288">
        <f>AV35/Resources!$B$16</f>
        <v>6534.2517006802718</v>
      </c>
      <c r="AX35" s="288">
        <f>SUM($O$4:O35)</f>
        <v>435241.66666666669</v>
      </c>
      <c r="AY35" s="288">
        <f>AX35/Resources!$B$17</f>
        <v>4145.1587301587306</v>
      </c>
      <c r="AZ35" s="288">
        <f>SUM($I$4:I35,$K$4:K35)</f>
        <v>1027710</v>
      </c>
      <c r="BA35" s="288">
        <f>AZ35/Resources!$B$6</f>
        <v>32115.9375</v>
      </c>
      <c r="BB35" s="288">
        <f>SUM($D$4:D35,$G$4:G35)</f>
        <v>1645533.3333333335</v>
      </c>
      <c r="BC35" s="288">
        <f>BB35/Resources!$B$7</f>
        <v>54851.111111111117</v>
      </c>
      <c r="BD35" s="288">
        <f>SUM($C$4:C35,$H$4:H35)</f>
        <v>1769633.3333333335</v>
      </c>
      <c r="BE35" s="300">
        <f>BD35/Resources!$B$8</f>
        <v>68062.820512820515</v>
      </c>
      <c r="BF35" s="288">
        <f>SUM($B$4:B35,$F$4:F35)</f>
        <v>3006490</v>
      </c>
      <c r="BG35" s="288">
        <f>BF35/Resources!$B$9</f>
        <v>96983.548387096773</v>
      </c>
      <c r="BH35" s="288">
        <f>SUM($X$4:X35,$E$4:E35)</f>
        <v>971561.66666666663</v>
      </c>
      <c r="BI35" s="288">
        <f>BH35/Resources!$B$2</f>
        <v>40481.736111111109</v>
      </c>
      <c r="BJ35" s="288">
        <f>SUM($V$4:V35,$T$4:T35)</f>
        <v>277675</v>
      </c>
      <c r="BK35" s="288">
        <f>BJ35/Resources!$B$3</f>
        <v>10679.807692307691</v>
      </c>
      <c r="BL35" s="288">
        <f>SUM($W$4:W35, $M$4:M35)</f>
        <v>397675</v>
      </c>
      <c r="BM35" s="288">
        <f>BL35/Resources!$B$4</f>
        <v>14202.678571428571</v>
      </c>
      <c r="BN35" s="288">
        <f>SUM($P$4:P35,$Q$4:Q35)</f>
        <v>941529.99999999988</v>
      </c>
      <c r="BO35" s="297">
        <f>BN35/Resources!$B$5</f>
        <v>34871.481481481474</v>
      </c>
    </row>
    <row r="36" spans="1:67" ht="18">
      <c r="A36" s="34">
        <f t="shared" si="8"/>
        <v>42898</v>
      </c>
      <c r="B36" s="49">
        <f>SUMIFS(Collection!$J:$J, Collection!$A:$A, $A36, Collection!$B:$B, B$2)</f>
        <v>0</v>
      </c>
      <c r="C36" s="49">
        <f>SUMIFS(Collection!$J:$J, Collection!$A:$A, $A36, Collection!$B:$B, C$2)</f>
        <v>0</v>
      </c>
      <c r="D36" s="49">
        <f>SUMIFS(Collection!$J:$J, Collection!$A:$A, $A36, Collection!$B:$B, D$2)</f>
        <v>0</v>
      </c>
      <c r="E36" s="49">
        <f>SUMIFS(Collection!$J:$J, Collection!$A:$A, $A36, Collection!$B:$B, E$2)</f>
        <v>0</v>
      </c>
      <c r="F36" s="49">
        <f>SUMIFS(Collection!$J:$J, Collection!$A:$A, $A36, Collection!$B:$B, F$2)</f>
        <v>0</v>
      </c>
      <c r="G36" s="49">
        <f>SUMIFS(Collection!$J:$J, Collection!$A:$A, $A36, Collection!$B:$B, G$2)</f>
        <v>0</v>
      </c>
      <c r="H36" s="49">
        <f>SUMIFS(Collection!$J:$J, Collection!$A:$A, $A36, Collection!$B:$B, H$2)</f>
        <v>0</v>
      </c>
      <c r="I36" s="49">
        <f>SUMIFS(Collection!$J:$J, Collection!$A:$A, $A36, Collection!$B:$B, I$2)</f>
        <v>1400</v>
      </c>
      <c r="J36" s="49">
        <f>SUMIFS(Collection!$J:$J, Collection!$A:$A, $A36, Collection!$B:$B, J$2)</f>
        <v>0</v>
      </c>
      <c r="K36" s="49">
        <f>SUMIFS(Collection!$J:$J, Collection!$A:$A, $A36, Collection!$B:$B, K$2)</f>
        <v>0</v>
      </c>
      <c r="L36" s="49">
        <f>SUMIFS(Collection!$J:$J, Collection!$A:$A, $A36, Collection!$B:$B, L$2)</f>
        <v>176000</v>
      </c>
      <c r="M36" s="49">
        <f>SUMIFS(Collection!$J:$J, Collection!$A:$A, $A36, Collection!$B:$B, M$2)</f>
        <v>0</v>
      </c>
      <c r="N36" s="49">
        <f>SUMIFS(Collection!$J:$J, Collection!$A:$A, $A36, Collection!$B:$B, N$2)</f>
        <v>0</v>
      </c>
      <c r="O36" s="49">
        <f>SUMIFS(Collection!$J:$J, Collection!$A:$A, $A36, Collection!$B:$B, O$2)</f>
        <v>0</v>
      </c>
      <c r="P36" s="49">
        <f>SUMIFS(Collection!$J:$J, Collection!$A:$A, $A36, Collection!$B:$B, P$2)</f>
        <v>0</v>
      </c>
      <c r="Q36" s="49">
        <f>SUMIFS(Collection!$J:$J, Collection!$A:$A, $A36, Collection!$B:$B, Q$2)</f>
        <v>0</v>
      </c>
      <c r="R36" s="49">
        <f>SUMIFS(Collection!$J:$J, Collection!$A:$A, $A36, Collection!$B:$B, R$2)</f>
        <v>0</v>
      </c>
      <c r="S36" s="49">
        <f>SUMIFS(Collection!$J:$J, Collection!$A:$A, $A36, Collection!$B:$B, S$2)</f>
        <v>0</v>
      </c>
      <c r="T36" s="49">
        <f>SUMIFS(Collection!$J:$J, Collection!$A:$A, $A36, Collection!$B:$B, T$2)</f>
        <v>0</v>
      </c>
      <c r="U36" s="49">
        <f>SUMIFS(Collection!$J:$J, Collection!$A:$A, $A36, Collection!$B:$B, U$2)</f>
        <v>4200</v>
      </c>
      <c r="V36" s="49">
        <f>SUMIFS(Collection!$J:$J, Collection!$A:$A, $A36, Collection!$B:$B, V$2)</f>
        <v>0</v>
      </c>
      <c r="W36" s="49">
        <f>SUMIFS(Collection!$J:$J, Collection!$A:$A, $A36, Collection!$B:$B, W$2)</f>
        <v>0</v>
      </c>
      <c r="X36" s="49">
        <f>SUMIFS(Collection!$J:$J, Collection!$A:$A, $A36, Collection!$B:$B, X$2)</f>
        <v>9400</v>
      </c>
      <c r="Y36" s="49">
        <f>SUMIFS(Collection!$J:$J, Collection!$A:$A, $A36, Collection!$B:$B, Y$2)</f>
        <v>105066.66666666667</v>
      </c>
      <c r="Z36" s="49"/>
      <c r="AA36" s="49">
        <f t="shared" si="0"/>
        <v>1400</v>
      </c>
      <c r="AB36" s="49">
        <f t="shared" si="1"/>
        <v>0</v>
      </c>
      <c r="AC36" s="49">
        <f t="shared" si="2"/>
        <v>0</v>
      </c>
      <c r="AD36" s="49">
        <f t="shared" si="3"/>
        <v>0</v>
      </c>
      <c r="AE36" s="49">
        <f t="shared" si="4"/>
        <v>9400</v>
      </c>
      <c r="AF36" s="49">
        <f t="shared" si="5"/>
        <v>0</v>
      </c>
      <c r="AG36" s="49">
        <f t="shared" si="6"/>
        <v>0</v>
      </c>
      <c r="AH36" s="288">
        <f t="shared" si="7"/>
        <v>0</v>
      </c>
      <c r="AJ36" s="288">
        <f>SUM($S$4:S36)</f>
        <v>436519.4444444445</v>
      </c>
      <c r="AK36" s="288">
        <f>AJ36/Resources!$B$10</f>
        <v>36376.620370370372</v>
      </c>
      <c r="AL36" s="288">
        <f>SUM($Y$4:Y36)</f>
        <v>105066.66666666667</v>
      </c>
      <c r="AM36" s="295">
        <f>AL36/Resources!$B$11</f>
        <v>8755.5555555555566</v>
      </c>
      <c r="AN36" s="288">
        <f>SUM($L$4:L36)</f>
        <v>647596.66666666674</v>
      </c>
      <c r="AO36" s="288">
        <f>AN36/Resources!$B$12</f>
        <v>43173.111111111117</v>
      </c>
      <c r="AP36" s="288">
        <f>SUM($R$4:R36)</f>
        <v>671786.66666666663</v>
      </c>
      <c r="AQ36" s="288">
        <f>AP36/Resources!$B$13</f>
        <v>67178.666666666657</v>
      </c>
      <c r="AR36" s="288">
        <f>SUM($N$4:N36)</f>
        <v>370073.33333333337</v>
      </c>
      <c r="AS36" s="288">
        <f>AR36/Resources!$B$14</f>
        <v>3333.9939939939945</v>
      </c>
      <c r="AT36" s="288">
        <f>SUM($U$4:U36)</f>
        <v>400535</v>
      </c>
      <c r="AU36" s="288">
        <f>AT36/Resources!$B$15</f>
        <v>3965.6930693069307</v>
      </c>
      <c r="AV36" s="288">
        <f>SUM($J$4:J36)</f>
        <v>640356.66666666663</v>
      </c>
      <c r="AW36" s="288">
        <f>AV36/Resources!$B$16</f>
        <v>6534.2517006802718</v>
      </c>
      <c r="AX36" s="288">
        <f>SUM($O$4:O36)</f>
        <v>435241.66666666669</v>
      </c>
      <c r="AY36" s="288">
        <f>AX36/Resources!$B$17</f>
        <v>4145.1587301587306</v>
      </c>
      <c r="AZ36" s="288">
        <f>SUM($I$4:I36,$K$4:K36)</f>
        <v>1029110</v>
      </c>
      <c r="BA36" s="288">
        <f>AZ36/Resources!$B$6</f>
        <v>32159.6875</v>
      </c>
      <c r="BB36" s="288">
        <f>SUM($D$4:D36,$G$4:G36)</f>
        <v>1645533.3333333335</v>
      </c>
      <c r="BC36" s="288">
        <f>BB36/Resources!$B$7</f>
        <v>54851.111111111117</v>
      </c>
      <c r="BD36" s="288">
        <f>SUM($C$4:C36,$H$4:H36)</f>
        <v>1769633.3333333335</v>
      </c>
      <c r="BE36" s="300">
        <f>BD36/Resources!$B$8</f>
        <v>68062.820512820515</v>
      </c>
      <c r="BF36" s="288">
        <f>SUM($B$4:B36,$F$4:F36)</f>
        <v>3006490</v>
      </c>
      <c r="BG36" s="288">
        <f>BF36/Resources!$B$9</f>
        <v>96983.548387096773</v>
      </c>
      <c r="BH36" s="288">
        <f>SUM($X$4:X36,$E$4:E36)</f>
        <v>980961.66666666663</v>
      </c>
      <c r="BI36" s="288">
        <f>BH36/Resources!$B$2</f>
        <v>40873.402777777774</v>
      </c>
      <c r="BJ36" s="288">
        <f>SUM($V$4:V36,$T$4:T36)</f>
        <v>277675</v>
      </c>
      <c r="BK36" s="288">
        <f>BJ36/Resources!$B$3</f>
        <v>10679.807692307691</v>
      </c>
      <c r="BL36" s="288">
        <f>SUM($W$4:W36, $M$4:M36)</f>
        <v>397675</v>
      </c>
      <c r="BM36" s="288">
        <f>BL36/Resources!$B$4</f>
        <v>14202.678571428571</v>
      </c>
      <c r="BN36" s="288">
        <f>SUM($P$4:P36,$Q$4:Q36)</f>
        <v>941529.99999999988</v>
      </c>
      <c r="BO36" s="297">
        <f>BN36/Resources!$B$5</f>
        <v>34871.481481481474</v>
      </c>
    </row>
    <row r="37" spans="1:67" ht="18">
      <c r="A37" s="34">
        <f t="shared" si="8"/>
        <v>42899</v>
      </c>
      <c r="B37" s="49">
        <f>SUMIFS(Collection!$J:$J, Collection!$A:$A, $A37, Collection!$B:$B, B$2)</f>
        <v>0</v>
      </c>
      <c r="C37" s="49">
        <f>SUMIFS(Collection!$J:$J, Collection!$A:$A, $A37, Collection!$B:$B, C$2)</f>
        <v>0</v>
      </c>
      <c r="D37" s="49">
        <f>SUMIFS(Collection!$J:$J, Collection!$A:$A, $A37, Collection!$B:$B, D$2)</f>
        <v>0</v>
      </c>
      <c r="E37" s="49">
        <f>SUMIFS(Collection!$J:$J, Collection!$A:$A, $A37, Collection!$B:$B, E$2)</f>
        <v>0</v>
      </c>
      <c r="F37" s="49">
        <f>SUMIFS(Collection!$J:$J, Collection!$A:$A, $A37, Collection!$B:$B, F$2)</f>
        <v>0</v>
      </c>
      <c r="G37" s="49">
        <f>SUMIFS(Collection!$J:$J, Collection!$A:$A, $A37, Collection!$B:$B, G$2)</f>
        <v>0</v>
      </c>
      <c r="H37" s="49">
        <f>SUMIFS(Collection!$J:$J, Collection!$A:$A, $A37, Collection!$B:$B, H$2)</f>
        <v>0</v>
      </c>
      <c r="I37" s="49">
        <f>SUMIFS(Collection!$J:$J, Collection!$A:$A, $A37, Collection!$B:$B, I$2)</f>
        <v>0</v>
      </c>
      <c r="J37" s="49">
        <f>SUMIFS(Collection!$J:$J, Collection!$A:$A, $A37, Collection!$B:$B, J$2)</f>
        <v>0</v>
      </c>
      <c r="K37" s="49">
        <f>SUMIFS(Collection!$J:$J, Collection!$A:$A, $A37, Collection!$B:$B, K$2)</f>
        <v>0</v>
      </c>
      <c r="L37" s="49">
        <f>SUMIFS(Collection!$J:$J, Collection!$A:$A, $A37, Collection!$B:$B, L$2)</f>
        <v>0</v>
      </c>
      <c r="M37" s="49">
        <f>SUMIFS(Collection!$J:$J, Collection!$A:$A, $A37, Collection!$B:$B, M$2)</f>
        <v>0</v>
      </c>
      <c r="N37" s="49">
        <f>SUMIFS(Collection!$J:$J, Collection!$A:$A, $A37, Collection!$B:$B, N$2)</f>
        <v>0</v>
      </c>
      <c r="O37" s="49">
        <f>SUMIFS(Collection!$J:$J, Collection!$A:$A, $A37, Collection!$B:$B, O$2)</f>
        <v>0</v>
      </c>
      <c r="P37" s="49">
        <f>SUMIFS(Collection!$J:$J, Collection!$A:$A, $A37, Collection!$B:$B, P$2)</f>
        <v>0</v>
      </c>
      <c r="Q37" s="49">
        <f>SUMIFS(Collection!$J:$J, Collection!$A:$A, $A37, Collection!$B:$B, Q$2)</f>
        <v>0</v>
      </c>
      <c r="R37" s="49">
        <f>SUMIFS(Collection!$J:$J, Collection!$A:$A, $A37, Collection!$B:$B, R$2)</f>
        <v>0</v>
      </c>
      <c r="S37" s="49">
        <f>SUMIFS(Collection!$J:$J, Collection!$A:$A, $A37, Collection!$B:$B, S$2)</f>
        <v>0</v>
      </c>
      <c r="T37" s="49">
        <f>SUMIFS(Collection!$J:$J, Collection!$A:$A, $A37, Collection!$B:$B, T$2)</f>
        <v>0</v>
      </c>
      <c r="U37" s="49">
        <f>SUMIFS(Collection!$J:$J, Collection!$A:$A, $A37, Collection!$B:$B, U$2)</f>
        <v>0</v>
      </c>
      <c r="V37" s="49">
        <f>SUMIFS(Collection!$J:$J, Collection!$A:$A, $A37, Collection!$B:$B, V$2)</f>
        <v>0</v>
      </c>
      <c r="W37" s="49">
        <f>SUMIFS(Collection!$J:$J, Collection!$A:$A, $A37, Collection!$B:$B, W$2)</f>
        <v>0</v>
      </c>
      <c r="X37" s="49">
        <f>SUMIFS(Collection!$J:$J, Collection!$A:$A, $A37, Collection!$B:$B, X$2)</f>
        <v>0</v>
      </c>
      <c r="Y37" s="49">
        <f>SUMIFS(Collection!$J:$J, Collection!$A:$A, $A37, Collection!$B:$B, Y$2)</f>
        <v>0</v>
      </c>
      <c r="Z37" s="49"/>
      <c r="AA37" s="49">
        <f t="shared" si="0"/>
        <v>0</v>
      </c>
      <c r="AB37" s="49">
        <f t="shared" si="1"/>
        <v>0</v>
      </c>
      <c r="AC37" s="49">
        <f t="shared" si="2"/>
        <v>0</v>
      </c>
      <c r="AD37" s="49">
        <f t="shared" si="3"/>
        <v>0</v>
      </c>
      <c r="AE37" s="49">
        <f t="shared" si="4"/>
        <v>0</v>
      </c>
      <c r="AF37" s="49">
        <f t="shared" si="5"/>
        <v>0</v>
      </c>
      <c r="AG37" s="49">
        <f t="shared" si="6"/>
        <v>0</v>
      </c>
      <c r="AH37" s="288">
        <f t="shared" si="7"/>
        <v>0</v>
      </c>
      <c r="AJ37" s="288">
        <f>SUM($S$4:S37)</f>
        <v>436519.4444444445</v>
      </c>
      <c r="AK37" s="288">
        <f>AJ37/Resources!$B$10</f>
        <v>36376.620370370372</v>
      </c>
      <c r="AL37" s="288">
        <f>SUM($Y$4:Y37)</f>
        <v>105066.66666666667</v>
      </c>
      <c r="AM37" s="295">
        <f>AL37/Resources!$B$11</f>
        <v>8755.5555555555566</v>
      </c>
      <c r="AN37" s="288">
        <f>SUM($L$4:L37)</f>
        <v>647596.66666666674</v>
      </c>
      <c r="AO37" s="288">
        <f>AN37/Resources!$B$12</f>
        <v>43173.111111111117</v>
      </c>
      <c r="AP37" s="288">
        <f>SUM($R$4:R37)</f>
        <v>671786.66666666663</v>
      </c>
      <c r="AQ37" s="288">
        <f>AP37/Resources!$B$13</f>
        <v>67178.666666666657</v>
      </c>
      <c r="AR37" s="288">
        <f>SUM($N$4:N37)</f>
        <v>370073.33333333337</v>
      </c>
      <c r="AS37" s="288">
        <f>AR37/Resources!$B$14</f>
        <v>3333.9939939939945</v>
      </c>
      <c r="AT37" s="288">
        <f>SUM($U$4:U37)</f>
        <v>400535</v>
      </c>
      <c r="AU37" s="288">
        <f>AT37/Resources!$B$15</f>
        <v>3965.6930693069307</v>
      </c>
      <c r="AV37" s="288">
        <f>SUM($J$4:J37)</f>
        <v>640356.66666666663</v>
      </c>
      <c r="AW37" s="288">
        <f>AV37/Resources!$B$16</f>
        <v>6534.2517006802718</v>
      </c>
      <c r="AX37" s="288">
        <f>SUM($O$4:O37)</f>
        <v>435241.66666666669</v>
      </c>
      <c r="AY37" s="288">
        <f>AX37/Resources!$B$17</f>
        <v>4145.1587301587306</v>
      </c>
      <c r="AZ37" s="288">
        <f>SUM($I$4:I37,$K$4:K37)</f>
        <v>1029110</v>
      </c>
      <c r="BA37" s="288">
        <f>AZ37/Resources!$B$6</f>
        <v>32159.6875</v>
      </c>
      <c r="BB37" s="288">
        <f>SUM($D$4:D37,$G$4:G37)</f>
        <v>1645533.3333333335</v>
      </c>
      <c r="BC37" s="288">
        <f>BB37/Resources!$B$7</f>
        <v>54851.111111111117</v>
      </c>
      <c r="BD37" s="288">
        <f>SUM($C$4:C37,$H$4:H37)</f>
        <v>1769633.3333333335</v>
      </c>
      <c r="BE37" s="300">
        <f>BD37/Resources!$B$8</f>
        <v>68062.820512820515</v>
      </c>
      <c r="BF37" s="288">
        <f>SUM($B$4:B37,$F$4:F37)</f>
        <v>3006490</v>
      </c>
      <c r="BG37" s="288">
        <f>BF37/Resources!$B$9</f>
        <v>96983.548387096773</v>
      </c>
      <c r="BH37" s="288">
        <f>SUM($X$4:X37,$E$4:E37)</f>
        <v>980961.66666666663</v>
      </c>
      <c r="BI37" s="288">
        <f>BH37/Resources!$B$2</f>
        <v>40873.402777777774</v>
      </c>
      <c r="BJ37" s="288">
        <f>SUM($V$4:V37,$T$4:T37)</f>
        <v>277675</v>
      </c>
      <c r="BK37" s="288">
        <f>BJ37/Resources!$B$3</f>
        <v>10679.807692307691</v>
      </c>
      <c r="BL37" s="288">
        <f>SUM($W$4:W37, $M$4:M37)</f>
        <v>397675</v>
      </c>
      <c r="BM37" s="288">
        <f>BL37/Resources!$B$4</f>
        <v>14202.678571428571</v>
      </c>
      <c r="BN37" s="288">
        <f>SUM($P$4:P37,$Q$4:Q37)</f>
        <v>941529.99999999988</v>
      </c>
      <c r="BO37" s="297">
        <f>BN37/Resources!$B$5</f>
        <v>34871.481481481474</v>
      </c>
    </row>
    <row r="38" spans="1:67" ht="18">
      <c r="A38" s="34">
        <f t="shared" si="8"/>
        <v>42900</v>
      </c>
      <c r="B38" s="49">
        <f>SUMIFS(Collection!$J:$J, Collection!$A:$A, $A38, Collection!$B:$B, B$2)</f>
        <v>0</v>
      </c>
      <c r="C38" s="49">
        <f>SUMIFS(Collection!$J:$J, Collection!$A:$A, $A38, Collection!$B:$B, C$2)</f>
        <v>377373.33333333337</v>
      </c>
      <c r="D38" s="49">
        <f>SUMIFS(Collection!$J:$J, Collection!$A:$A, $A38, Collection!$B:$B, D$2)</f>
        <v>0</v>
      </c>
      <c r="E38" s="49">
        <f>SUMIFS(Collection!$J:$J, Collection!$A:$A, $A38, Collection!$B:$B, E$2)</f>
        <v>0</v>
      </c>
      <c r="F38" s="49">
        <f>SUMIFS(Collection!$J:$J, Collection!$A:$A, $A38, Collection!$B:$B, F$2)</f>
        <v>68250</v>
      </c>
      <c r="G38" s="49">
        <f>SUMIFS(Collection!$J:$J, Collection!$A:$A, $A38, Collection!$B:$B, G$2)</f>
        <v>0</v>
      </c>
      <c r="H38" s="49">
        <f>SUMIFS(Collection!$J:$J, Collection!$A:$A, $A38, Collection!$B:$B, H$2)</f>
        <v>0</v>
      </c>
      <c r="I38" s="49">
        <f>SUMIFS(Collection!$J:$J, Collection!$A:$A, $A38, Collection!$B:$B, I$2)</f>
        <v>808800</v>
      </c>
      <c r="J38" s="49">
        <f>SUMIFS(Collection!$J:$J, Collection!$A:$A, $A38, Collection!$B:$B, J$2)</f>
        <v>0</v>
      </c>
      <c r="K38" s="49">
        <f>SUMIFS(Collection!$J:$J, Collection!$A:$A, $A38, Collection!$B:$B, K$2)</f>
        <v>0</v>
      </c>
      <c r="L38" s="49">
        <f>SUMIFS(Collection!$J:$J, Collection!$A:$A, $A38, Collection!$B:$B, L$2)</f>
        <v>0</v>
      </c>
      <c r="M38" s="49">
        <f>SUMIFS(Collection!$J:$J, Collection!$A:$A, $A38, Collection!$B:$B, M$2)</f>
        <v>0</v>
      </c>
      <c r="N38" s="49">
        <f>SUMIFS(Collection!$J:$J, Collection!$A:$A, $A38, Collection!$B:$B, N$2)</f>
        <v>0</v>
      </c>
      <c r="O38" s="49">
        <f>SUMIFS(Collection!$J:$J, Collection!$A:$A, $A38, Collection!$B:$B, O$2)</f>
        <v>0</v>
      </c>
      <c r="P38" s="49">
        <f>SUMIFS(Collection!$J:$J, Collection!$A:$A, $A38, Collection!$B:$B, P$2)</f>
        <v>0</v>
      </c>
      <c r="Q38" s="49">
        <f>SUMIFS(Collection!$J:$J, Collection!$A:$A, $A38, Collection!$B:$B, Q$2)</f>
        <v>115733.33333333333</v>
      </c>
      <c r="R38" s="49">
        <f>SUMIFS(Collection!$J:$J, Collection!$A:$A, $A38, Collection!$B:$B, R$2)</f>
        <v>0</v>
      </c>
      <c r="S38" s="49">
        <f>SUMIFS(Collection!$J:$J, Collection!$A:$A, $A38, Collection!$B:$B, S$2)</f>
        <v>0</v>
      </c>
      <c r="T38" s="49">
        <f>SUMIFS(Collection!$J:$J, Collection!$A:$A, $A38, Collection!$B:$B, T$2)</f>
        <v>0</v>
      </c>
      <c r="U38" s="49">
        <f>SUMIFS(Collection!$J:$J, Collection!$A:$A, $A38, Collection!$B:$B, U$2)</f>
        <v>0</v>
      </c>
      <c r="V38" s="49">
        <f>SUMIFS(Collection!$J:$J, Collection!$A:$A, $A38, Collection!$B:$B, V$2)</f>
        <v>0</v>
      </c>
      <c r="W38" s="49">
        <f>SUMIFS(Collection!$J:$J, Collection!$A:$A, $A38, Collection!$B:$B, W$2)</f>
        <v>0</v>
      </c>
      <c r="X38" s="49">
        <f>SUMIFS(Collection!$J:$J, Collection!$A:$A, $A38, Collection!$B:$B, X$2)</f>
        <v>0</v>
      </c>
      <c r="Y38" s="49">
        <f>SUMIFS(Collection!$J:$J, Collection!$A:$A, $A38, Collection!$B:$B, Y$2)</f>
        <v>0</v>
      </c>
      <c r="Z38" s="49"/>
      <c r="AA38" s="49">
        <f t="shared" si="0"/>
        <v>808800</v>
      </c>
      <c r="AB38" s="49">
        <f t="shared" si="1"/>
        <v>0</v>
      </c>
      <c r="AC38" s="49">
        <f t="shared" si="2"/>
        <v>377373.33333333337</v>
      </c>
      <c r="AD38" s="49">
        <f t="shared" si="3"/>
        <v>68250</v>
      </c>
      <c r="AE38" s="49">
        <f t="shared" si="4"/>
        <v>0</v>
      </c>
      <c r="AF38" s="49">
        <f t="shared" si="5"/>
        <v>0</v>
      </c>
      <c r="AG38" s="49">
        <f t="shared" si="6"/>
        <v>0</v>
      </c>
      <c r="AH38" s="288">
        <f t="shared" si="7"/>
        <v>115733.33333333333</v>
      </c>
      <c r="AJ38" s="288">
        <f>SUM($S$4:S38)</f>
        <v>436519.4444444445</v>
      </c>
      <c r="AK38" s="288">
        <f>AJ38/Resources!$B$10</f>
        <v>36376.620370370372</v>
      </c>
      <c r="AL38" s="288">
        <f>SUM($Y$4:Y38)</f>
        <v>105066.66666666667</v>
      </c>
      <c r="AM38" s="295">
        <f>AL38/Resources!$B$11</f>
        <v>8755.5555555555566</v>
      </c>
      <c r="AN38" s="288">
        <f>SUM($L$4:L38)</f>
        <v>647596.66666666674</v>
      </c>
      <c r="AO38" s="288">
        <f>AN38/Resources!$B$12</f>
        <v>43173.111111111117</v>
      </c>
      <c r="AP38" s="288">
        <f>SUM($R$4:R38)</f>
        <v>671786.66666666663</v>
      </c>
      <c r="AQ38" s="288">
        <f>AP38/Resources!$B$13</f>
        <v>67178.666666666657</v>
      </c>
      <c r="AR38" s="288">
        <f>SUM($N$4:N38)</f>
        <v>370073.33333333337</v>
      </c>
      <c r="AS38" s="288">
        <f>AR38/Resources!$B$14</f>
        <v>3333.9939939939945</v>
      </c>
      <c r="AT38" s="288">
        <f>SUM($U$4:U38)</f>
        <v>400535</v>
      </c>
      <c r="AU38" s="288">
        <f>AT38/Resources!$B$15</f>
        <v>3965.6930693069307</v>
      </c>
      <c r="AV38" s="288">
        <f>SUM($J$4:J38)</f>
        <v>640356.66666666663</v>
      </c>
      <c r="AW38" s="288">
        <f>AV38/Resources!$B$16</f>
        <v>6534.2517006802718</v>
      </c>
      <c r="AX38" s="288">
        <f>SUM($O$4:O38)</f>
        <v>435241.66666666669</v>
      </c>
      <c r="AY38" s="288">
        <f>AX38/Resources!$B$17</f>
        <v>4145.1587301587306</v>
      </c>
      <c r="AZ38" s="288">
        <f>SUM($I$4:I38,$K$4:K38)</f>
        <v>1837910.0000000002</v>
      </c>
      <c r="BA38" s="288">
        <f>AZ38/Resources!$B$6</f>
        <v>57434.687500000007</v>
      </c>
      <c r="BB38" s="288">
        <f>SUM($D$4:D38,$G$4:G38)</f>
        <v>1645533.3333333335</v>
      </c>
      <c r="BC38" s="288">
        <f>BB38/Resources!$B$7</f>
        <v>54851.111111111117</v>
      </c>
      <c r="BD38" s="288">
        <f>SUM($C$4:C38,$H$4:H38)</f>
        <v>2147006.666666667</v>
      </c>
      <c r="BE38" s="300">
        <f>BD38/Resources!$B$8</f>
        <v>82577.179487179499</v>
      </c>
      <c r="BF38" s="288">
        <f>SUM($B$4:B38,$F$4:F38)</f>
        <v>3074740</v>
      </c>
      <c r="BG38" s="288">
        <f>BF38/Resources!$B$9</f>
        <v>99185.161290322576</v>
      </c>
      <c r="BH38" s="288">
        <f>SUM($X$4:X38,$E$4:E38)</f>
        <v>980961.66666666663</v>
      </c>
      <c r="BI38" s="288">
        <f>BH38/Resources!$B$2</f>
        <v>40873.402777777774</v>
      </c>
      <c r="BJ38" s="288">
        <f>SUM($V$4:V38,$T$4:T38)</f>
        <v>277675</v>
      </c>
      <c r="BK38" s="288">
        <f>BJ38/Resources!$B$3</f>
        <v>10679.807692307691</v>
      </c>
      <c r="BL38" s="288">
        <f>SUM($W$4:W38, $M$4:M38)</f>
        <v>397675</v>
      </c>
      <c r="BM38" s="288">
        <f>BL38/Resources!$B$4</f>
        <v>14202.678571428571</v>
      </c>
      <c r="BN38" s="288">
        <f>SUM($P$4:P38,$Q$4:Q38)</f>
        <v>1057263.3333333333</v>
      </c>
      <c r="BO38" s="297">
        <f>BN38/Resources!$B$5</f>
        <v>39157.9012345679</v>
      </c>
    </row>
    <row r="39" spans="1:67" ht="18">
      <c r="A39" s="34">
        <f t="shared" si="8"/>
        <v>42901</v>
      </c>
      <c r="B39" s="49">
        <f>SUMIFS(Collection!$J:$J, Collection!$A:$A, $A39, Collection!$B:$B, B$2)</f>
        <v>0</v>
      </c>
      <c r="C39" s="49">
        <f>SUMIFS(Collection!$J:$J, Collection!$A:$A, $A39, Collection!$B:$B, C$2)</f>
        <v>128000</v>
      </c>
      <c r="D39" s="49">
        <f>SUMIFS(Collection!$J:$J, Collection!$A:$A, $A39, Collection!$B:$B, D$2)</f>
        <v>0</v>
      </c>
      <c r="E39" s="49">
        <f>SUMIFS(Collection!$J:$J, Collection!$A:$A, $A39, Collection!$B:$B, E$2)</f>
        <v>0</v>
      </c>
      <c r="F39" s="49">
        <f>SUMIFS(Collection!$J:$J, Collection!$A:$A, $A39, Collection!$B:$B, F$2)</f>
        <v>77866.666666666657</v>
      </c>
      <c r="G39" s="49">
        <f>SUMIFS(Collection!$J:$J, Collection!$A:$A, $A39, Collection!$B:$B, G$2)</f>
        <v>235200</v>
      </c>
      <c r="H39" s="49">
        <f>SUMIFS(Collection!$J:$J, Collection!$A:$A, $A39, Collection!$B:$B, H$2)</f>
        <v>0</v>
      </c>
      <c r="I39" s="49">
        <f>SUMIFS(Collection!$J:$J, Collection!$A:$A, $A39, Collection!$B:$B, I$2)</f>
        <v>121066.66666666667</v>
      </c>
      <c r="J39" s="49">
        <f>SUMIFS(Collection!$J:$J, Collection!$A:$A, $A39, Collection!$B:$B, J$2)</f>
        <v>0</v>
      </c>
      <c r="K39" s="49">
        <f>SUMIFS(Collection!$J:$J, Collection!$A:$A, $A39, Collection!$B:$B, K$2)</f>
        <v>0</v>
      </c>
      <c r="L39" s="49">
        <f>SUMIFS(Collection!$J:$J, Collection!$A:$A, $A39, Collection!$B:$B, L$2)</f>
        <v>0</v>
      </c>
      <c r="M39" s="49">
        <f>SUMIFS(Collection!$J:$J, Collection!$A:$A, $A39, Collection!$B:$B, M$2)</f>
        <v>0</v>
      </c>
      <c r="N39" s="49">
        <f>SUMIFS(Collection!$J:$J, Collection!$A:$A, $A39, Collection!$B:$B, N$2)</f>
        <v>0</v>
      </c>
      <c r="O39" s="49">
        <f>SUMIFS(Collection!$J:$J, Collection!$A:$A, $A39, Collection!$B:$B, O$2)</f>
        <v>18166.666666666668</v>
      </c>
      <c r="P39" s="49">
        <f>SUMIFS(Collection!$J:$J, Collection!$A:$A, $A39, Collection!$B:$B, P$2)</f>
        <v>0</v>
      </c>
      <c r="Q39" s="49">
        <f>SUMIFS(Collection!$J:$J, Collection!$A:$A, $A39, Collection!$B:$B, Q$2)</f>
        <v>58133.333333333336</v>
      </c>
      <c r="R39" s="49">
        <f>SUMIFS(Collection!$J:$J, Collection!$A:$A, $A39, Collection!$B:$B, R$2)</f>
        <v>0</v>
      </c>
      <c r="S39" s="49">
        <f>SUMIFS(Collection!$J:$J, Collection!$A:$A, $A39, Collection!$B:$B, S$2)</f>
        <v>483.33333333333337</v>
      </c>
      <c r="T39" s="49">
        <f>SUMIFS(Collection!$J:$J, Collection!$A:$A, $A39, Collection!$B:$B, T$2)</f>
        <v>0</v>
      </c>
      <c r="U39" s="49">
        <f>SUMIFS(Collection!$J:$J, Collection!$A:$A, $A39, Collection!$B:$B, U$2)</f>
        <v>0</v>
      </c>
      <c r="V39" s="49">
        <f>SUMIFS(Collection!$J:$J, Collection!$A:$A, $A39, Collection!$B:$B, V$2)</f>
        <v>0</v>
      </c>
      <c r="W39" s="49">
        <f>SUMIFS(Collection!$J:$J, Collection!$A:$A, $A39, Collection!$B:$B, W$2)</f>
        <v>0</v>
      </c>
      <c r="X39" s="49">
        <f>SUMIFS(Collection!$J:$J, Collection!$A:$A, $A39, Collection!$B:$B, X$2)</f>
        <v>0</v>
      </c>
      <c r="Y39" s="49">
        <f>SUMIFS(Collection!$J:$J, Collection!$A:$A, $A39, Collection!$B:$B, Y$2)</f>
        <v>0</v>
      </c>
      <c r="Z39" s="49"/>
      <c r="AA39" s="49">
        <f t="shared" si="0"/>
        <v>121066.66666666667</v>
      </c>
      <c r="AB39" s="49">
        <f t="shared" si="1"/>
        <v>235200</v>
      </c>
      <c r="AC39" s="49">
        <f t="shared" si="2"/>
        <v>128000</v>
      </c>
      <c r="AD39" s="49">
        <f t="shared" si="3"/>
        <v>77866.666666666657</v>
      </c>
      <c r="AE39" s="49">
        <f t="shared" si="4"/>
        <v>0</v>
      </c>
      <c r="AF39" s="49">
        <f t="shared" si="5"/>
        <v>0</v>
      </c>
      <c r="AG39" s="49">
        <f t="shared" si="6"/>
        <v>0</v>
      </c>
      <c r="AH39" s="288">
        <f t="shared" si="7"/>
        <v>58133.333333333336</v>
      </c>
      <c r="AJ39" s="288">
        <f>SUM($S$4:S39)</f>
        <v>437002.77777777781</v>
      </c>
      <c r="AK39" s="288">
        <f>AJ39/Resources!$B$10</f>
        <v>36416.898148148153</v>
      </c>
      <c r="AL39" s="288">
        <f>SUM($Y$4:Y39)</f>
        <v>105066.66666666667</v>
      </c>
      <c r="AM39" s="295">
        <f>AL39/Resources!$B$11</f>
        <v>8755.5555555555566</v>
      </c>
      <c r="AN39" s="288">
        <f>SUM($L$4:L39)</f>
        <v>647596.66666666674</v>
      </c>
      <c r="AO39" s="288">
        <f>AN39/Resources!$B$12</f>
        <v>43173.111111111117</v>
      </c>
      <c r="AP39" s="288">
        <f>SUM($R$4:R39)</f>
        <v>671786.66666666663</v>
      </c>
      <c r="AQ39" s="288">
        <f>AP39/Resources!$B$13</f>
        <v>67178.666666666657</v>
      </c>
      <c r="AR39" s="288">
        <f>SUM($N$4:N39)</f>
        <v>370073.33333333337</v>
      </c>
      <c r="AS39" s="288">
        <f>AR39/Resources!$B$14</f>
        <v>3333.9939939939945</v>
      </c>
      <c r="AT39" s="288">
        <f>SUM($U$4:U39)</f>
        <v>400535</v>
      </c>
      <c r="AU39" s="288">
        <f>AT39/Resources!$B$15</f>
        <v>3965.6930693069307</v>
      </c>
      <c r="AV39" s="288">
        <f>SUM($J$4:J39)</f>
        <v>640356.66666666663</v>
      </c>
      <c r="AW39" s="288">
        <f>AV39/Resources!$B$16</f>
        <v>6534.2517006802718</v>
      </c>
      <c r="AX39" s="288">
        <f>SUM($O$4:O39)</f>
        <v>453408.33333333337</v>
      </c>
      <c r="AY39" s="288">
        <f>AX39/Resources!$B$17</f>
        <v>4318.1746031746034</v>
      </c>
      <c r="AZ39" s="288">
        <f>SUM($I$4:I39,$K$4:K39)</f>
        <v>1958976.666666667</v>
      </c>
      <c r="BA39" s="288">
        <f>AZ39/Resources!$B$6</f>
        <v>61218.020833333343</v>
      </c>
      <c r="BB39" s="288">
        <f>SUM($D$4:D39,$G$4:G39)</f>
        <v>1880733.3333333335</v>
      </c>
      <c r="BC39" s="288">
        <f>BB39/Resources!$B$7</f>
        <v>62691.111111111117</v>
      </c>
      <c r="BD39" s="288">
        <f>SUM($C$4:C39,$H$4:H39)</f>
        <v>2275006.666666667</v>
      </c>
      <c r="BE39" s="300">
        <f>BD39/Resources!$B$8</f>
        <v>87500.256410256421</v>
      </c>
      <c r="BF39" s="288">
        <f>SUM($B$4:B39,$F$4:F39)</f>
        <v>3152606.6666666665</v>
      </c>
      <c r="BG39" s="288">
        <f>BF39/Resources!$B$9</f>
        <v>101696.98924731182</v>
      </c>
      <c r="BH39" s="288">
        <f>SUM($X$4:X39,$E$4:E39)</f>
        <v>980961.66666666663</v>
      </c>
      <c r="BI39" s="288">
        <f>BH39/Resources!$B$2</f>
        <v>40873.402777777774</v>
      </c>
      <c r="BJ39" s="288">
        <f>SUM($V$4:V39,$T$4:T39)</f>
        <v>277675</v>
      </c>
      <c r="BK39" s="288">
        <f>BJ39/Resources!$B$3</f>
        <v>10679.807692307691</v>
      </c>
      <c r="BL39" s="288">
        <f>SUM($W$4:W39, $M$4:M39)</f>
        <v>397675</v>
      </c>
      <c r="BM39" s="288">
        <f>BL39/Resources!$B$4</f>
        <v>14202.678571428571</v>
      </c>
      <c r="BN39" s="288">
        <f>SUM($P$4:P39,$Q$4:Q39)</f>
        <v>1115396.6666666665</v>
      </c>
      <c r="BO39" s="297">
        <f>BN39/Resources!$B$5</f>
        <v>41310.987654320983</v>
      </c>
    </row>
    <row r="40" spans="1:67" ht="18">
      <c r="A40" s="34">
        <f t="shared" si="8"/>
        <v>42902</v>
      </c>
      <c r="B40" s="49">
        <f>SUMIFS(Collection!$J:$J, Collection!$A:$A, $A40, Collection!$B:$B, B$2)</f>
        <v>0</v>
      </c>
      <c r="C40" s="49">
        <f>SUMIFS(Collection!$J:$J, Collection!$A:$A, $A40, Collection!$B:$B, C$2)</f>
        <v>0</v>
      </c>
      <c r="D40" s="49">
        <f>SUMIFS(Collection!$J:$J, Collection!$A:$A, $A40, Collection!$B:$B, D$2)</f>
        <v>0</v>
      </c>
      <c r="E40" s="49">
        <f>SUMIFS(Collection!$J:$J, Collection!$A:$A, $A40, Collection!$B:$B, E$2)</f>
        <v>0</v>
      </c>
      <c r="F40" s="49">
        <f>SUMIFS(Collection!$J:$J, Collection!$A:$A, $A40, Collection!$B:$B, F$2)</f>
        <v>0</v>
      </c>
      <c r="G40" s="49">
        <f>SUMIFS(Collection!$J:$J, Collection!$A:$A, $A40, Collection!$B:$B, G$2)</f>
        <v>0</v>
      </c>
      <c r="H40" s="49">
        <f>SUMIFS(Collection!$J:$J, Collection!$A:$A, $A40, Collection!$B:$B, H$2)</f>
        <v>0</v>
      </c>
      <c r="I40" s="49">
        <f>SUMIFS(Collection!$J:$J, Collection!$A:$A, $A40, Collection!$B:$B, I$2)</f>
        <v>0</v>
      </c>
      <c r="J40" s="49">
        <f>SUMIFS(Collection!$J:$J, Collection!$A:$A, $A40, Collection!$B:$B, J$2)</f>
        <v>0</v>
      </c>
      <c r="K40" s="49">
        <f>SUMIFS(Collection!$J:$J, Collection!$A:$A, $A40, Collection!$B:$B, K$2)</f>
        <v>0</v>
      </c>
      <c r="L40" s="49">
        <f>SUMIFS(Collection!$J:$J, Collection!$A:$A, $A40, Collection!$B:$B, L$2)</f>
        <v>0</v>
      </c>
      <c r="M40" s="49">
        <f>SUMIFS(Collection!$J:$J, Collection!$A:$A, $A40, Collection!$B:$B, M$2)</f>
        <v>0</v>
      </c>
      <c r="N40" s="49">
        <f>SUMIFS(Collection!$J:$J, Collection!$A:$A, $A40, Collection!$B:$B, N$2)</f>
        <v>0</v>
      </c>
      <c r="O40" s="49">
        <f>SUMIFS(Collection!$J:$J, Collection!$A:$A, $A40, Collection!$B:$B, O$2)</f>
        <v>0</v>
      </c>
      <c r="P40" s="49">
        <f>SUMIFS(Collection!$J:$J, Collection!$A:$A, $A40, Collection!$B:$B, P$2)</f>
        <v>0</v>
      </c>
      <c r="Q40" s="49">
        <f>SUMIFS(Collection!$J:$J, Collection!$A:$A, $A40, Collection!$B:$B, Q$2)</f>
        <v>0</v>
      </c>
      <c r="R40" s="49">
        <f>SUMIFS(Collection!$J:$J, Collection!$A:$A, $A40, Collection!$B:$B, R$2)</f>
        <v>0</v>
      </c>
      <c r="S40" s="49">
        <f>SUMIFS(Collection!$J:$J, Collection!$A:$A, $A40, Collection!$B:$B, S$2)</f>
        <v>0</v>
      </c>
      <c r="T40" s="49">
        <f>SUMIFS(Collection!$J:$J, Collection!$A:$A, $A40, Collection!$B:$B, T$2)</f>
        <v>0</v>
      </c>
      <c r="U40" s="49">
        <f>SUMIFS(Collection!$J:$J, Collection!$A:$A, $A40, Collection!$B:$B, U$2)</f>
        <v>0</v>
      </c>
      <c r="V40" s="49">
        <f>SUMIFS(Collection!$J:$J, Collection!$A:$A, $A40, Collection!$B:$B, V$2)</f>
        <v>0</v>
      </c>
      <c r="W40" s="49">
        <f>SUMIFS(Collection!$J:$J, Collection!$A:$A, $A40, Collection!$B:$B, W$2)</f>
        <v>0</v>
      </c>
      <c r="X40" s="49">
        <f>SUMIFS(Collection!$J:$J, Collection!$A:$A, $A40, Collection!$B:$B, X$2)</f>
        <v>0</v>
      </c>
      <c r="Y40" s="49">
        <f>SUMIFS(Collection!$J:$J, Collection!$A:$A, $A40, Collection!$B:$B, Y$2)</f>
        <v>0</v>
      </c>
      <c r="Z40" s="49"/>
      <c r="AA40" s="49">
        <f t="shared" si="0"/>
        <v>0</v>
      </c>
      <c r="AB40" s="49">
        <f t="shared" si="1"/>
        <v>0</v>
      </c>
      <c r="AC40" s="49">
        <f t="shared" si="2"/>
        <v>0</v>
      </c>
      <c r="AD40" s="49">
        <f t="shared" si="3"/>
        <v>0</v>
      </c>
      <c r="AE40" s="49">
        <f t="shared" si="4"/>
        <v>0</v>
      </c>
      <c r="AF40" s="49">
        <f t="shared" si="5"/>
        <v>0</v>
      </c>
      <c r="AG40" s="49">
        <f t="shared" si="6"/>
        <v>0</v>
      </c>
      <c r="AH40" s="288">
        <f t="shared" si="7"/>
        <v>0</v>
      </c>
      <c r="AJ40" s="288">
        <f>SUM($S$4:S40)</f>
        <v>437002.77777777781</v>
      </c>
      <c r="AK40" s="288">
        <f>AJ40/Resources!$B$10</f>
        <v>36416.898148148153</v>
      </c>
      <c r="AL40" s="288">
        <f>SUM($Y$4:Y40)</f>
        <v>105066.66666666667</v>
      </c>
      <c r="AM40" s="295">
        <f>AL40/Resources!$B$11</f>
        <v>8755.5555555555566</v>
      </c>
      <c r="AN40" s="288">
        <f>SUM($L$4:L40)</f>
        <v>647596.66666666674</v>
      </c>
      <c r="AO40" s="288">
        <f>AN40/Resources!$B$12</f>
        <v>43173.111111111117</v>
      </c>
      <c r="AP40" s="288">
        <f>SUM($R$4:R40)</f>
        <v>671786.66666666663</v>
      </c>
      <c r="AQ40" s="288">
        <f>AP40/Resources!$B$13</f>
        <v>67178.666666666657</v>
      </c>
      <c r="AR40" s="288">
        <f>SUM($N$4:N40)</f>
        <v>370073.33333333337</v>
      </c>
      <c r="AS40" s="288">
        <f>AR40/Resources!$B$14</f>
        <v>3333.9939939939945</v>
      </c>
      <c r="AT40" s="288">
        <f>SUM($U$4:U40)</f>
        <v>400535</v>
      </c>
      <c r="AU40" s="288">
        <f>AT40/Resources!$B$15</f>
        <v>3965.6930693069307</v>
      </c>
      <c r="AV40" s="288">
        <f>SUM($J$4:J40)</f>
        <v>640356.66666666663</v>
      </c>
      <c r="AW40" s="288">
        <f>AV40/Resources!$B$16</f>
        <v>6534.2517006802718</v>
      </c>
      <c r="AX40" s="288">
        <f>SUM($O$4:O40)</f>
        <v>453408.33333333337</v>
      </c>
      <c r="AY40" s="288">
        <f>AX40/Resources!$B$17</f>
        <v>4318.1746031746034</v>
      </c>
      <c r="AZ40" s="288">
        <f>SUM($I$4:I40,$K$4:K40)</f>
        <v>1958976.666666667</v>
      </c>
      <c r="BA40" s="288">
        <f>AZ40/Resources!$B$6</f>
        <v>61218.020833333343</v>
      </c>
      <c r="BB40" s="288">
        <f>SUM($D$4:D40,$G$4:G40)</f>
        <v>1880733.3333333335</v>
      </c>
      <c r="BC40" s="288">
        <f>BB40/Resources!$B$7</f>
        <v>62691.111111111117</v>
      </c>
      <c r="BD40" s="288">
        <f>SUM($C$4:C40,$H$4:H40)</f>
        <v>2275006.666666667</v>
      </c>
      <c r="BE40" s="300">
        <f>BD40/Resources!$B$8</f>
        <v>87500.256410256421</v>
      </c>
      <c r="BF40" s="288">
        <f>SUM($B$4:B40,$F$4:F40)</f>
        <v>3152606.6666666665</v>
      </c>
      <c r="BG40" s="288">
        <f>BF40/Resources!$B$9</f>
        <v>101696.98924731182</v>
      </c>
      <c r="BH40" s="288">
        <f>SUM($X$4:X40,$E$4:E40)</f>
        <v>980961.66666666663</v>
      </c>
      <c r="BI40" s="288">
        <f>BH40/Resources!$B$2</f>
        <v>40873.402777777774</v>
      </c>
      <c r="BJ40" s="288">
        <f>SUM($V$4:V40,$T$4:T40)</f>
        <v>277675</v>
      </c>
      <c r="BK40" s="288">
        <f>BJ40/Resources!$B$3</f>
        <v>10679.807692307691</v>
      </c>
      <c r="BL40" s="288">
        <f>SUM($W$4:W40, $M$4:M40)</f>
        <v>397675</v>
      </c>
      <c r="BM40" s="288">
        <f>BL40/Resources!$B$4</f>
        <v>14202.678571428571</v>
      </c>
      <c r="BN40" s="288">
        <f>SUM($P$4:P40,$Q$4:Q40)</f>
        <v>1115396.6666666665</v>
      </c>
      <c r="BO40" s="297">
        <f>BN40/Resources!$B$5</f>
        <v>41310.987654320983</v>
      </c>
    </row>
    <row r="41" spans="1:67" ht="18">
      <c r="A41" s="34">
        <f t="shared" si="8"/>
        <v>42903</v>
      </c>
      <c r="B41" s="49">
        <f>SUMIFS(Collection!$J:$J, Collection!$A:$A, $A41, Collection!$B:$B, B$2)</f>
        <v>0</v>
      </c>
      <c r="C41" s="49">
        <f>SUMIFS(Collection!$J:$J, Collection!$A:$A, $A41, Collection!$B:$B, C$2)</f>
        <v>1866.6666666666665</v>
      </c>
      <c r="D41" s="49">
        <f>SUMIFS(Collection!$J:$J, Collection!$A:$A, $A41, Collection!$B:$B, D$2)</f>
        <v>0</v>
      </c>
      <c r="E41" s="49">
        <f>SUMIFS(Collection!$J:$J, Collection!$A:$A, $A41, Collection!$B:$B, E$2)</f>
        <v>0</v>
      </c>
      <c r="F41" s="49">
        <f>SUMIFS(Collection!$J:$J, Collection!$A:$A, $A41, Collection!$B:$B, F$2)</f>
        <v>1166.6666666666667</v>
      </c>
      <c r="G41" s="49">
        <f>SUMIFS(Collection!$J:$J, Collection!$A:$A, $A41, Collection!$B:$B, G$2)</f>
        <v>104533.33333333333</v>
      </c>
      <c r="H41" s="49">
        <f>SUMIFS(Collection!$J:$J, Collection!$A:$A, $A41, Collection!$B:$B, H$2)</f>
        <v>0</v>
      </c>
      <c r="I41" s="49">
        <f>SUMIFS(Collection!$J:$J, Collection!$A:$A, $A41, Collection!$B:$B, I$2)</f>
        <v>1833.3333333333333</v>
      </c>
      <c r="J41" s="49">
        <f>SUMIFS(Collection!$J:$J, Collection!$A:$A, $A41, Collection!$B:$B, J$2)</f>
        <v>0</v>
      </c>
      <c r="K41" s="49">
        <f>SUMIFS(Collection!$J:$J, Collection!$A:$A, $A41, Collection!$B:$B, K$2)</f>
        <v>154666.66666666669</v>
      </c>
      <c r="L41" s="49">
        <f>SUMIFS(Collection!$J:$J, Collection!$A:$A, $A41, Collection!$B:$B, L$2)</f>
        <v>47466.666666666672</v>
      </c>
      <c r="M41" s="49">
        <f>SUMIFS(Collection!$J:$J, Collection!$A:$A, $A41, Collection!$B:$B, M$2)</f>
        <v>0</v>
      </c>
      <c r="N41" s="49">
        <f>SUMIFS(Collection!$J:$J, Collection!$A:$A, $A41, Collection!$B:$B, N$2)</f>
        <v>0</v>
      </c>
      <c r="O41" s="49">
        <f>SUMIFS(Collection!$J:$J, Collection!$A:$A, $A41, Collection!$B:$B, O$2)</f>
        <v>12800</v>
      </c>
      <c r="P41" s="49">
        <f>SUMIFS(Collection!$J:$J, Collection!$A:$A, $A41, Collection!$B:$B, P$2)</f>
        <v>0</v>
      </c>
      <c r="Q41" s="49">
        <f>SUMIFS(Collection!$J:$J, Collection!$A:$A, $A41, Collection!$B:$B, Q$2)</f>
        <v>666.66666666666663</v>
      </c>
      <c r="R41" s="49">
        <f>SUMIFS(Collection!$J:$J, Collection!$A:$A, $A41, Collection!$B:$B, R$2)</f>
        <v>0</v>
      </c>
      <c r="S41" s="49">
        <f>SUMIFS(Collection!$J:$J, Collection!$A:$A, $A41, Collection!$B:$B, S$2)</f>
        <v>356266.66666666663</v>
      </c>
      <c r="T41" s="49">
        <f>SUMIFS(Collection!$J:$J, Collection!$A:$A, $A41, Collection!$B:$B, T$2)</f>
        <v>0</v>
      </c>
      <c r="U41" s="49">
        <f>SUMIFS(Collection!$J:$J, Collection!$A:$A, $A41, Collection!$B:$B, U$2)</f>
        <v>0</v>
      </c>
      <c r="V41" s="49">
        <f>SUMIFS(Collection!$J:$J, Collection!$A:$A, $A41, Collection!$B:$B, V$2)</f>
        <v>0</v>
      </c>
      <c r="W41" s="49">
        <f>SUMIFS(Collection!$J:$J, Collection!$A:$A, $A41, Collection!$B:$B, W$2)</f>
        <v>0</v>
      </c>
      <c r="X41" s="49">
        <f>SUMIFS(Collection!$J:$J, Collection!$A:$A, $A41, Collection!$B:$B, X$2)</f>
        <v>0</v>
      </c>
      <c r="Y41" s="49">
        <f>SUMIFS(Collection!$J:$J, Collection!$A:$A, $A41, Collection!$B:$B, Y$2)</f>
        <v>0</v>
      </c>
      <c r="Z41" s="49"/>
      <c r="AA41" s="49">
        <f t="shared" si="0"/>
        <v>156500.00000000003</v>
      </c>
      <c r="AB41" s="49">
        <f t="shared" si="1"/>
        <v>104533.33333333333</v>
      </c>
      <c r="AC41" s="49">
        <f t="shared" si="2"/>
        <v>1866.6666666666665</v>
      </c>
      <c r="AD41" s="49">
        <f t="shared" si="3"/>
        <v>1166.6666666666667</v>
      </c>
      <c r="AE41" s="49">
        <f t="shared" si="4"/>
        <v>0</v>
      </c>
      <c r="AF41" s="49">
        <f t="shared" si="5"/>
        <v>0</v>
      </c>
      <c r="AG41" s="49">
        <f t="shared" si="6"/>
        <v>0</v>
      </c>
      <c r="AH41" s="288">
        <f t="shared" si="7"/>
        <v>666.66666666666663</v>
      </c>
      <c r="AJ41" s="288">
        <f>SUM($S$4:S41)</f>
        <v>793269.4444444445</v>
      </c>
      <c r="AK41" s="288">
        <f>AJ41/Resources!$B$10</f>
        <v>66105.787037037036</v>
      </c>
      <c r="AL41" s="288">
        <f>SUM($Y$4:Y41)</f>
        <v>105066.66666666667</v>
      </c>
      <c r="AM41" s="295">
        <f>AL41/Resources!$B$11</f>
        <v>8755.5555555555566</v>
      </c>
      <c r="AN41" s="288">
        <f>SUM($L$4:L41)</f>
        <v>695063.33333333337</v>
      </c>
      <c r="AO41" s="288">
        <f>AN41/Resources!$B$12</f>
        <v>46337.555555555555</v>
      </c>
      <c r="AP41" s="288">
        <f>SUM($R$4:R41)</f>
        <v>671786.66666666663</v>
      </c>
      <c r="AQ41" s="288">
        <f>AP41/Resources!$B$13</f>
        <v>67178.666666666657</v>
      </c>
      <c r="AR41" s="288">
        <f>SUM($N$4:N41)</f>
        <v>370073.33333333337</v>
      </c>
      <c r="AS41" s="288">
        <f>AR41/Resources!$B$14</f>
        <v>3333.9939939939945</v>
      </c>
      <c r="AT41" s="288">
        <f>SUM($U$4:U41)</f>
        <v>400535</v>
      </c>
      <c r="AU41" s="288">
        <f>AT41/Resources!$B$15</f>
        <v>3965.6930693069307</v>
      </c>
      <c r="AV41" s="288">
        <f>SUM($J$4:J41)</f>
        <v>640356.66666666663</v>
      </c>
      <c r="AW41" s="288">
        <f>AV41/Resources!$B$16</f>
        <v>6534.2517006802718</v>
      </c>
      <c r="AX41" s="288">
        <f>SUM($O$4:O41)</f>
        <v>466208.33333333337</v>
      </c>
      <c r="AY41" s="288">
        <f>AX41/Resources!$B$17</f>
        <v>4440.0793650793657</v>
      </c>
      <c r="AZ41" s="288">
        <f>SUM($I$4:I41,$K$4:K41)</f>
        <v>2115476.666666667</v>
      </c>
      <c r="BA41" s="288">
        <f>AZ41/Resources!$B$6</f>
        <v>66108.645833333343</v>
      </c>
      <c r="BB41" s="288">
        <f>SUM($D$4:D41,$G$4:G41)</f>
        <v>1985266.6666666667</v>
      </c>
      <c r="BC41" s="288">
        <f>BB41/Resources!$B$7</f>
        <v>66175.555555555562</v>
      </c>
      <c r="BD41" s="288">
        <f>SUM($C$4:C41,$H$4:H41)</f>
        <v>2276873.3333333335</v>
      </c>
      <c r="BE41" s="300">
        <f>BD41/Resources!$B$8</f>
        <v>87572.051282051281</v>
      </c>
      <c r="BF41" s="288">
        <f>SUM($B$4:B41,$F$4:F41)</f>
        <v>3153773.333333333</v>
      </c>
      <c r="BG41" s="288">
        <f>BF41/Resources!$B$9</f>
        <v>101734.62365591397</v>
      </c>
      <c r="BH41" s="288">
        <f>SUM($X$4:X41,$E$4:E41)</f>
        <v>980961.66666666663</v>
      </c>
      <c r="BI41" s="288">
        <f>BH41/Resources!$B$2</f>
        <v>40873.402777777774</v>
      </c>
      <c r="BJ41" s="288">
        <f>SUM($V$4:V41,$T$4:T41)</f>
        <v>277675</v>
      </c>
      <c r="BK41" s="288">
        <f>BJ41/Resources!$B$3</f>
        <v>10679.807692307691</v>
      </c>
      <c r="BL41" s="288">
        <f>SUM($W$4:W41, $M$4:M41)</f>
        <v>397675</v>
      </c>
      <c r="BM41" s="288">
        <f>BL41/Resources!$B$4</f>
        <v>14202.678571428571</v>
      </c>
      <c r="BN41" s="288">
        <f>SUM($P$4:P41,$Q$4:Q41)</f>
        <v>1116063.3333333333</v>
      </c>
      <c r="BO41" s="297">
        <f>BN41/Resources!$B$5</f>
        <v>41335.679012345674</v>
      </c>
    </row>
    <row r="42" spans="1:67" ht="18">
      <c r="A42" s="34">
        <f t="shared" si="8"/>
        <v>42904</v>
      </c>
      <c r="B42" s="49">
        <f>SUMIFS(Collection!$J:$J, Collection!$A:$A, $A42, Collection!$B:$B, B$2)</f>
        <v>0</v>
      </c>
      <c r="C42" s="49">
        <f>SUMIFS(Collection!$J:$J, Collection!$A:$A, $A42, Collection!$B:$B, C$2)</f>
        <v>0</v>
      </c>
      <c r="D42" s="49">
        <f>SUMIFS(Collection!$J:$J, Collection!$A:$A, $A42, Collection!$B:$B, D$2)</f>
        <v>0</v>
      </c>
      <c r="E42" s="49">
        <f>SUMIFS(Collection!$J:$J, Collection!$A:$A, $A42, Collection!$B:$B, E$2)</f>
        <v>0</v>
      </c>
      <c r="F42" s="49">
        <f>SUMIFS(Collection!$J:$J, Collection!$A:$A, $A42, Collection!$B:$B, F$2)</f>
        <v>0</v>
      </c>
      <c r="G42" s="49">
        <f>SUMIFS(Collection!$J:$J, Collection!$A:$A, $A42, Collection!$B:$B, G$2)</f>
        <v>0</v>
      </c>
      <c r="H42" s="49">
        <f>SUMIFS(Collection!$J:$J, Collection!$A:$A, $A42, Collection!$B:$B, H$2)</f>
        <v>0</v>
      </c>
      <c r="I42" s="49">
        <f>SUMIFS(Collection!$J:$J, Collection!$A:$A, $A42, Collection!$B:$B, I$2)</f>
        <v>0</v>
      </c>
      <c r="J42" s="49">
        <f>SUMIFS(Collection!$J:$J, Collection!$A:$A, $A42, Collection!$B:$B, J$2)</f>
        <v>0</v>
      </c>
      <c r="K42" s="49">
        <f>SUMIFS(Collection!$J:$J, Collection!$A:$A, $A42, Collection!$B:$B, K$2)</f>
        <v>0</v>
      </c>
      <c r="L42" s="49">
        <f>SUMIFS(Collection!$J:$J, Collection!$A:$A, $A42, Collection!$B:$B, L$2)</f>
        <v>0</v>
      </c>
      <c r="M42" s="49">
        <f>SUMIFS(Collection!$J:$J, Collection!$A:$A, $A42, Collection!$B:$B, M$2)</f>
        <v>0</v>
      </c>
      <c r="N42" s="49">
        <f>SUMIFS(Collection!$J:$J, Collection!$A:$A, $A42, Collection!$B:$B, N$2)</f>
        <v>0</v>
      </c>
      <c r="O42" s="49">
        <f>SUMIFS(Collection!$J:$J, Collection!$A:$A, $A42, Collection!$B:$B, O$2)</f>
        <v>0</v>
      </c>
      <c r="P42" s="49">
        <f>SUMIFS(Collection!$J:$J, Collection!$A:$A, $A42, Collection!$B:$B, P$2)</f>
        <v>0</v>
      </c>
      <c r="Q42" s="49">
        <f>SUMIFS(Collection!$J:$J, Collection!$A:$A, $A42, Collection!$B:$B, Q$2)</f>
        <v>0</v>
      </c>
      <c r="R42" s="49">
        <f>SUMIFS(Collection!$J:$J, Collection!$A:$A, $A42, Collection!$B:$B, R$2)</f>
        <v>0</v>
      </c>
      <c r="S42" s="49">
        <f>SUMIFS(Collection!$J:$J, Collection!$A:$A, $A42, Collection!$B:$B, S$2)</f>
        <v>0</v>
      </c>
      <c r="T42" s="49">
        <f>SUMIFS(Collection!$J:$J, Collection!$A:$A, $A42, Collection!$B:$B, T$2)</f>
        <v>0</v>
      </c>
      <c r="U42" s="49">
        <f>SUMIFS(Collection!$J:$J, Collection!$A:$A, $A42, Collection!$B:$B, U$2)</f>
        <v>0</v>
      </c>
      <c r="V42" s="49">
        <f>SUMIFS(Collection!$J:$J, Collection!$A:$A, $A42, Collection!$B:$B, V$2)</f>
        <v>0</v>
      </c>
      <c r="W42" s="49">
        <f>SUMIFS(Collection!$J:$J, Collection!$A:$A, $A42, Collection!$B:$B, W$2)</f>
        <v>0</v>
      </c>
      <c r="X42" s="49">
        <f>SUMIFS(Collection!$J:$J, Collection!$A:$A, $A42, Collection!$B:$B, X$2)</f>
        <v>0</v>
      </c>
      <c r="Y42" s="49">
        <f>SUMIFS(Collection!$J:$J, Collection!$A:$A, $A42, Collection!$B:$B, Y$2)</f>
        <v>0</v>
      </c>
      <c r="Z42" s="49"/>
      <c r="AA42" s="49">
        <f t="shared" si="0"/>
        <v>0</v>
      </c>
      <c r="AB42" s="49">
        <f t="shared" si="1"/>
        <v>0</v>
      </c>
      <c r="AC42" s="49">
        <f t="shared" si="2"/>
        <v>0</v>
      </c>
      <c r="AD42" s="49">
        <f t="shared" si="3"/>
        <v>0</v>
      </c>
      <c r="AE42" s="49">
        <f t="shared" si="4"/>
        <v>0</v>
      </c>
      <c r="AF42" s="49">
        <f t="shared" si="5"/>
        <v>0</v>
      </c>
      <c r="AG42" s="49">
        <f t="shared" si="6"/>
        <v>0</v>
      </c>
      <c r="AH42" s="288">
        <f t="shared" si="7"/>
        <v>0</v>
      </c>
      <c r="AJ42" s="288">
        <f>SUM($S$4:S42)</f>
        <v>793269.4444444445</v>
      </c>
      <c r="AK42" s="288">
        <f>AJ42/Resources!$B$10</f>
        <v>66105.787037037036</v>
      </c>
      <c r="AL42" s="288">
        <f>SUM($Y$4:Y42)</f>
        <v>105066.66666666667</v>
      </c>
      <c r="AM42" s="295">
        <f>AL42/Resources!$B$11</f>
        <v>8755.5555555555566</v>
      </c>
      <c r="AN42" s="288">
        <f>SUM($L$4:L42)</f>
        <v>695063.33333333337</v>
      </c>
      <c r="AO42" s="288">
        <f>AN42/Resources!$B$12</f>
        <v>46337.555555555555</v>
      </c>
      <c r="AP42" s="288">
        <f>SUM($R$4:R42)</f>
        <v>671786.66666666663</v>
      </c>
      <c r="AQ42" s="288">
        <f>AP42/Resources!$B$13</f>
        <v>67178.666666666657</v>
      </c>
      <c r="AR42" s="288">
        <f>SUM($N$4:N42)</f>
        <v>370073.33333333337</v>
      </c>
      <c r="AS42" s="288">
        <f>AR42/Resources!$B$14</f>
        <v>3333.9939939939945</v>
      </c>
      <c r="AT42" s="288">
        <f>SUM($U$4:U42)</f>
        <v>400535</v>
      </c>
      <c r="AU42" s="288">
        <f>AT42/Resources!$B$15</f>
        <v>3965.6930693069307</v>
      </c>
      <c r="AV42" s="288">
        <f>SUM($J$4:J42)</f>
        <v>640356.66666666663</v>
      </c>
      <c r="AW42" s="288">
        <f>AV42/Resources!$B$16</f>
        <v>6534.2517006802718</v>
      </c>
      <c r="AX42" s="288">
        <f>SUM($O$4:O42)</f>
        <v>466208.33333333337</v>
      </c>
      <c r="AY42" s="288">
        <f>AX42/Resources!$B$17</f>
        <v>4440.0793650793657</v>
      </c>
      <c r="AZ42" s="288">
        <f>SUM($I$4:I42,$K$4:K42)</f>
        <v>2115476.666666667</v>
      </c>
      <c r="BA42" s="288">
        <f>AZ42/Resources!$B$6</f>
        <v>66108.645833333343</v>
      </c>
      <c r="BB42" s="288">
        <f>SUM($D$4:D42,$G$4:G42)</f>
        <v>1985266.6666666667</v>
      </c>
      <c r="BC42" s="288">
        <f>BB42/Resources!$B$7</f>
        <v>66175.555555555562</v>
      </c>
      <c r="BD42" s="288">
        <f>SUM($C$4:C42,$H$4:H42)</f>
        <v>2276873.3333333335</v>
      </c>
      <c r="BE42" s="300">
        <f>BD42/Resources!$B$8</f>
        <v>87572.051282051281</v>
      </c>
      <c r="BF42" s="288">
        <f>SUM($B$4:B42,$F$4:F42)</f>
        <v>3153773.333333333</v>
      </c>
      <c r="BG42" s="288">
        <f>BF42/Resources!$B$9</f>
        <v>101734.62365591397</v>
      </c>
      <c r="BH42" s="288">
        <f>SUM($X$4:X42,$E$4:E42)</f>
        <v>980961.66666666663</v>
      </c>
      <c r="BI42" s="288">
        <f>BH42/Resources!$B$2</f>
        <v>40873.402777777774</v>
      </c>
      <c r="BJ42" s="288">
        <f>SUM($V$4:V42,$T$4:T42)</f>
        <v>277675</v>
      </c>
      <c r="BK42" s="288">
        <f>BJ42/Resources!$B$3</f>
        <v>10679.807692307691</v>
      </c>
      <c r="BL42" s="288">
        <f>SUM($W$4:W42, $M$4:M42)</f>
        <v>397675</v>
      </c>
      <c r="BM42" s="288">
        <f>BL42/Resources!$B$4</f>
        <v>14202.678571428571</v>
      </c>
      <c r="BN42" s="288">
        <f>SUM($P$4:P42,$Q$4:Q42)</f>
        <v>1116063.3333333333</v>
      </c>
      <c r="BO42" s="297">
        <f>BN42/Resources!$B$5</f>
        <v>41335.679012345674</v>
      </c>
    </row>
    <row r="43" spans="1:67" ht="18">
      <c r="A43" s="34">
        <f t="shared" si="8"/>
        <v>42905</v>
      </c>
      <c r="B43" s="49">
        <f>SUMIFS(Collection!$J:$J, Collection!$A:$A, $A43, Collection!$B:$B, B$2)</f>
        <v>0</v>
      </c>
      <c r="C43" s="49">
        <f>SUMIFS(Collection!$J:$J, Collection!$A:$A, $A43, Collection!$B:$B, C$2)</f>
        <v>0</v>
      </c>
      <c r="D43" s="49">
        <f>SUMIFS(Collection!$J:$J, Collection!$A:$A, $A43, Collection!$B:$B, D$2)</f>
        <v>163200</v>
      </c>
      <c r="E43" s="49">
        <f>SUMIFS(Collection!$J:$J, Collection!$A:$A, $A43, Collection!$B:$B, E$2)</f>
        <v>0</v>
      </c>
      <c r="F43" s="49">
        <f>SUMIFS(Collection!$J:$J, Collection!$A:$A, $A43, Collection!$B:$B, F$2)</f>
        <v>0</v>
      </c>
      <c r="G43" s="49">
        <f>SUMIFS(Collection!$J:$J, Collection!$A:$A, $A43, Collection!$B:$B, G$2)</f>
        <v>29920</v>
      </c>
      <c r="H43" s="49">
        <f>SUMIFS(Collection!$J:$J, Collection!$A:$A, $A43, Collection!$B:$B, H$2)</f>
        <v>0</v>
      </c>
      <c r="I43" s="49">
        <f>SUMIFS(Collection!$J:$J, Collection!$A:$A, $A43, Collection!$B:$B, I$2)</f>
        <v>0</v>
      </c>
      <c r="J43" s="49">
        <f>SUMIFS(Collection!$J:$J, Collection!$A:$A, $A43, Collection!$B:$B, J$2)</f>
        <v>13000</v>
      </c>
      <c r="K43" s="49">
        <f>SUMIFS(Collection!$J:$J, Collection!$A:$A, $A43, Collection!$B:$B, K$2)</f>
        <v>0</v>
      </c>
      <c r="L43" s="49">
        <f>SUMIFS(Collection!$J:$J, Collection!$A:$A, $A43, Collection!$B:$B, L$2)</f>
        <v>125</v>
      </c>
      <c r="M43" s="49">
        <f>SUMIFS(Collection!$J:$J, Collection!$A:$A, $A43, Collection!$B:$B, M$2)</f>
        <v>0</v>
      </c>
      <c r="N43" s="49">
        <f>SUMIFS(Collection!$J:$J, Collection!$A:$A, $A43, Collection!$B:$B, N$2)</f>
        <v>0</v>
      </c>
      <c r="O43" s="49">
        <f>SUMIFS(Collection!$J:$J, Collection!$A:$A, $A43, Collection!$B:$B, O$2)</f>
        <v>0</v>
      </c>
      <c r="P43" s="49">
        <f>SUMIFS(Collection!$J:$J, Collection!$A:$A, $A43, Collection!$B:$B, P$2)</f>
        <v>0</v>
      </c>
      <c r="Q43" s="49">
        <f>SUMIFS(Collection!$J:$J, Collection!$A:$A, $A43, Collection!$B:$B, Q$2)</f>
        <v>0</v>
      </c>
      <c r="R43" s="49">
        <f>SUMIFS(Collection!$J:$J, Collection!$A:$A, $A43, Collection!$B:$B, R$2)</f>
        <v>67666.666666666672</v>
      </c>
      <c r="S43" s="49">
        <f>SUMIFS(Collection!$J:$J, Collection!$A:$A, $A43, Collection!$B:$B, S$2)</f>
        <v>165000</v>
      </c>
      <c r="T43" s="49">
        <f>SUMIFS(Collection!$J:$J, Collection!$A:$A, $A43, Collection!$B:$B, T$2)</f>
        <v>0</v>
      </c>
      <c r="U43" s="49">
        <f>SUMIFS(Collection!$J:$J, Collection!$A:$A, $A43, Collection!$B:$B, U$2)</f>
        <v>51150</v>
      </c>
      <c r="V43" s="49">
        <f>SUMIFS(Collection!$J:$J, Collection!$A:$A, $A43, Collection!$B:$B, V$2)</f>
        <v>0</v>
      </c>
      <c r="W43" s="49">
        <f>SUMIFS(Collection!$J:$J, Collection!$A:$A, $A43, Collection!$B:$B, W$2)</f>
        <v>0</v>
      </c>
      <c r="X43" s="49">
        <f>SUMIFS(Collection!$J:$J, Collection!$A:$A, $A43, Collection!$B:$B, X$2)</f>
        <v>142000</v>
      </c>
      <c r="Y43" s="49">
        <f>SUMIFS(Collection!$J:$J, Collection!$A:$A, $A43, Collection!$B:$B, Y$2)</f>
        <v>0</v>
      </c>
      <c r="Z43" s="49"/>
      <c r="AA43" s="49">
        <f t="shared" si="0"/>
        <v>0</v>
      </c>
      <c r="AB43" s="49">
        <f t="shared" si="1"/>
        <v>193120</v>
      </c>
      <c r="AC43" s="49">
        <f t="shared" si="2"/>
        <v>0</v>
      </c>
      <c r="AD43" s="49">
        <f t="shared" si="3"/>
        <v>0</v>
      </c>
      <c r="AE43" s="49">
        <f t="shared" si="4"/>
        <v>142000</v>
      </c>
      <c r="AF43" s="49">
        <f t="shared" si="5"/>
        <v>0</v>
      </c>
      <c r="AG43" s="49">
        <f t="shared" si="6"/>
        <v>0</v>
      </c>
      <c r="AH43" s="288">
        <f t="shared" si="7"/>
        <v>0</v>
      </c>
      <c r="AJ43" s="288">
        <f>SUM($S$4:S43)</f>
        <v>958269.4444444445</v>
      </c>
      <c r="AK43" s="288">
        <f>AJ43/Resources!$B$10</f>
        <v>79855.787037037036</v>
      </c>
      <c r="AL43" s="288">
        <f>SUM($Y$4:Y43)</f>
        <v>105066.66666666667</v>
      </c>
      <c r="AM43" s="295">
        <f>AL43/Resources!$B$11</f>
        <v>8755.5555555555566</v>
      </c>
      <c r="AN43" s="288">
        <f>SUM($L$4:L43)</f>
        <v>695188.33333333337</v>
      </c>
      <c r="AO43" s="288">
        <f>AN43/Resources!$B$12</f>
        <v>46345.888888888891</v>
      </c>
      <c r="AP43" s="288">
        <f>SUM($R$4:R43)</f>
        <v>739453.33333333326</v>
      </c>
      <c r="AQ43" s="288">
        <f>AP43/Resources!$B$13</f>
        <v>73945.333333333328</v>
      </c>
      <c r="AR43" s="288">
        <f>SUM($N$4:N43)</f>
        <v>370073.33333333337</v>
      </c>
      <c r="AS43" s="288">
        <f>AR43/Resources!$B$14</f>
        <v>3333.9939939939945</v>
      </c>
      <c r="AT43" s="288">
        <f>SUM($U$4:U43)</f>
        <v>451685</v>
      </c>
      <c r="AU43" s="288">
        <f>AT43/Resources!$B$15</f>
        <v>4472.1287128712875</v>
      </c>
      <c r="AV43" s="288">
        <f>SUM($J$4:J43)</f>
        <v>653356.66666666663</v>
      </c>
      <c r="AW43" s="288">
        <f>AV43/Resources!$B$16</f>
        <v>6666.9047619047615</v>
      </c>
      <c r="AX43" s="288">
        <f>SUM($O$4:O43)</f>
        <v>466208.33333333337</v>
      </c>
      <c r="AY43" s="288">
        <f>AX43/Resources!$B$17</f>
        <v>4440.0793650793657</v>
      </c>
      <c r="AZ43" s="288">
        <f>SUM($I$4:I43,$K$4:K43)</f>
        <v>2115476.666666667</v>
      </c>
      <c r="BA43" s="288">
        <f>AZ43/Resources!$B$6</f>
        <v>66108.645833333343</v>
      </c>
      <c r="BB43" s="288">
        <f>SUM($D$4:D43,$G$4:G43)</f>
        <v>2178386.666666667</v>
      </c>
      <c r="BC43" s="288">
        <f>BB43/Resources!$B$7</f>
        <v>72612.888888888905</v>
      </c>
      <c r="BD43" s="288">
        <f>SUM($C$4:C43,$H$4:H43)</f>
        <v>2276873.3333333335</v>
      </c>
      <c r="BE43" s="300">
        <f>BD43/Resources!$B$8</f>
        <v>87572.051282051281</v>
      </c>
      <c r="BF43" s="288">
        <f>SUM($B$4:B43,$F$4:F43)</f>
        <v>3153773.333333333</v>
      </c>
      <c r="BG43" s="288">
        <f>BF43/Resources!$B$9</f>
        <v>101734.62365591397</v>
      </c>
      <c r="BH43" s="288">
        <f>SUM($X$4:X43,$E$4:E43)</f>
        <v>1122961.6666666667</v>
      </c>
      <c r="BI43" s="288">
        <f>BH43/Resources!$B$2</f>
        <v>46790.069444444445</v>
      </c>
      <c r="BJ43" s="288">
        <f>SUM($V$4:V43,$T$4:T43)</f>
        <v>277675</v>
      </c>
      <c r="BK43" s="288">
        <f>BJ43/Resources!$B$3</f>
        <v>10679.807692307691</v>
      </c>
      <c r="BL43" s="288">
        <f>SUM($W$4:W43, $M$4:M43)</f>
        <v>397675</v>
      </c>
      <c r="BM43" s="288">
        <f>BL43/Resources!$B$4</f>
        <v>14202.678571428571</v>
      </c>
      <c r="BN43" s="288">
        <f>SUM($P$4:P43,$Q$4:Q43)</f>
        <v>1116063.3333333333</v>
      </c>
      <c r="BO43" s="297">
        <f>BN43/Resources!$B$5</f>
        <v>41335.679012345674</v>
      </c>
    </row>
    <row r="44" spans="1:67" ht="18">
      <c r="A44" s="34">
        <f t="shared" si="8"/>
        <v>42906</v>
      </c>
      <c r="B44" s="49">
        <f>SUMIFS(Collection!$J:$J, Collection!$A:$A, $A44, Collection!$B:$B, B$2)</f>
        <v>0</v>
      </c>
      <c r="C44" s="49">
        <f>SUMIFS(Collection!$J:$J, Collection!$A:$A, $A44, Collection!$B:$B, C$2)</f>
        <v>0</v>
      </c>
      <c r="D44" s="49">
        <f>SUMIFS(Collection!$J:$J, Collection!$A:$A, $A44, Collection!$B:$B, D$2)</f>
        <v>0</v>
      </c>
      <c r="E44" s="49">
        <f>SUMIFS(Collection!$J:$J, Collection!$A:$A, $A44, Collection!$B:$B, E$2)</f>
        <v>0</v>
      </c>
      <c r="F44" s="49">
        <f>SUMIFS(Collection!$J:$J, Collection!$A:$A, $A44, Collection!$B:$B, F$2)</f>
        <v>0</v>
      </c>
      <c r="G44" s="49">
        <f>SUMIFS(Collection!$J:$J, Collection!$A:$A, $A44, Collection!$B:$B, G$2)</f>
        <v>0</v>
      </c>
      <c r="H44" s="49">
        <f>SUMIFS(Collection!$J:$J, Collection!$A:$A, $A44, Collection!$B:$B, H$2)</f>
        <v>0</v>
      </c>
      <c r="I44" s="49">
        <f>SUMIFS(Collection!$J:$J, Collection!$A:$A, $A44, Collection!$B:$B, I$2)</f>
        <v>0</v>
      </c>
      <c r="J44" s="49">
        <f>SUMIFS(Collection!$J:$J, Collection!$A:$A, $A44, Collection!$B:$B, J$2)</f>
        <v>0</v>
      </c>
      <c r="K44" s="49">
        <f>SUMIFS(Collection!$J:$J, Collection!$A:$A, $A44, Collection!$B:$B, K$2)</f>
        <v>0</v>
      </c>
      <c r="L44" s="49">
        <f>SUMIFS(Collection!$J:$J, Collection!$A:$A, $A44, Collection!$B:$B, L$2)</f>
        <v>0</v>
      </c>
      <c r="M44" s="49">
        <f>SUMIFS(Collection!$J:$J, Collection!$A:$A, $A44, Collection!$B:$B, M$2)</f>
        <v>0</v>
      </c>
      <c r="N44" s="49">
        <f>SUMIFS(Collection!$J:$J, Collection!$A:$A, $A44, Collection!$B:$B, N$2)</f>
        <v>0</v>
      </c>
      <c r="O44" s="49">
        <f>SUMIFS(Collection!$J:$J, Collection!$A:$A, $A44, Collection!$B:$B, O$2)</f>
        <v>0</v>
      </c>
      <c r="P44" s="49">
        <f>SUMIFS(Collection!$J:$J, Collection!$A:$A, $A44, Collection!$B:$B, P$2)</f>
        <v>0</v>
      </c>
      <c r="Q44" s="49">
        <f>SUMIFS(Collection!$J:$J, Collection!$A:$A, $A44, Collection!$B:$B, Q$2)</f>
        <v>0</v>
      </c>
      <c r="R44" s="49">
        <f>SUMIFS(Collection!$J:$J, Collection!$A:$A, $A44, Collection!$B:$B, R$2)</f>
        <v>0</v>
      </c>
      <c r="S44" s="49">
        <f>SUMIFS(Collection!$J:$J, Collection!$A:$A, $A44, Collection!$B:$B, S$2)</f>
        <v>0</v>
      </c>
      <c r="T44" s="49">
        <f>SUMIFS(Collection!$J:$J, Collection!$A:$A, $A44, Collection!$B:$B, T$2)</f>
        <v>0</v>
      </c>
      <c r="U44" s="49">
        <f>SUMIFS(Collection!$J:$J, Collection!$A:$A, $A44, Collection!$B:$B, U$2)</f>
        <v>65666.666666666672</v>
      </c>
      <c r="V44" s="49">
        <f>SUMIFS(Collection!$J:$J, Collection!$A:$A, $A44, Collection!$B:$B, V$2)</f>
        <v>0</v>
      </c>
      <c r="W44" s="49">
        <f>SUMIFS(Collection!$J:$J, Collection!$A:$A, $A44, Collection!$B:$B, W$2)</f>
        <v>0</v>
      </c>
      <c r="X44" s="49">
        <f>SUMIFS(Collection!$J:$J, Collection!$A:$A, $A44, Collection!$B:$B, X$2)</f>
        <v>0</v>
      </c>
      <c r="Y44" s="49">
        <f>SUMIFS(Collection!$J:$J, Collection!$A:$A, $A44, Collection!$B:$B, Y$2)</f>
        <v>0</v>
      </c>
      <c r="Z44" s="49"/>
      <c r="AA44" s="49">
        <f t="shared" si="0"/>
        <v>0</v>
      </c>
      <c r="AB44" s="49">
        <f t="shared" si="1"/>
        <v>0</v>
      </c>
      <c r="AC44" s="49">
        <f t="shared" si="2"/>
        <v>0</v>
      </c>
      <c r="AD44" s="49">
        <f t="shared" si="3"/>
        <v>0</v>
      </c>
      <c r="AE44" s="49">
        <f t="shared" si="4"/>
        <v>0</v>
      </c>
      <c r="AF44" s="49">
        <f t="shared" si="5"/>
        <v>0</v>
      </c>
      <c r="AG44" s="49">
        <f t="shared" si="6"/>
        <v>0</v>
      </c>
      <c r="AH44" s="288">
        <f t="shared" si="7"/>
        <v>0</v>
      </c>
      <c r="AJ44" s="288">
        <f>SUM($S$4:S44)</f>
        <v>958269.4444444445</v>
      </c>
      <c r="AK44" s="288">
        <f>AJ44/Resources!$B$10</f>
        <v>79855.787037037036</v>
      </c>
      <c r="AL44" s="288">
        <f>SUM($Y$4:Y44)</f>
        <v>105066.66666666667</v>
      </c>
      <c r="AM44" s="295">
        <f>AL44/Resources!$B$11</f>
        <v>8755.5555555555566</v>
      </c>
      <c r="AN44" s="288">
        <f>SUM($L$4:L44)</f>
        <v>695188.33333333337</v>
      </c>
      <c r="AO44" s="288">
        <f>AN44/Resources!$B$12</f>
        <v>46345.888888888891</v>
      </c>
      <c r="AP44" s="288">
        <f>SUM($R$4:R44)</f>
        <v>739453.33333333326</v>
      </c>
      <c r="AQ44" s="288">
        <f>AP44/Resources!$B$13</f>
        <v>73945.333333333328</v>
      </c>
      <c r="AR44" s="288">
        <f>SUM($N$4:N44)</f>
        <v>370073.33333333337</v>
      </c>
      <c r="AS44" s="288">
        <f>AR44/Resources!$B$14</f>
        <v>3333.9939939939945</v>
      </c>
      <c r="AT44" s="288">
        <f>SUM($U$4:U44)</f>
        <v>517351.66666666669</v>
      </c>
      <c r="AU44" s="288">
        <f>AT44/Resources!$B$15</f>
        <v>5122.2937293729374</v>
      </c>
      <c r="AV44" s="288">
        <f>SUM($J$4:J44)</f>
        <v>653356.66666666663</v>
      </c>
      <c r="AW44" s="288">
        <f>AV44/Resources!$B$16</f>
        <v>6666.9047619047615</v>
      </c>
      <c r="AX44" s="288">
        <f>SUM($O$4:O44)</f>
        <v>466208.33333333337</v>
      </c>
      <c r="AY44" s="288">
        <f>AX44/Resources!$B$17</f>
        <v>4440.0793650793657</v>
      </c>
      <c r="AZ44" s="288">
        <f>SUM($I$4:I44,$K$4:K44)</f>
        <v>2115476.666666667</v>
      </c>
      <c r="BA44" s="288">
        <f>AZ44/Resources!$B$6</f>
        <v>66108.645833333343</v>
      </c>
      <c r="BB44" s="288">
        <f>SUM($D$4:D44,$G$4:G44)</f>
        <v>2178386.666666667</v>
      </c>
      <c r="BC44" s="288">
        <f>BB44/Resources!$B$7</f>
        <v>72612.888888888905</v>
      </c>
      <c r="BD44" s="288">
        <f>SUM($C$4:C44,$H$4:H44)</f>
        <v>2276873.3333333335</v>
      </c>
      <c r="BE44" s="300">
        <f>BD44/Resources!$B$8</f>
        <v>87572.051282051281</v>
      </c>
      <c r="BF44" s="288">
        <f>SUM($B$4:B44,$F$4:F44)</f>
        <v>3153773.333333333</v>
      </c>
      <c r="BG44" s="288">
        <f>BF44/Resources!$B$9</f>
        <v>101734.62365591397</v>
      </c>
      <c r="BH44" s="288">
        <f>SUM($X$4:X44,$E$4:E44)</f>
        <v>1122961.6666666667</v>
      </c>
      <c r="BI44" s="288">
        <f>BH44/Resources!$B$2</f>
        <v>46790.069444444445</v>
      </c>
      <c r="BJ44" s="288">
        <f>SUM($V$4:V44,$T$4:T44)</f>
        <v>277675</v>
      </c>
      <c r="BK44" s="288">
        <f>BJ44/Resources!$B$3</f>
        <v>10679.807692307691</v>
      </c>
      <c r="BL44" s="288">
        <f>SUM($W$4:W44, $M$4:M44)</f>
        <v>397675</v>
      </c>
      <c r="BM44" s="288">
        <f>BL44/Resources!$B$4</f>
        <v>14202.678571428571</v>
      </c>
      <c r="BN44" s="288">
        <f>SUM($P$4:P44,$Q$4:Q44)</f>
        <v>1116063.3333333333</v>
      </c>
      <c r="BO44" s="297">
        <f>BN44/Resources!$B$5</f>
        <v>41335.679012345674</v>
      </c>
    </row>
    <row r="45" spans="1:67" ht="18">
      <c r="A45" s="34">
        <f t="shared" si="8"/>
        <v>42907</v>
      </c>
      <c r="B45" s="49">
        <f>SUMIFS(Collection!$J:$J, Collection!$A:$A, $A45, Collection!$B:$B, B$2)</f>
        <v>0</v>
      </c>
      <c r="C45" s="49">
        <f>SUMIFS(Collection!$J:$J, Collection!$A:$A, $A45, Collection!$B:$B, C$2)</f>
        <v>0</v>
      </c>
      <c r="D45" s="49">
        <f>SUMIFS(Collection!$J:$J, Collection!$A:$A, $A45, Collection!$B:$B, D$2)</f>
        <v>0</v>
      </c>
      <c r="E45" s="49">
        <f>SUMIFS(Collection!$J:$J, Collection!$A:$A, $A45, Collection!$B:$B, E$2)</f>
        <v>0</v>
      </c>
      <c r="F45" s="49">
        <f>SUMIFS(Collection!$J:$J, Collection!$A:$A, $A45, Collection!$B:$B, F$2)</f>
        <v>0</v>
      </c>
      <c r="G45" s="49">
        <f>SUMIFS(Collection!$J:$J, Collection!$A:$A, $A45, Collection!$B:$B, G$2)</f>
        <v>0</v>
      </c>
      <c r="H45" s="49">
        <f>SUMIFS(Collection!$J:$J, Collection!$A:$A, $A45, Collection!$B:$B, H$2)</f>
        <v>0</v>
      </c>
      <c r="I45" s="49">
        <f>SUMIFS(Collection!$J:$J, Collection!$A:$A, $A45, Collection!$B:$B, I$2)</f>
        <v>0</v>
      </c>
      <c r="J45" s="49">
        <f>SUMIFS(Collection!$J:$J, Collection!$A:$A, $A45, Collection!$B:$B, J$2)</f>
        <v>0</v>
      </c>
      <c r="K45" s="49">
        <f>SUMIFS(Collection!$J:$J, Collection!$A:$A, $A45, Collection!$B:$B, K$2)</f>
        <v>0</v>
      </c>
      <c r="L45" s="49">
        <f>SUMIFS(Collection!$J:$J, Collection!$A:$A, $A45, Collection!$B:$B, L$2)</f>
        <v>0</v>
      </c>
      <c r="M45" s="49">
        <f>SUMIFS(Collection!$J:$J, Collection!$A:$A, $A45, Collection!$B:$B, M$2)</f>
        <v>0</v>
      </c>
      <c r="N45" s="49">
        <f>SUMIFS(Collection!$J:$J, Collection!$A:$A, $A45, Collection!$B:$B, N$2)</f>
        <v>0</v>
      </c>
      <c r="O45" s="49">
        <f>SUMIFS(Collection!$J:$J, Collection!$A:$A, $A45, Collection!$B:$B, O$2)</f>
        <v>0</v>
      </c>
      <c r="P45" s="49">
        <f>SUMIFS(Collection!$J:$J, Collection!$A:$A, $A45, Collection!$B:$B, P$2)</f>
        <v>0</v>
      </c>
      <c r="Q45" s="49">
        <f>SUMIFS(Collection!$J:$J, Collection!$A:$A, $A45, Collection!$B:$B, Q$2)</f>
        <v>0</v>
      </c>
      <c r="R45" s="49">
        <f>SUMIFS(Collection!$J:$J, Collection!$A:$A, $A45, Collection!$B:$B, R$2)</f>
        <v>0</v>
      </c>
      <c r="S45" s="49">
        <f>SUMIFS(Collection!$J:$J, Collection!$A:$A, $A45, Collection!$B:$B, S$2)</f>
        <v>0</v>
      </c>
      <c r="T45" s="49">
        <f>SUMIFS(Collection!$J:$J, Collection!$A:$A, $A45, Collection!$B:$B, T$2)</f>
        <v>0</v>
      </c>
      <c r="U45" s="49">
        <f>SUMIFS(Collection!$J:$J, Collection!$A:$A, $A45, Collection!$B:$B, U$2)</f>
        <v>0</v>
      </c>
      <c r="V45" s="49">
        <f>SUMIFS(Collection!$J:$J, Collection!$A:$A, $A45, Collection!$B:$B, V$2)</f>
        <v>0</v>
      </c>
      <c r="W45" s="49">
        <f>SUMIFS(Collection!$J:$J, Collection!$A:$A, $A45, Collection!$B:$B, W$2)</f>
        <v>0</v>
      </c>
      <c r="X45" s="49">
        <f>SUMIFS(Collection!$J:$J, Collection!$A:$A, $A45, Collection!$B:$B, X$2)</f>
        <v>0</v>
      </c>
      <c r="Y45" s="49">
        <f>SUMIFS(Collection!$J:$J, Collection!$A:$A, $A45, Collection!$B:$B, Y$2)</f>
        <v>0</v>
      </c>
      <c r="Z45" s="49"/>
      <c r="AA45" s="49">
        <f t="shared" si="0"/>
        <v>0</v>
      </c>
      <c r="AB45" s="49">
        <f t="shared" si="1"/>
        <v>0</v>
      </c>
      <c r="AC45" s="49">
        <f t="shared" si="2"/>
        <v>0</v>
      </c>
      <c r="AD45" s="49">
        <f t="shared" si="3"/>
        <v>0</v>
      </c>
      <c r="AE45" s="49">
        <f t="shared" si="4"/>
        <v>0</v>
      </c>
      <c r="AF45" s="49">
        <f t="shared" si="5"/>
        <v>0</v>
      </c>
      <c r="AG45" s="49">
        <f t="shared" si="6"/>
        <v>0</v>
      </c>
      <c r="AH45" s="288">
        <f t="shared" si="7"/>
        <v>0</v>
      </c>
      <c r="AJ45" s="288">
        <f>SUM($S$4:S45)</f>
        <v>958269.4444444445</v>
      </c>
      <c r="AK45" s="288">
        <f>AJ45/Resources!$B$10</f>
        <v>79855.787037037036</v>
      </c>
      <c r="AL45" s="288">
        <f>SUM($Y$4:Y45)</f>
        <v>105066.66666666667</v>
      </c>
      <c r="AM45" s="295">
        <f>AL45/Resources!$B$11</f>
        <v>8755.5555555555566</v>
      </c>
      <c r="AN45" s="288">
        <f>SUM($L$4:L45)</f>
        <v>695188.33333333337</v>
      </c>
      <c r="AO45" s="288">
        <f>AN45/Resources!$B$12</f>
        <v>46345.888888888891</v>
      </c>
      <c r="AP45" s="288">
        <f>SUM($R$4:R45)</f>
        <v>739453.33333333326</v>
      </c>
      <c r="AQ45" s="288">
        <f>AP45/Resources!$B$13</f>
        <v>73945.333333333328</v>
      </c>
      <c r="AR45" s="288">
        <f>SUM($N$4:N45)</f>
        <v>370073.33333333337</v>
      </c>
      <c r="AS45" s="288">
        <f>AR45/Resources!$B$14</f>
        <v>3333.9939939939945</v>
      </c>
      <c r="AT45" s="288">
        <f>SUM($U$4:U45)</f>
        <v>517351.66666666669</v>
      </c>
      <c r="AU45" s="288">
        <f>AT45/Resources!$B$15</f>
        <v>5122.2937293729374</v>
      </c>
      <c r="AV45" s="288">
        <f>SUM($J$4:J45)</f>
        <v>653356.66666666663</v>
      </c>
      <c r="AW45" s="288">
        <f>AV45/Resources!$B$16</f>
        <v>6666.9047619047615</v>
      </c>
      <c r="AX45" s="288">
        <f>SUM($O$4:O45)</f>
        <v>466208.33333333337</v>
      </c>
      <c r="AY45" s="288">
        <f>AX45/Resources!$B$17</f>
        <v>4440.0793650793657</v>
      </c>
      <c r="AZ45" s="288">
        <f>SUM($I$4:I45,$K$4:K45)</f>
        <v>2115476.666666667</v>
      </c>
      <c r="BA45" s="288">
        <f>AZ45/Resources!$B$6</f>
        <v>66108.645833333343</v>
      </c>
      <c r="BB45" s="288">
        <f>SUM($D$4:D45,$G$4:G45)</f>
        <v>2178386.666666667</v>
      </c>
      <c r="BC45" s="288">
        <f>BB45/Resources!$B$7</f>
        <v>72612.888888888905</v>
      </c>
      <c r="BD45" s="288">
        <f>SUM($C$4:C45,$H$4:H45)</f>
        <v>2276873.3333333335</v>
      </c>
      <c r="BE45" s="300">
        <f>BD45/Resources!$B$8</f>
        <v>87572.051282051281</v>
      </c>
      <c r="BF45" s="288">
        <f>SUM($B$4:B45,$F$4:F45)</f>
        <v>3153773.333333333</v>
      </c>
      <c r="BG45" s="288">
        <f>BF45/Resources!$B$9</f>
        <v>101734.62365591397</v>
      </c>
      <c r="BH45" s="288">
        <f>SUM($X$4:X45,$E$4:E45)</f>
        <v>1122961.6666666667</v>
      </c>
      <c r="BI45" s="288">
        <f>BH45/Resources!$B$2</f>
        <v>46790.069444444445</v>
      </c>
      <c r="BJ45" s="288">
        <f>SUM($V$4:V45,$T$4:T45)</f>
        <v>277675</v>
      </c>
      <c r="BK45" s="288">
        <f>BJ45/Resources!$B$3</f>
        <v>10679.807692307691</v>
      </c>
      <c r="BL45" s="288">
        <f>SUM($W$4:W45, $M$4:M45)</f>
        <v>397675</v>
      </c>
      <c r="BM45" s="288">
        <f>BL45/Resources!$B$4</f>
        <v>14202.678571428571</v>
      </c>
      <c r="BN45" s="288">
        <f>SUM($P$4:P45,$Q$4:Q45)</f>
        <v>1116063.3333333333</v>
      </c>
      <c r="BO45" s="297">
        <f>BN45/Resources!$B$5</f>
        <v>41335.679012345674</v>
      </c>
    </row>
    <row r="46" spans="1:67" ht="18">
      <c r="A46" s="34">
        <f t="shared" si="8"/>
        <v>42908</v>
      </c>
      <c r="B46" s="49">
        <f>SUMIFS(Collection!$J:$J, Collection!$A:$A, $A46, Collection!$B:$B, B$2)</f>
        <v>0</v>
      </c>
      <c r="C46" s="49">
        <f>SUMIFS(Collection!$J:$J, Collection!$A:$A, $A46, Collection!$B:$B, C$2)</f>
        <v>866.66666666666663</v>
      </c>
      <c r="D46" s="49">
        <f>SUMIFS(Collection!$J:$J, Collection!$A:$A, $A46, Collection!$B:$B, D$2)</f>
        <v>0</v>
      </c>
      <c r="E46" s="49">
        <f>SUMIFS(Collection!$J:$J, Collection!$A:$A, $A46, Collection!$B:$B, E$2)</f>
        <v>0</v>
      </c>
      <c r="F46" s="49">
        <f>SUMIFS(Collection!$J:$J, Collection!$A:$A, $A46, Collection!$B:$B, F$2)</f>
        <v>0</v>
      </c>
      <c r="G46" s="49">
        <f>SUMIFS(Collection!$J:$J, Collection!$A:$A, $A46, Collection!$B:$B, G$2)</f>
        <v>0</v>
      </c>
      <c r="H46" s="49">
        <f>SUMIFS(Collection!$J:$J, Collection!$A:$A, $A46, Collection!$B:$B, H$2)</f>
        <v>0</v>
      </c>
      <c r="I46" s="49">
        <f>SUMIFS(Collection!$J:$J, Collection!$A:$A, $A46, Collection!$B:$B, I$2)</f>
        <v>0</v>
      </c>
      <c r="J46" s="49">
        <f>SUMIFS(Collection!$J:$J, Collection!$A:$A, $A46, Collection!$B:$B, J$2)</f>
        <v>0</v>
      </c>
      <c r="K46" s="49">
        <f>SUMIFS(Collection!$J:$J, Collection!$A:$A, $A46, Collection!$B:$B, K$2)</f>
        <v>0</v>
      </c>
      <c r="L46" s="49">
        <f>SUMIFS(Collection!$J:$J, Collection!$A:$A, $A46, Collection!$B:$B, L$2)</f>
        <v>0</v>
      </c>
      <c r="M46" s="49">
        <f>SUMIFS(Collection!$J:$J, Collection!$A:$A, $A46, Collection!$B:$B, M$2)</f>
        <v>0</v>
      </c>
      <c r="N46" s="49">
        <f>SUMIFS(Collection!$J:$J, Collection!$A:$A, $A46, Collection!$B:$B, N$2)</f>
        <v>0</v>
      </c>
      <c r="O46" s="49">
        <f>SUMIFS(Collection!$J:$J, Collection!$A:$A, $A46, Collection!$B:$B, O$2)</f>
        <v>0</v>
      </c>
      <c r="P46" s="49">
        <f>SUMIFS(Collection!$J:$J, Collection!$A:$A, $A46, Collection!$B:$B, P$2)</f>
        <v>0</v>
      </c>
      <c r="Q46" s="49">
        <f>SUMIFS(Collection!$J:$J, Collection!$A:$A, $A46, Collection!$B:$B, Q$2)</f>
        <v>0</v>
      </c>
      <c r="R46" s="49">
        <f>SUMIFS(Collection!$J:$J, Collection!$A:$A, $A46, Collection!$B:$B, R$2)</f>
        <v>1564.4444444444443</v>
      </c>
      <c r="S46" s="49">
        <f>SUMIFS(Collection!$J:$J, Collection!$A:$A, $A46, Collection!$B:$B, S$2)</f>
        <v>995.55555555555554</v>
      </c>
      <c r="T46" s="49">
        <f>SUMIFS(Collection!$J:$J, Collection!$A:$A, $A46, Collection!$B:$B, T$2)</f>
        <v>0</v>
      </c>
      <c r="U46" s="49">
        <f>SUMIFS(Collection!$J:$J, Collection!$A:$A, $A46, Collection!$B:$B, U$2)</f>
        <v>193.33333333333331</v>
      </c>
      <c r="V46" s="49">
        <f>SUMIFS(Collection!$J:$J, Collection!$A:$A, $A46, Collection!$B:$B, V$2)</f>
        <v>33.333333333333329</v>
      </c>
      <c r="W46" s="49">
        <f>SUMIFS(Collection!$J:$J, Collection!$A:$A, $A46, Collection!$B:$B, W$2)</f>
        <v>0</v>
      </c>
      <c r="X46" s="49">
        <f>SUMIFS(Collection!$J:$J, Collection!$A:$A, $A46, Collection!$B:$B, X$2)</f>
        <v>888.8888888888888</v>
      </c>
      <c r="Y46" s="49">
        <f>SUMIFS(Collection!$J:$J, Collection!$A:$A, $A46, Collection!$B:$B, Y$2)</f>
        <v>0</v>
      </c>
      <c r="Z46" s="49"/>
      <c r="AA46" s="49">
        <f t="shared" si="0"/>
        <v>0</v>
      </c>
      <c r="AB46" s="49">
        <f t="shared" si="1"/>
        <v>0</v>
      </c>
      <c r="AC46" s="49">
        <f t="shared" si="2"/>
        <v>866.66666666666663</v>
      </c>
      <c r="AD46" s="49">
        <f t="shared" si="3"/>
        <v>0</v>
      </c>
      <c r="AE46" s="49">
        <f t="shared" si="4"/>
        <v>888.8888888888888</v>
      </c>
      <c r="AF46" s="49">
        <f t="shared" si="5"/>
        <v>33.333333333333329</v>
      </c>
      <c r="AG46" s="49">
        <f t="shared" si="6"/>
        <v>0</v>
      </c>
      <c r="AH46" s="288">
        <f t="shared" si="7"/>
        <v>0</v>
      </c>
      <c r="AJ46" s="288">
        <f>SUM($S$4:S46)</f>
        <v>959265</v>
      </c>
      <c r="AK46" s="288">
        <f>AJ46/Resources!$B$10</f>
        <v>79938.75</v>
      </c>
      <c r="AL46" s="288">
        <f>SUM($Y$4:Y46)</f>
        <v>105066.66666666667</v>
      </c>
      <c r="AM46" s="295">
        <f>AL46/Resources!$B$11</f>
        <v>8755.5555555555566</v>
      </c>
      <c r="AN46" s="288">
        <f>SUM($L$4:L46)</f>
        <v>695188.33333333337</v>
      </c>
      <c r="AO46" s="288">
        <f>AN46/Resources!$B$12</f>
        <v>46345.888888888891</v>
      </c>
      <c r="AP46" s="288">
        <f>SUM($R$4:R46)</f>
        <v>741017.77777777775</v>
      </c>
      <c r="AQ46" s="288">
        <f>AP46/Resources!$B$13</f>
        <v>74101.777777777781</v>
      </c>
      <c r="AR46" s="288">
        <f>SUM($N$4:N46)</f>
        <v>370073.33333333337</v>
      </c>
      <c r="AS46" s="288">
        <f>AR46/Resources!$B$14</f>
        <v>3333.9939939939945</v>
      </c>
      <c r="AT46" s="288">
        <f>SUM($U$4:U46)</f>
        <v>517545</v>
      </c>
      <c r="AU46" s="288">
        <f>AT46/Resources!$B$15</f>
        <v>5124.2079207920788</v>
      </c>
      <c r="AV46" s="288">
        <f>SUM($J$4:J46)</f>
        <v>653356.66666666663</v>
      </c>
      <c r="AW46" s="288">
        <f>AV46/Resources!$B$16</f>
        <v>6666.9047619047615</v>
      </c>
      <c r="AX46" s="288">
        <f>SUM($O$4:O46)</f>
        <v>466208.33333333337</v>
      </c>
      <c r="AY46" s="288">
        <f>AX46/Resources!$B$17</f>
        <v>4440.0793650793657</v>
      </c>
      <c r="AZ46" s="288">
        <f>SUM($I$4:I46,$K$4:K46)</f>
        <v>2115476.666666667</v>
      </c>
      <c r="BA46" s="288">
        <f>AZ46/Resources!$B$6</f>
        <v>66108.645833333343</v>
      </c>
      <c r="BB46" s="288">
        <f>SUM($D$4:D46,$G$4:G46)</f>
        <v>2178386.666666667</v>
      </c>
      <c r="BC46" s="288">
        <f>BB46/Resources!$B$7</f>
        <v>72612.888888888905</v>
      </c>
      <c r="BD46" s="288">
        <f>SUM($C$4:C46,$H$4:H46)</f>
        <v>2277740</v>
      </c>
      <c r="BE46" s="300">
        <f>BD46/Resources!$B$8</f>
        <v>87605.38461538461</v>
      </c>
      <c r="BF46" s="288">
        <f>SUM($B$4:B46,$F$4:F46)</f>
        <v>3153773.333333333</v>
      </c>
      <c r="BG46" s="288">
        <f>BF46/Resources!$B$9</f>
        <v>101734.62365591397</v>
      </c>
      <c r="BH46" s="288">
        <f>SUM($X$4:X46,$E$4:E46)</f>
        <v>1123850.5555555557</v>
      </c>
      <c r="BI46" s="288">
        <f>BH46/Resources!$B$2</f>
        <v>46827.106481481489</v>
      </c>
      <c r="BJ46" s="288">
        <f>SUM($V$4:V46,$T$4:T46)</f>
        <v>277708.33333333331</v>
      </c>
      <c r="BK46" s="288">
        <f>BJ46/Resources!$B$3</f>
        <v>10681.089743589742</v>
      </c>
      <c r="BL46" s="288">
        <f>SUM($W$4:W46, $M$4:M46)</f>
        <v>397675</v>
      </c>
      <c r="BM46" s="288">
        <f>BL46/Resources!$B$4</f>
        <v>14202.678571428571</v>
      </c>
      <c r="BN46" s="288">
        <f>SUM($P$4:P46,$Q$4:Q46)</f>
        <v>1116063.3333333333</v>
      </c>
      <c r="BO46" s="297">
        <f>BN46/Resources!$B$5</f>
        <v>41335.679012345674</v>
      </c>
    </row>
    <row r="47" spans="1:67" ht="18">
      <c r="A47" s="34">
        <f t="shared" si="8"/>
        <v>42909</v>
      </c>
      <c r="B47" s="49">
        <f>SUMIFS(Collection!$J:$J, Collection!$A:$A, $A47, Collection!$B:$B, B$2)</f>
        <v>0</v>
      </c>
      <c r="C47" s="49">
        <f>SUMIFS(Collection!$J:$J, Collection!$A:$A, $A47, Collection!$B:$B, C$2)</f>
        <v>0</v>
      </c>
      <c r="D47" s="49">
        <f>SUMIFS(Collection!$J:$J, Collection!$A:$A, $A47, Collection!$B:$B, D$2)</f>
        <v>0</v>
      </c>
      <c r="E47" s="49">
        <f>SUMIFS(Collection!$J:$J, Collection!$A:$A, $A47, Collection!$B:$B, E$2)</f>
        <v>0</v>
      </c>
      <c r="F47" s="49">
        <f>SUMIFS(Collection!$J:$J, Collection!$A:$A, $A47, Collection!$B:$B, F$2)</f>
        <v>0</v>
      </c>
      <c r="G47" s="49">
        <f>SUMIFS(Collection!$J:$J, Collection!$A:$A, $A47, Collection!$B:$B, G$2)</f>
        <v>0</v>
      </c>
      <c r="H47" s="49">
        <f>SUMIFS(Collection!$J:$J, Collection!$A:$A, $A47, Collection!$B:$B, H$2)</f>
        <v>0</v>
      </c>
      <c r="I47" s="49">
        <f>SUMIFS(Collection!$J:$J, Collection!$A:$A, $A47, Collection!$B:$B, I$2)</f>
        <v>0</v>
      </c>
      <c r="J47" s="49">
        <f>SUMIFS(Collection!$J:$J, Collection!$A:$A, $A47, Collection!$B:$B, J$2)</f>
        <v>0</v>
      </c>
      <c r="K47" s="49">
        <f>SUMIFS(Collection!$J:$J, Collection!$A:$A, $A47, Collection!$B:$B, K$2)</f>
        <v>0</v>
      </c>
      <c r="L47" s="49">
        <f>SUMIFS(Collection!$J:$J, Collection!$A:$A, $A47, Collection!$B:$B, L$2)</f>
        <v>0</v>
      </c>
      <c r="M47" s="49">
        <f>SUMIFS(Collection!$J:$J, Collection!$A:$A, $A47, Collection!$B:$B, M$2)</f>
        <v>0</v>
      </c>
      <c r="N47" s="49">
        <f>SUMIFS(Collection!$J:$J, Collection!$A:$A, $A47, Collection!$B:$B, N$2)</f>
        <v>0</v>
      </c>
      <c r="O47" s="49">
        <f>SUMIFS(Collection!$J:$J, Collection!$A:$A, $A47, Collection!$B:$B, O$2)</f>
        <v>0</v>
      </c>
      <c r="P47" s="49">
        <f>SUMIFS(Collection!$J:$J, Collection!$A:$A, $A47, Collection!$B:$B, P$2)</f>
        <v>0</v>
      </c>
      <c r="Q47" s="49">
        <f>SUMIFS(Collection!$J:$J, Collection!$A:$A, $A47, Collection!$B:$B, Q$2)</f>
        <v>0</v>
      </c>
      <c r="R47" s="49">
        <f>SUMIFS(Collection!$J:$J, Collection!$A:$A, $A47, Collection!$B:$B, R$2)</f>
        <v>0</v>
      </c>
      <c r="S47" s="49">
        <f>SUMIFS(Collection!$J:$J, Collection!$A:$A, $A47, Collection!$B:$B, S$2)</f>
        <v>0</v>
      </c>
      <c r="T47" s="49">
        <f>SUMIFS(Collection!$J:$J, Collection!$A:$A, $A47, Collection!$B:$B, T$2)</f>
        <v>0</v>
      </c>
      <c r="U47" s="49">
        <f>SUMIFS(Collection!$J:$J, Collection!$A:$A, $A47, Collection!$B:$B, U$2)</f>
        <v>0</v>
      </c>
      <c r="V47" s="49">
        <f>SUMIFS(Collection!$J:$J, Collection!$A:$A, $A47, Collection!$B:$B, V$2)</f>
        <v>0</v>
      </c>
      <c r="W47" s="49">
        <f>SUMIFS(Collection!$J:$J, Collection!$A:$A, $A47, Collection!$B:$B, W$2)</f>
        <v>0</v>
      </c>
      <c r="X47" s="49">
        <f>SUMIFS(Collection!$J:$J, Collection!$A:$A, $A47, Collection!$B:$B, X$2)</f>
        <v>0</v>
      </c>
      <c r="Y47" s="49">
        <f>SUMIFS(Collection!$J:$J, Collection!$A:$A, $A47, Collection!$B:$B, Y$2)</f>
        <v>0</v>
      </c>
      <c r="Z47" s="49"/>
      <c r="AA47" s="49">
        <f t="shared" si="0"/>
        <v>0</v>
      </c>
      <c r="AB47" s="49">
        <f t="shared" si="1"/>
        <v>0</v>
      </c>
      <c r="AC47" s="49">
        <f t="shared" si="2"/>
        <v>0</v>
      </c>
      <c r="AD47" s="49">
        <f t="shared" si="3"/>
        <v>0</v>
      </c>
      <c r="AE47" s="49">
        <f t="shared" si="4"/>
        <v>0</v>
      </c>
      <c r="AF47" s="49">
        <f t="shared" si="5"/>
        <v>0</v>
      </c>
      <c r="AG47" s="49">
        <f t="shared" si="6"/>
        <v>0</v>
      </c>
      <c r="AH47" s="288">
        <f t="shared" si="7"/>
        <v>0</v>
      </c>
      <c r="AJ47" s="288">
        <f>SUM($S$4:S47)</f>
        <v>959265</v>
      </c>
      <c r="AK47" s="288">
        <f>AJ47/Resources!$B$10</f>
        <v>79938.75</v>
      </c>
      <c r="AL47" s="288">
        <f>SUM($Y$4:Y47)</f>
        <v>105066.66666666667</v>
      </c>
      <c r="AM47" s="295">
        <f>AL47/Resources!$B$11</f>
        <v>8755.5555555555566</v>
      </c>
      <c r="AN47" s="288">
        <f>SUM($L$4:L47)</f>
        <v>695188.33333333337</v>
      </c>
      <c r="AO47" s="288">
        <f>AN47/Resources!$B$12</f>
        <v>46345.888888888891</v>
      </c>
      <c r="AP47" s="288">
        <f>SUM($R$4:R47)</f>
        <v>741017.77777777775</v>
      </c>
      <c r="AQ47" s="288">
        <f>AP47/Resources!$B$13</f>
        <v>74101.777777777781</v>
      </c>
      <c r="AR47" s="288">
        <f>SUM($N$4:N47)</f>
        <v>370073.33333333337</v>
      </c>
      <c r="AS47" s="288">
        <f>AR47/Resources!$B$14</f>
        <v>3333.9939939939945</v>
      </c>
      <c r="AT47" s="288">
        <f>SUM($U$4:U47)</f>
        <v>517545</v>
      </c>
      <c r="AU47" s="288">
        <f>AT47/Resources!$B$15</f>
        <v>5124.2079207920788</v>
      </c>
      <c r="AV47" s="288">
        <f>SUM($J$4:J47)</f>
        <v>653356.66666666663</v>
      </c>
      <c r="AW47" s="288">
        <f>AV47/Resources!$B$16</f>
        <v>6666.9047619047615</v>
      </c>
      <c r="AX47" s="288">
        <f>SUM($O$4:O47)</f>
        <v>466208.33333333337</v>
      </c>
      <c r="AY47" s="288">
        <f>AX47/Resources!$B$17</f>
        <v>4440.0793650793657</v>
      </c>
      <c r="AZ47" s="288">
        <f>SUM($I$4:I47,$K$4:K47)</f>
        <v>2115476.666666667</v>
      </c>
      <c r="BA47" s="288">
        <f>AZ47/Resources!$B$6</f>
        <v>66108.645833333343</v>
      </c>
      <c r="BB47" s="288">
        <f>SUM($D$4:D47,$G$4:G47)</f>
        <v>2178386.666666667</v>
      </c>
      <c r="BC47" s="288">
        <f>BB47/Resources!$B$7</f>
        <v>72612.888888888905</v>
      </c>
      <c r="BD47" s="288">
        <f>SUM($C$4:C47,$H$4:H47)</f>
        <v>2277740</v>
      </c>
      <c r="BE47" s="300">
        <f>BD47/Resources!$B$8</f>
        <v>87605.38461538461</v>
      </c>
      <c r="BF47" s="288">
        <f>SUM($B$4:B47,$F$4:F47)</f>
        <v>3153773.333333333</v>
      </c>
      <c r="BG47" s="288">
        <f>BF47/Resources!$B$9</f>
        <v>101734.62365591397</v>
      </c>
      <c r="BH47" s="288">
        <f>SUM($X$4:X47,$E$4:E47)</f>
        <v>1123850.5555555557</v>
      </c>
      <c r="BI47" s="288">
        <f>BH47/Resources!$B$2</f>
        <v>46827.106481481489</v>
      </c>
      <c r="BJ47" s="288">
        <f>SUM($V$4:V47,$T$4:T47)</f>
        <v>277708.33333333331</v>
      </c>
      <c r="BK47" s="288">
        <f>BJ47/Resources!$B$3</f>
        <v>10681.089743589742</v>
      </c>
      <c r="BL47" s="288">
        <f>SUM($W$4:W47, $M$4:M47)</f>
        <v>397675</v>
      </c>
      <c r="BM47" s="288">
        <f>BL47/Resources!$B$4</f>
        <v>14202.678571428571</v>
      </c>
      <c r="BN47" s="288">
        <f>SUM($P$4:P47,$Q$4:Q47)</f>
        <v>1116063.3333333333</v>
      </c>
      <c r="BO47" s="297">
        <f>BN47/Resources!$B$5</f>
        <v>41335.679012345674</v>
      </c>
    </row>
    <row r="48" spans="1:67" ht="18">
      <c r="A48" s="34">
        <f t="shared" si="8"/>
        <v>42910</v>
      </c>
      <c r="B48" s="49">
        <f>SUMIFS(Collection!$J:$J, Collection!$A:$A, $A48, Collection!$B:$B, B$2)</f>
        <v>0</v>
      </c>
      <c r="C48" s="49">
        <f>SUMIFS(Collection!$J:$J, Collection!$A:$A, $A48, Collection!$B:$B, C$2)</f>
        <v>0</v>
      </c>
      <c r="D48" s="49">
        <f>SUMIFS(Collection!$J:$J, Collection!$A:$A, $A48, Collection!$B:$B, D$2)</f>
        <v>0</v>
      </c>
      <c r="E48" s="49">
        <f>SUMIFS(Collection!$J:$J, Collection!$A:$A, $A48, Collection!$B:$B, E$2)</f>
        <v>0</v>
      </c>
      <c r="F48" s="49">
        <f>SUMIFS(Collection!$J:$J, Collection!$A:$A, $A48, Collection!$B:$B, F$2)</f>
        <v>0</v>
      </c>
      <c r="G48" s="49">
        <f>SUMIFS(Collection!$J:$J, Collection!$A:$A, $A48, Collection!$B:$B, G$2)</f>
        <v>0</v>
      </c>
      <c r="H48" s="49">
        <f>SUMIFS(Collection!$J:$J, Collection!$A:$A, $A48, Collection!$B:$B, H$2)</f>
        <v>95466.666666666657</v>
      </c>
      <c r="I48" s="49">
        <f>SUMIFS(Collection!$J:$J, Collection!$A:$A, $A48, Collection!$B:$B, I$2)</f>
        <v>0</v>
      </c>
      <c r="J48" s="49">
        <f>SUMIFS(Collection!$J:$J, Collection!$A:$A, $A48, Collection!$B:$B, J$2)</f>
        <v>0</v>
      </c>
      <c r="K48" s="49">
        <f>SUMIFS(Collection!$J:$J, Collection!$A:$A, $A48, Collection!$B:$B, K$2)</f>
        <v>0</v>
      </c>
      <c r="L48" s="49">
        <f>SUMIFS(Collection!$J:$J, Collection!$A:$A, $A48, Collection!$B:$B, L$2)</f>
        <v>10000</v>
      </c>
      <c r="M48" s="49">
        <f>SUMIFS(Collection!$J:$J, Collection!$A:$A, $A48, Collection!$B:$B, M$2)</f>
        <v>0</v>
      </c>
      <c r="N48" s="49">
        <f>SUMIFS(Collection!$J:$J, Collection!$A:$A, $A48, Collection!$B:$B, N$2)</f>
        <v>0</v>
      </c>
      <c r="O48" s="49">
        <f>SUMIFS(Collection!$J:$J, Collection!$A:$A, $A48, Collection!$B:$B, O$2)</f>
        <v>0</v>
      </c>
      <c r="P48" s="49">
        <f>SUMIFS(Collection!$J:$J, Collection!$A:$A, $A48, Collection!$B:$B, P$2)</f>
        <v>0</v>
      </c>
      <c r="Q48" s="49">
        <f>SUMIFS(Collection!$J:$J, Collection!$A:$A, $A48, Collection!$B:$B, Q$2)</f>
        <v>0</v>
      </c>
      <c r="R48" s="49">
        <f>SUMIFS(Collection!$J:$J, Collection!$A:$A, $A48, Collection!$B:$B, R$2)</f>
        <v>0</v>
      </c>
      <c r="S48" s="49">
        <f>SUMIFS(Collection!$J:$J, Collection!$A:$A, $A48, Collection!$B:$B, S$2)</f>
        <v>0</v>
      </c>
      <c r="T48" s="49">
        <f>SUMIFS(Collection!$J:$J, Collection!$A:$A, $A48, Collection!$B:$B, T$2)</f>
        <v>0</v>
      </c>
      <c r="U48" s="49">
        <f>SUMIFS(Collection!$J:$J, Collection!$A:$A, $A48, Collection!$B:$B, U$2)</f>
        <v>0</v>
      </c>
      <c r="V48" s="49">
        <f>SUMIFS(Collection!$J:$J, Collection!$A:$A, $A48, Collection!$B:$B, V$2)</f>
        <v>0</v>
      </c>
      <c r="W48" s="49">
        <f>SUMIFS(Collection!$J:$J, Collection!$A:$A, $A48, Collection!$B:$B, W$2)</f>
        <v>0</v>
      </c>
      <c r="X48" s="49">
        <f>SUMIFS(Collection!$J:$J, Collection!$A:$A, $A48, Collection!$B:$B, X$2)</f>
        <v>0</v>
      </c>
      <c r="Y48" s="49">
        <f>SUMIFS(Collection!$J:$J, Collection!$A:$A, $A48, Collection!$B:$B, Y$2)</f>
        <v>0</v>
      </c>
      <c r="Z48" s="49"/>
      <c r="AA48" s="49">
        <f t="shared" si="0"/>
        <v>0</v>
      </c>
      <c r="AB48" s="49">
        <f t="shared" si="1"/>
        <v>0</v>
      </c>
      <c r="AC48" s="49">
        <f t="shared" si="2"/>
        <v>95466.666666666657</v>
      </c>
      <c r="AD48" s="49">
        <f t="shared" si="3"/>
        <v>0</v>
      </c>
      <c r="AE48" s="49">
        <f t="shared" si="4"/>
        <v>0</v>
      </c>
      <c r="AF48" s="49">
        <f t="shared" si="5"/>
        <v>0</v>
      </c>
      <c r="AG48" s="49">
        <f t="shared" si="6"/>
        <v>0</v>
      </c>
      <c r="AH48" s="288">
        <f t="shared" si="7"/>
        <v>0</v>
      </c>
      <c r="AJ48" s="288">
        <f>SUM($S$4:S48)</f>
        <v>959265</v>
      </c>
      <c r="AK48" s="288">
        <f>AJ48/Resources!$B$10</f>
        <v>79938.75</v>
      </c>
      <c r="AL48" s="288">
        <f>SUM($Y$4:Y48)</f>
        <v>105066.66666666667</v>
      </c>
      <c r="AM48" s="295">
        <f>AL48/Resources!$B$11</f>
        <v>8755.5555555555566</v>
      </c>
      <c r="AN48" s="288">
        <f>SUM($L$4:L48)</f>
        <v>705188.33333333337</v>
      </c>
      <c r="AO48" s="288">
        <f>AN48/Resources!$B$12</f>
        <v>47012.555555555555</v>
      </c>
      <c r="AP48" s="288">
        <f>SUM($R$4:R48)</f>
        <v>741017.77777777775</v>
      </c>
      <c r="AQ48" s="288">
        <f>AP48/Resources!$B$13</f>
        <v>74101.777777777781</v>
      </c>
      <c r="AR48" s="288">
        <f>SUM($N$4:N48)</f>
        <v>370073.33333333337</v>
      </c>
      <c r="AS48" s="288">
        <f>AR48/Resources!$B$14</f>
        <v>3333.9939939939945</v>
      </c>
      <c r="AT48" s="288">
        <f>SUM($U$4:U48)</f>
        <v>517545</v>
      </c>
      <c r="AU48" s="288">
        <f>AT48/Resources!$B$15</f>
        <v>5124.2079207920788</v>
      </c>
      <c r="AV48" s="288">
        <f>SUM($J$4:J48)</f>
        <v>653356.66666666663</v>
      </c>
      <c r="AW48" s="288">
        <f>AV48/Resources!$B$16</f>
        <v>6666.9047619047615</v>
      </c>
      <c r="AX48" s="288">
        <f>SUM($O$4:O48)</f>
        <v>466208.33333333337</v>
      </c>
      <c r="AY48" s="288">
        <f>AX48/Resources!$B$17</f>
        <v>4440.0793650793657</v>
      </c>
      <c r="AZ48" s="288">
        <f>SUM($I$4:I48,$K$4:K48)</f>
        <v>2115476.666666667</v>
      </c>
      <c r="BA48" s="288">
        <f>AZ48/Resources!$B$6</f>
        <v>66108.645833333343</v>
      </c>
      <c r="BB48" s="288">
        <f>SUM($D$4:D48,$G$4:G48)</f>
        <v>2178386.666666667</v>
      </c>
      <c r="BC48" s="288">
        <f>BB48/Resources!$B$7</f>
        <v>72612.888888888905</v>
      </c>
      <c r="BD48" s="288">
        <f>SUM($C$4:C48,$H$4:H48)</f>
        <v>2373206.6666666665</v>
      </c>
      <c r="BE48" s="300">
        <f>BD48/Resources!$B$8</f>
        <v>91277.179487179485</v>
      </c>
      <c r="BF48" s="288">
        <f>SUM($B$4:B48,$F$4:F48)</f>
        <v>3153773.333333333</v>
      </c>
      <c r="BG48" s="288">
        <f>BF48/Resources!$B$9</f>
        <v>101734.62365591397</v>
      </c>
      <c r="BH48" s="288">
        <f>SUM($X$4:X48,$E$4:E48)</f>
        <v>1123850.5555555557</v>
      </c>
      <c r="BI48" s="288">
        <f>BH48/Resources!$B$2</f>
        <v>46827.106481481489</v>
      </c>
      <c r="BJ48" s="288">
        <f>SUM($V$4:V48,$T$4:T48)</f>
        <v>277708.33333333331</v>
      </c>
      <c r="BK48" s="288">
        <f>BJ48/Resources!$B$3</f>
        <v>10681.089743589742</v>
      </c>
      <c r="BL48" s="288">
        <f>SUM($W$4:W48, $M$4:M48)</f>
        <v>397675</v>
      </c>
      <c r="BM48" s="288">
        <f>BL48/Resources!$B$4</f>
        <v>14202.678571428571</v>
      </c>
      <c r="BN48" s="288">
        <f>SUM($P$4:P48,$Q$4:Q48)</f>
        <v>1116063.3333333333</v>
      </c>
      <c r="BO48" s="297">
        <f>BN48/Resources!$B$5</f>
        <v>41335.679012345674</v>
      </c>
    </row>
    <row r="49" spans="1:67" ht="18">
      <c r="A49" s="34">
        <f t="shared" si="8"/>
        <v>42911</v>
      </c>
      <c r="B49" s="49">
        <f>SUMIFS(Collection!$J:$J, Collection!$A:$A, $A49, Collection!$B:$B, B$2)</f>
        <v>0</v>
      </c>
      <c r="C49" s="49">
        <f>SUMIFS(Collection!$J:$J, Collection!$A:$A, $A49, Collection!$B:$B, C$2)</f>
        <v>0</v>
      </c>
      <c r="D49" s="49">
        <f>SUMIFS(Collection!$J:$J, Collection!$A:$A, $A49, Collection!$B:$B, D$2)</f>
        <v>0</v>
      </c>
      <c r="E49" s="49">
        <f>SUMIFS(Collection!$J:$J, Collection!$A:$A, $A49, Collection!$B:$B, E$2)</f>
        <v>0</v>
      </c>
      <c r="F49" s="49">
        <f>SUMIFS(Collection!$J:$J, Collection!$A:$A, $A49, Collection!$B:$B, F$2)</f>
        <v>0</v>
      </c>
      <c r="G49" s="49">
        <f>SUMIFS(Collection!$J:$J, Collection!$A:$A, $A49, Collection!$B:$B, G$2)</f>
        <v>0</v>
      </c>
      <c r="H49" s="49">
        <f>SUMIFS(Collection!$J:$J, Collection!$A:$A, $A49, Collection!$B:$B, H$2)</f>
        <v>0</v>
      </c>
      <c r="I49" s="49">
        <f>SUMIFS(Collection!$J:$J, Collection!$A:$A, $A49, Collection!$B:$B, I$2)</f>
        <v>0</v>
      </c>
      <c r="J49" s="49">
        <f>SUMIFS(Collection!$J:$J, Collection!$A:$A, $A49, Collection!$B:$B, J$2)</f>
        <v>0</v>
      </c>
      <c r="K49" s="49">
        <f>SUMIFS(Collection!$J:$J, Collection!$A:$A, $A49, Collection!$B:$B, K$2)</f>
        <v>0</v>
      </c>
      <c r="L49" s="49">
        <f>SUMIFS(Collection!$J:$J, Collection!$A:$A, $A49, Collection!$B:$B, L$2)</f>
        <v>0</v>
      </c>
      <c r="M49" s="49">
        <f>SUMIFS(Collection!$J:$J, Collection!$A:$A, $A49, Collection!$B:$B, M$2)</f>
        <v>0</v>
      </c>
      <c r="N49" s="49">
        <f>SUMIFS(Collection!$J:$J, Collection!$A:$A, $A49, Collection!$B:$B, N$2)</f>
        <v>0</v>
      </c>
      <c r="O49" s="49">
        <f>SUMIFS(Collection!$J:$J, Collection!$A:$A, $A49, Collection!$B:$B, O$2)</f>
        <v>0</v>
      </c>
      <c r="P49" s="49">
        <f>SUMIFS(Collection!$J:$J, Collection!$A:$A, $A49, Collection!$B:$B, P$2)</f>
        <v>0</v>
      </c>
      <c r="Q49" s="49">
        <f>SUMIFS(Collection!$J:$J, Collection!$A:$A, $A49, Collection!$B:$B, Q$2)</f>
        <v>0</v>
      </c>
      <c r="R49" s="49">
        <f>SUMIFS(Collection!$J:$J, Collection!$A:$A, $A49, Collection!$B:$B, R$2)</f>
        <v>0</v>
      </c>
      <c r="S49" s="49">
        <f>SUMIFS(Collection!$J:$J, Collection!$A:$A, $A49, Collection!$B:$B, S$2)</f>
        <v>0</v>
      </c>
      <c r="T49" s="49">
        <f>SUMIFS(Collection!$J:$J, Collection!$A:$A, $A49, Collection!$B:$B, T$2)</f>
        <v>0</v>
      </c>
      <c r="U49" s="49">
        <f>SUMIFS(Collection!$J:$J, Collection!$A:$A, $A49, Collection!$B:$B, U$2)</f>
        <v>0</v>
      </c>
      <c r="V49" s="49">
        <f>SUMIFS(Collection!$J:$J, Collection!$A:$A, $A49, Collection!$B:$B, V$2)</f>
        <v>0</v>
      </c>
      <c r="W49" s="49">
        <f>SUMIFS(Collection!$J:$J, Collection!$A:$A, $A49, Collection!$B:$B, W$2)</f>
        <v>0</v>
      </c>
      <c r="X49" s="49">
        <f>SUMIFS(Collection!$J:$J, Collection!$A:$A, $A49, Collection!$B:$B, X$2)</f>
        <v>0</v>
      </c>
      <c r="Y49" s="49">
        <f>SUMIFS(Collection!$J:$J, Collection!$A:$A, $A49, Collection!$B:$B, Y$2)</f>
        <v>0</v>
      </c>
      <c r="Z49" s="49"/>
      <c r="AA49" s="49">
        <f t="shared" si="0"/>
        <v>0</v>
      </c>
      <c r="AB49" s="49">
        <f t="shared" si="1"/>
        <v>0</v>
      </c>
      <c r="AC49" s="49">
        <f t="shared" si="2"/>
        <v>0</v>
      </c>
      <c r="AD49" s="49">
        <f t="shared" si="3"/>
        <v>0</v>
      </c>
      <c r="AE49" s="49">
        <f t="shared" si="4"/>
        <v>0</v>
      </c>
      <c r="AF49" s="49">
        <f t="shared" si="5"/>
        <v>0</v>
      </c>
      <c r="AG49" s="49">
        <f t="shared" si="6"/>
        <v>0</v>
      </c>
      <c r="AH49" s="288">
        <f t="shared" si="7"/>
        <v>0</v>
      </c>
      <c r="AJ49" s="288">
        <f>SUM($S$4:S49)</f>
        <v>959265</v>
      </c>
      <c r="AK49" s="288">
        <f>AJ49/Resources!$B$10</f>
        <v>79938.75</v>
      </c>
      <c r="AL49" s="288">
        <f>SUM($Y$4:Y49)</f>
        <v>105066.66666666667</v>
      </c>
      <c r="AM49" s="295">
        <f>AL49/Resources!$B$11</f>
        <v>8755.5555555555566</v>
      </c>
      <c r="AN49" s="288">
        <f>SUM($L$4:L49)</f>
        <v>705188.33333333337</v>
      </c>
      <c r="AO49" s="288">
        <f>AN49/Resources!$B$12</f>
        <v>47012.555555555555</v>
      </c>
      <c r="AP49" s="288">
        <f>SUM($R$4:R49)</f>
        <v>741017.77777777775</v>
      </c>
      <c r="AQ49" s="288">
        <f>AP49/Resources!$B$13</f>
        <v>74101.777777777781</v>
      </c>
      <c r="AR49" s="288"/>
      <c r="AS49" s="288"/>
      <c r="AT49" s="288"/>
      <c r="AU49" s="288"/>
      <c r="AV49" s="288"/>
      <c r="AW49" s="288"/>
      <c r="AX49" s="288"/>
      <c r="AY49" s="288"/>
      <c r="AZ49" s="288">
        <f>SUM($I$4:I49,$K$4:K49)</f>
        <v>2115476.666666667</v>
      </c>
      <c r="BA49" s="288">
        <f>AZ49/Resources!$B$6</f>
        <v>66108.645833333343</v>
      </c>
      <c r="BB49" s="288">
        <f>SUM($D$4:D49,$G$4:G49)</f>
        <v>2178386.666666667</v>
      </c>
      <c r="BC49" s="288">
        <f>BB49/Resources!$B$7</f>
        <v>72612.888888888905</v>
      </c>
      <c r="BD49" s="288">
        <f>SUM($C$4:C49,$H$4:H49)</f>
        <v>2373206.6666666665</v>
      </c>
      <c r="BE49" s="300">
        <f>BD49/Resources!$B$8</f>
        <v>91277.179487179485</v>
      </c>
      <c r="BF49" s="288">
        <f>SUM($B$4:B49,$F$4:F49)</f>
        <v>3153773.333333333</v>
      </c>
      <c r="BG49" s="288">
        <f>BF49/Resources!$B$9</f>
        <v>101734.62365591397</v>
      </c>
      <c r="BH49" s="288">
        <f>SUM($X$4:X49,$E$4:E49)</f>
        <v>1123850.5555555557</v>
      </c>
      <c r="BI49" s="288">
        <f>BH49/Resources!$B$2</f>
        <v>46827.106481481489</v>
      </c>
      <c r="BJ49" s="288">
        <f>SUM($V$4:V49,$T$4:T49)</f>
        <v>277708.33333333331</v>
      </c>
      <c r="BK49" s="288">
        <f>BJ49/Resources!$B$3</f>
        <v>10681.089743589742</v>
      </c>
      <c r="BL49" s="288">
        <f>SUM($W$4:W49, $M$4:M49)</f>
        <v>397675</v>
      </c>
      <c r="BM49" s="288">
        <f>BL49/Resources!$B$4</f>
        <v>14202.678571428571</v>
      </c>
      <c r="BN49" s="288">
        <f>SUM($P$4:P49,$Q$4:Q49)</f>
        <v>1116063.3333333333</v>
      </c>
      <c r="BO49" s="297">
        <f>BN49/Resources!$B$5</f>
        <v>41335.679012345674</v>
      </c>
    </row>
    <row r="50" spans="1:67" ht="18">
      <c r="A50" s="34">
        <f t="shared" si="8"/>
        <v>42912</v>
      </c>
      <c r="B50" s="49">
        <f>SUMIFS(Collection!$J:$J, Collection!$A:$A, $A50, Collection!$B:$B, B$2)</f>
        <v>0</v>
      </c>
      <c r="C50" s="49">
        <f>SUMIFS(Collection!$J:$J, Collection!$A:$A, $A50, Collection!$B:$B, C$2)</f>
        <v>0</v>
      </c>
      <c r="D50" s="49">
        <f>SUMIFS(Collection!$J:$J, Collection!$A:$A, $A50, Collection!$B:$B, D$2)</f>
        <v>0</v>
      </c>
      <c r="E50" s="49">
        <f>SUMIFS(Collection!$J:$J, Collection!$A:$A, $A50, Collection!$B:$B, E$2)</f>
        <v>0</v>
      </c>
      <c r="F50" s="49">
        <f>SUMIFS(Collection!$J:$J, Collection!$A:$A, $A50, Collection!$B:$B, F$2)</f>
        <v>0</v>
      </c>
      <c r="G50" s="49">
        <f>SUMIFS(Collection!$J:$J, Collection!$A:$A, $A50, Collection!$B:$B, G$2)</f>
        <v>0</v>
      </c>
      <c r="H50" s="49">
        <f>SUMIFS(Collection!$J:$J, Collection!$A:$A, $A50, Collection!$B:$B, H$2)</f>
        <v>0</v>
      </c>
      <c r="I50" s="49">
        <f>SUMIFS(Collection!$J:$J, Collection!$A:$A, $A50, Collection!$B:$B, I$2)</f>
        <v>0</v>
      </c>
      <c r="J50" s="49">
        <f>SUMIFS(Collection!$J:$J, Collection!$A:$A, $A50, Collection!$B:$B, J$2)</f>
        <v>0</v>
      </c>
      <c r="K50" s="49">
        <f>SUMIFS(Collection!$J:$J, Collection!$A:$A, $A50, Collection!$B:$B, K$2)</f>
        <v>0</v>
      </c>
      <c r="L50" s="49">
        <f>SUMIFS(Collection!$J:$J, Collection!$A:$A, $A50, Collection!$B:$B, L$2)</f>
        <v>0</v>
      </c>
      <c r="M50" s="49">
        <f>SUMIFS(Collection!$J:$J, Collection!$A:$A, $A50, Collection!$B:$B, M$2)</f>
        <v>0</v>
      </c>
      <c r="N50" s="49">
        <f>SUMIFS(Collection!$J:$J, Collection!$A:$A, $A50, Collection!$B:$B, N$2)</f>
        <v>0</v>
      </c>
      <c r="O50" s="49">
        <f>SUMIFS(Collection!$J:$J, Collection!$A:$A, $A50, Collection!$B:$B, O$2)</f>
        <v>0</v>
      </c>
      <c r="P50" s="49">
        <f>SUMIFS(Collection!$J:$J, Collection!$A:$A, $A50, Collection!$B:$B, P$2)</f>
        <v>0</v>
      </c>
      <c r="Q50" s="49">
        <f>SUMIFS(Collection!$J:$J, Collection!$A:$A, $A50, Collection!$B:$B, Q$2)</f>
        <v>0</v>
      </c>
      <c r="R50" s="49">
        <f>SUMIFS(Collection!$J:$J, Collection!$A:$A, $A50, Collection!$B:$B, R$2)</f>
        <v>0</v>
      </c>
      <c r="S50" s="49">
        <f>SUMIFS(Collection!$J:$J, Collection!$A:$A, $A50, Collection!$B:$B, S$2)</f>
        <v>0</v>
      </c>
      <c r="T50" s="49">
        <f>SUMIFS(Collection!$J:$J, Collection!$A:$A, $A50, Collection!$B:$B, T$2)</f>
        <v>0</v>
      </c>
      <c r="U50" s="49">
        <f>SUMIFS(Collection!$J:$J, Collection!$A:$A, $A50, Collection!$B:$B, U$2)</f>
        <v>0</v>
      </c>
      <c r="V50" s="49">
        <f>SUMIFS(Collection!$J:$J, Collection!$A:$A, $A50, Collection!$B:$B, V$2)</f>
        <v>0</v>
      </c>
      <c r="W50" s="49">
        <f>SUMIFS(Collection!$J:$J, Collection!$A:$A, $A50, Collection!$B:$B, W$2)</f>
        <v>0</v>
      </c>
      <c r="X50" s="49">
        <f>SUMIFS(Collection!$J:$J, Collection!$A:$A, $A50, Collection!$B:$B, X$2)</f>
        <v>0</v>
      </c>
      <c r="Y50" s="49">
        <f>SUMIFS(Collection!$J:$J, Collection!$A:$A, $A50, Collection!$B:$B, Y$2)</f>
        <v>0</v>
      </c>
      <c r="Z50" s="49"/>
      <c r="AA50" s="49">
        <f t="shared" si="0"/>
        <v>0</v>
      </c>
      <c r="AB50" s="49">
        <f t="shared" si="1"/>
        <v>0</v>
      </c>
      <c r="AC50" s="49">
        <f t="shared" si="2"/>
        <v>0</v>
      </c>
      <c r="AD50" s="49">
        <f t="shared" si="3"/>
        <v>0</v>
      </c>
      <c r="AE50" s="49">
        <f t="shared" si="4"/>
        <v>0</v>
      </c>
      <c r="AF50" s="49">
        <f t="shared" si="5"/>
        <v>0</v>
      </c>
      <c r="AG50" s="49">
        <f t="shared" si="6"/>
        <v>0</v>
      </c>
      <c r="AH50" s="288">
        <f t="shared" si="7"/>
        <v>0</v>
      </c>
      <c r="AJ50" s="288">
        <f>SUM($S$4:S50)</f>
        <v>959265</v>
      </c>
      <c r="AK50" s="288">
        <f>AJ50/Resources!$B$10</f>
        <v>79938.75</v>
      </c>
      <c r="AL50" s="288">
        <f>SUM($Y$4:Y50)</f>
        <v>105066.66666666667</v>
      </c>
      <c r="AM50" s="295">
        <f>AL50/Resources!$B$11</f>
        <v>8755.5555555555566</v>
      </c>
      <c r="AN50" s="288">
        <f>SUM($L$4:L50)</f>
        <v>705188.33333333337</v>
      </c>
      <c r="AO50" s="288">
        <f>AN50/Resources!$B$12</f>
        <v>47012.555555555555</v>
      </c>
      <c r="AP50" s="288">
        <f>SUM($R$4:R50)</f>
        <v>741017.77777777775</v>
      </c>
      <c r="AQ50" s="288">
        <f>AP50/Resources!$B$13</f>
        <v>74101.777777777781</v>
      </c>
      <c r="AR50" s="288"/>
      <c r="AS50" s="288"/>
      <c r="AT50" s="288"/>
      <c r="AU50" s="288"/>
      <c r="AV50" s="288"/>
      <c r="AW50" s="288"/>
      <c r="AX50" s="288"/>
      <c r="AY50" s="288"/>
      <c r="AZ50" s="288">
        <f>SUM($I$4:I50,$K$4:K50)</f>
        <v>2115476.666666667</v>
      </c>
      <c r="BA50" s="288">
        <f>AZ50/Resources!$B$6</f>
        <v>66108.645833333343</v>
      </c>
      <c r="BB50" s="288">
        <f>SUM($D$4:D50,$G$4:G50)</f>
        <v>2178386.666666667</v>
      </c>
      <c r="BC50" s="288">
        <f>BB50/Resources!$B$7</f>
        <v>72612.888888888905</v>
      </c>
      <c r="BD50" s="288">
        <f>SUM($C$4:C50,$H$4:H50)</f>
        <v>2373206.6666666665</v>
      </c>
      <c r="BE50" s="300">
        <f>BD50/Resources!$B$8</f>
        <v>91277.179487179485</v>
      </c>
      <c r="BF50" s="288">
        <f>SUM($B$4:B50,$F$4:F50)</f>
        <v>3153773.333333333</v>
      </c>
      <c r="BG50" s="288">
        <f>BF50/Resources!$B$9</f>
        <v>101734.62365591397</v>
      </c>
      <c r="BH50" s="288">
        <f>SUM($X$4:X50,$E$4:E50)</f>
        <v>1123850.5555555557</v>
      </c>
      <c r="BI50" s="288">
        <f>BH50/Resources!$B$2</f>
        <v>46827.106481481489</v>
      </c>
      <c r="BJ50" s="288">
        <f>SUM($V$4:V50,$T$4:T50)</f>
        <v>277708.33333333331</v>
      </c>
      <c r="BK50" s="288">
        <f>BJ50/Resources!$B$3</f>
        <v>10681.089743589742</v>
      </c>
      <c r="BL50" s="288">
        <f>SUM($W$4:W50, $M$4:M50)</f>
        <v>397675</v>
      </c>
      <c r="BM50" s="288">
        <f>BL50/Resources!$B$4</f>
        <v>14202.678571428571</v>
      </c>
      <c r="BN50" s="288">
        <f>SUM($P$4:P50,$Q$4:Q50)</f>
        <v>1116063.3333333333</v>
      </c>
      <c r="BO50" s="297">
        <f>BN50/Resources!$B$5</f>
        <v>41335.679012345674</v>
      </c>
    </row>
    <row r="51" spans="1:67" ht="18">
      <c r="A51" s="34">
        <f t="shared" si="8"/>
        <v>42913</v>
      </c>
      <c r="B51" s="49">
        <f>SUMIFS(Collection!$J:$J, Collection!$A:$A, $A51, Collection!$B:$B, B$2)</f>
        <v>0</v>
      </c>
      <c r="C51" s="49">
        <f>SUMIFS(Collection!$J:$J, Collection!$A:$A, $A51, Collection!$B:$B, C$2)</f>
        <v>0</v>
      </c>
      <c r="D51" s="49">
        <f>SUMIFS(Collection!$J:$J, Collection!$A:$A, $A51, Collection!$B:$B, D$2)</f>
        <v>0</v>
      </c>
      <c r="E51" s="49">
        <f>SUMIFS(Collection!$J:$J, Collection!$A:$A, $A51, Collection!$B:$B, E$2)</f>
        <v>0</v>
      </c>
      <c r="F51" s="49">
        <f>SUMIFS(Collection!$J:$J, Collection!$A:$A, $A51, Collection!$B:$B, F$2)</f>
        <v>0</v>
      </c>
      <c r="G51" s="49">
        <f>SUMIFS(Collection!$J:$J, Collection!$A:$A, $A51, Collection!$B:$B, G$2)</f>
        <v>0</v>
      </c>
      <c r="H51" s="49">
        <f>SUMIFS(Collection!$J:$J, Collection!$A:$A, $A51, Collection!$B:$B, H$2)</f>
        <v>0</v>
      </c>
      <c r="I51" s="49">
        <f>SUMIFS(Collection!$J:$J, Collection!$A:$A, $A51, Collection!$B:$B, I$2)</f>
        <v>0</v>
      </c>
      <c r="J51" s="49">
        <f>SUMIFS(Collection!$J:$J, Collection!$A:$A, $A51, Collection!$B:$B, J$2)</f>
        <v>0</v>
      </c>
      <c r="K51" s="49">
        <f>SUMIFS(Collection!$J:$J, Collection!$A:$A, $A51, Collection!$B:$B, K$2)</f>
        <v>0</v>
      </c>
      <c r="L51" s="49">
        <f>SUMIFS(Collection!$J:$J, Collection!$A:$A, $A51, Collection!$B:$B, L$2)</f>
        <v>0</v>
      </c>
      <c r="M51" s="49">
        <f>SUMIFS(Collection!$J:$J, Collection!$A:$A, $A51, Collection!$B:$B, M$2)</f>
        <v>0</v>
      </c>
      <c r="N51" s="49">
        <f>SUMIFS(Collection!$J:$J, Collection!$A:$A, $A51, Collection!$B:$B, N$2)</f>
        <v>0</v>
      </c>
      <c r="O51" s="49">
        <f>SUMIFS(Collection!$J:$J, Collection!$A:$A, $A51, Collection!$B:$B, O$2)</f>
        <v>0</v>
      </c>
      <c r="P51" s="49">
        <f>SUMIFS(Collection!$J:$J, Collection!$A:$A, $A51, Collection!$B:$B, P$2)</f>
        <v>0</v>
      </c>
      <c r="Q51" s="49">
        <f>SUMIFS(Collection!$J:$J, Collection!$A:$A, $A51, Collection!$B:$B, Q$2)</f>
        <v>0</v>
      </c>
      <c r="R51" s="49">
        <f>SUMIFS(Collection!$J:$J, Collection!$A:$A, $A51, Collection!$B:$B, R$2)</f>
        <v>0</v>
      </c>
      <c r="S51" s="49">
        <f>SUMIFS(Collection!$J:$J, Collection!$A:$A, $A51, Collection!$B:$B, S$2)</f>
        <v>0</v>
      </c>
      <c r="T51" s="49">
        <f>SUMIFS(Collection!$J:$J, Collection!$A:$A, $A51, Collection!$B:$B, T$2)</f>
        <v>0</v>
      </c>
      <c r="U51" s="49">
        <f>SUMIFS(Collection!$J:$J, Collection!$A:$A, $A51, Collection!$B:$B, U$2)</f>
        <v>0</v>
      </c>
      <c r="V51" s="49">
        <f>SUMIFS(Collection!$J:$J, Collection!$A:$A, $A51, Collection!$B:$B, V$2)</f>
        <v>0</v>
      </c>
      <c r="W51" s="49">
        <f>SUMIFS(Collection!$J:$J, Collection!$A:$A, $A51, Collection!$B:$B, W$2)</f>
        <v>0</v>
      </c>
      <c r="X51" s="49">
        <f>SUMIFS(Collection!$J:$J, Collection!$A:$A, $A51, Collection!$B:$B, X$2)</f>
        <v>0</v>
      </c>
      <c r="Y51" s="49">
        <f>SUMIFS(Collection!$J:$J, Collection!$A:$A, $A51, Collection!$B:$B, Y$2)</f>
        <v>0</v>
      </c>
      <c r="Z51" s="49"/>
      <c r="AA51" s="49">
        <f t="shared" si="0"/>
        <v>0</v>
      </c>
      <c r="AB51" s="49">
        <f t="shared" si="1"/>
        <v>0</v>
      </c>
      <c r="AC51" s="49">
        <f t="shared" si="2"/>
        <v>0</v>
      </c>
      <c r="AD51" s="49">
        <f t="shared" si="3"/>
        <v>0</v>
      </c>
      <c r="AE51" s="49">
        <f t="shared" si="4"/>
        <v>0</v>
      </c>
      <c r="AF51" s="49">
        <f t="shared" si="5"/>
        <v>0</v>
      </c>
      <c r="AG51" s="49">
        <f t="shared" si="6"/>
        <v>0</v>
      </c>
      <c r="AH51" s="288">
        <f t="shared" si="7"/>
        <v>0</v>
      </c>
      <c r="AJ51" s="288">
        <f>SUM($S$4:S51)</f>
        <v>959265</v>
      </c>
      <c r="AK51" s="288">
        <f>AJ51/Resources!$B$10</f>
        <v>79938.75</v>
      </c>
      <c r="AL51" s="288">
        <f>SUM($Y$4:Y51)</f>
        <v>105066.66666666667</v>
      </c>
      <c r="AM51" s="295">
        <f>AL51/Resources!$B$11</f>
        <v>8755.5555555555566</v>
      </c>
      <c r="AN51" s="288">
        <f>SUM($L$4:L51)</f>
        <v>705188.33333333337</v>
      </c>
      <c r="AO51" s="288">
        <f>AN51/Resources!$B$12</f>
        <v>47012.555555555555</v>
      </c>
      <c r="AP51" s="288">
        <f>SUM($R$4:R51)</f>
        <v>741017.77777777775</v>
      </c>
      <c r="AQ51" s="288">
        <f>AP51/Resources!$B$13</f>
        <v>74101.777777777781</v>
      </c>
      <c r="AR51" s="288"/>
      <c r="AS51" s="288"/>
      <c r="AT51" s="288"/>
      <c r="AU51" s="288"/>
      <c r="AV51" s="288"/>
      <c r="AW51" s="288"/>
      <c r="AX51" s="288"/>
      <c r="AY51" s="288"/>
      <c r="AZ51" s="288">
        <f>SUM($I$4:I51,$K$4:K51)</f>
        <v>2115476.666666667</v>
      </c>
      <c r="BA51" s="288">
        <f>AZ51/Resources!$B$6</f>
        <v>66108.645833333343</v>
      </c>
      <c r="BB51" s="288">
        <f>SUM($D$4:D51,$G$4:G51)</f>
        <v>2178386.666666667</v>
      </c>
      <c r="BC51" s="288">
        <f>BB51/Resources!$B$7</f>
        <v>72612.888888888905</v>
      </c>
      <c r="BD51" s="288">
        <f>SUM($C$4:C51,$H$4:H51)</f>
        <v>2373206.6666666665</v>
      </c>
      <c r="BE51" s="300">
        <f>BD51/Resources!$B$8</f>
        <v>91277.179487179485</v>
      </c>
      <c r="BF51" s="288">
        <f>SUM($B$4:B51,$F$4:F51)</f>
        <v>3153773.333333333</v>
      </c>
      <c r="BG51" s="288">
        <f>BF51/Resources!$B$9</f>
        <v>101734.62365591397</v>
      </c>
      <c r="BH51" s="288">
        <f>SUM($X$4:X51,$E$4:E51)</f>
        <v>1123850.5555555557</v>
      </c>
      <c r="BI51" s="288">
        <f>BH51/Resources!$B$2</f>
        <v>46827.106481481489</v>
      </c>
      <c r="BJ51" s="288">
        <f>SUM($V$4:V51,$T$4:T51)</f>
        <v>277708.33333333331</v>
      </c>
      <c r="BK51" s="288">
        <f>BJ51/Resources!$B$3</f>
        <v>10681.089743589742</v>
      </c>
      <c r="BL51" s="288">
        <f>SUM($W$4:W51, $M$4:M51)</f>
        <v>397675</v>
      </c>
      <c r="BM51" s="288">
        <f>BL51/Resources!$B$4</f>
        <v>14202.678571428571</v>
      </c>
      <c r="BN51" s="288">
        <f>SUM($P$4:P51,$Q$4:Q51)</f>
        <v>1116063.3333333333</v>
      </c>
      <c r="BO51" s="297">
        <f>BN51/Resources!$B$5</f>
        <v>41335.679012345674</v>
      </c>
    </row>
    <row r="52" spans="1:67" ht="18">
      <c r="A52" s="34">
        <f t="shared" si="8"/>
        <v>42914</v>
      </c>
      <c r="B52" s="49">
        <f>SUMIFS(Collection!$J:$J, Collection!$A:$A, $A52, Collection!$B:$B, B$2)</f>
        <v>0</v>
      </c>
      <c r="C52" s="49">
        <f>SUMIFS(Collection!$J:$J, Collection!$A:$A, $A52, Collection!$B:$B, C$2)</f>
        <v>0</v>
      </c>
      <c r="D52" s="49">
        <f>SUMIFS(Collection!$J:$J, Collection!$A:$A, $A52, Collection!$B:$B, D$2)</f>
        <v>0</v>
      </c>
      <c r="E52" s="49">
        <f>SUMIFS(Collection!$J:$J, Collection!$A:$A, $A52, Collection!$B:$B, E$2)</f>
        <v>0</v>
      </c>
      <c r="F52" s="49">
        <f>SUMIFS(Collection!$J:$J, Collection!$A:$A, $A52, Collection!$B:$B, F$2)</f>
        <v>0</v>
      </c>
      <c r="G52" s="49">
        <f>SUMIFS(Collection!$J:$J, Collection!$A:$A, $A52, Collection!$B:$B, G$2)</f>
        <v>0</v>
      </c>
      <c r="H52" s="49">
        <f>SUMIFS(Collection!$J:$J, Collection!$A:$A, $A52, Collection!$B:$B, H$2)</f>
        <v>0</v>
      </c>
      <c r="I52" s="49">
        <f>SUMIFS(Collection!$J:$J, Collection!$A:$A, $A52, Collection!$B:$B, I$2)</f>
        <v>0</v>
      </c>
      <c r="J52" s="49">
        <f>SUMIFS(Collection!$J:$J, Collection!$A:$A, $A52, Collection!$B:$B, J$2)</f>
        <v>0</v>
      </c>
      <c r="K52" s="49">
        <f>SUMIFS(Collection!$J:$J, Collection!$A:$A, $A52, Collection!$B:$B, K$2)</f>
        <v>0</v>
      </c>
      <c r="L52" s="49">
        <f>SUMIFS(Collection!$J:$J, Collection!$A:$A, $A52, Collection!$B:$B, L$2)</f>
        <v>0</v>
      </c>
      <c r="M52" s="49">
        <f>SUMIFS(Collection!$J:$J, Collection!$A:$A, $A52, Collection!$B:$B, M$2)</f>
        <v>0</v>
      </c>
      <c r="N52" s="49">
        <f>SUMIFS(Collection!$J:$J, Collection!$A:$A, $A52, Collection!$B:$B, N$2)</f>
        <v>0</v>
      </c>
      <c r="O52" s="49">
        <f>SUMIFS(Collection!$J:$J, Collection!$A:$A, $A52, Collection!$B:$B, O$2)</f>
        <v>0</v>
      </c>
      <c r="P52" s="49">
        <f>SUMIFS(Collection!$J:$J, Collection!$A:$A, $A52, Collection!$B:$B, P$2)</f>
        <v>0</v>
      </c>
      <c r="Q52" s="49">
        <f>SUMIFS(Collection!$J:$J, Collection!$A:$A, $A52, Collection!$B:$B, Q$2)</f>
        <v>0</v>
      </c>
      <c r="R52" s="49">
        <f>SUMIFS(Collection!$J:$J, Collection!$A:$A, $A52, Collection!$B:$B, R$2)</f>
        <v>0</v>
      </c>
      <c r="S52" s="49">
        <f>SUMIFS(Collection!$J:$J, Collection!$A:$A, $A52, Collection!$B:$B, S$2)</f>
        <v>0</v>
      </c>
      <c r="T52" s="49">
        <f>SUMIFS(Collection!$J:$J, Collection!$A:$A, $A52, Collection!$B:$B, T$2)</f>
        <v>0</v>
      </c>
      <c r="U52" s="49">
        <f>SUMIFS(Collection!$J:$J, Collection!$A:$A, $A52, Collection!$B:$B, U$2)</f>
        <v>0</v>
      </c>
      <c r="V52" s="49">
        <f>SUMIFS(Collection!$J:$J, Collection!$A:$A, $A52, Collection!$B:$B, V$2)</f>
        <v>0</v>
      </c>
      <c r="W52" s="49">
        <f>SUMIFS(Collection!$J:$J, Collection!$A:$A, $A52, Collection!$B:$B, W$2)</f>
        <v>0</v>
      </c>
      <c r="X52" s="49">
        <f>SUMIFS(Collection!$J:$J, Collection!$A:$A, $A52, Collection!$B:$B, X$2)</f>
        <v>0</v>
      </c>
      <c r="Y52" s="49">
        <f>SUMIFS(Collection!$J:$J, Collection!$A:$A, $A52, Collection!$B:$B, Y$2)</f>
        <v>0</v>
      </c>
      <c r="Z52" s="49"/>
      <c r="AA52" s="49">
        <f t="shared" si="0"/>
        <v>0</v>
      </c>
      <c r="AB52" s="49">
        <f t="shared" si="1"/>
        <v>0</v>
      </c>
      <c r="AC52" s="49">
        <f t="shared" si="2"/>
        <v>0</v>
      </c>
      <c r="AD52" s="49">
        <f t="shared" si="3"/>
        <v>0</v>
      </c>
      <c r="AE52" s="49">
        <f t="shared" si="4"/>
        <v>0</v>
      </c>
      <c r="AF52" s="49">
        <f t="shared" si="5"/>
        <v>0</v>
      </c>
      <c r="AG52" s="49">
        <f t="shared" si="6"/>
        <v>0</v>
      </c>
      <c r="AH52" s="288">
        <f t="shared" si="7"/>
        <v>0</v>
      </c>
      <c r="AJ52" s="288">
        <f>SUM($S$4:S52)</f>
        <v>959265</v>
      </c>
      <c r="AK52" s="288">
        <f>AJ52/Resources!$B$10</f>
        <v>79938.75</v>
      </c>
      <c r="AL52" s="288">
        <f>SUM($Y$4:Y52)</f>
        <v>105066.66666666667</v>
      </c>
      <c r="AM52" s="295">
        <f>AL52/Resources!$B$11</f>
        <v>8755.5555555555566</v>
      </c>
      <c r="AN52" s="288">
        <f>SUM($L$4:L52)</f>
        <v>705188.33333333337</v>
      </c>
      <c r="AO52" s="288">
        <f>AN52/Resources!$B$12</f>
        <v>47012.555555555555</v>
      </c>
      <c r="AP52" s="288">
        <f>SUM($R$4:R52)</f>
        <v>741017.77777777775</v>
      </c>
      <c r="AQ52" s="288">
        <f>AP52/Resources!$B$13</f>
        <v>74101.777777777781</v>
      </c>
      <c r="AR52" s="288"/>
      <c r="AS52" s="288"/>
      <c r="AT52" s="288"/>
      <c r="AU52" s="288"/>
      <c r="AV52" s="288"/>
      <c r="AW52" s="288"/>
      <c r="AX52" s="288"/>
      <c r="AY52" s="288"/>
      <c r="AZ52" s="288">
        <f>SUM($I$4:I52,$K$4:K52)</f>
        <v>2115476.666666667</v>
      </c>
      <c r="BA52" s="288">
        <f>AZ52/Resources!$B$6</f>
        <v>66108.645833333343</v>
      </c>
      <c r="BB52" s="288">
        <f>SUM($D$4:D52,$G$4:G52)</f>
        <v>2178386.666666667</v>
      </c>
      <c r="BC52" s="288">
        <f>BB52/Resources!$B$7</f>
        <v>72612.888888888905</v>
      </c>
      <c r="BD52" s="288">
        <f>SUM($C$4:C52,$H$4:H52)</f>
        <v>2373206.6666666665</v>
      </c>
      <c r="BE52" s="300">
        <f>BD52/Resources!$B$8</f>
        <v>91277.179487179485</v>
      </c>
      <c r="BF52" s="288">
        <f>SUM($B$4:B52,$F$4:F52)</f>
        <v>3153773.333333333</v>
      </c>
      <c r="BG52" s="288">
        <f>BF52/Resources!$B$9</f>
        <v>101734.62365591397</v>
      </c>
      <c r="BH52" s="288">
        <f>SUM($X$4:X52,$E$4:E52)</f>
        <v>1123850.5555555557</v>
      </c>
      <c r="BI52" s="288">
        <f>BH52/Resources!$B$2</f>
        <v>46827.106481481489</v>
      </c>
      <c r="BJ52" s="288">
        <f>SUM($V$4:V52,$T$4:T52)</f>
        <v>277708.33333333331</v>
      </c>
      <c r="BK52" s="288">
        <f>BJ52/Resources!$B$3</f>
        <v>10681.089743589742</v>
      </c>
      <c r="BL52" s="288">
        <f>SUM($W$4:W52, $M$4:M52)</f>
        <v>397675</v>
      </c>
      <c r="BM52" s="288">
        <f>BL52/Resources!$B$4</f>
        <v>14202.678571428571</v>
      </c>
      <c r="BN52" s="288">
        <f>SUM($P$4:P52,$Q$4:Q52)</f>
        <v>1116063.3333333333</v>
      </c>
      <c r="BO52" s="297">
        <f>BN52/Resources!$B$5</f>
        <v>41335.679012345674</v>
      </c>
    </row>
    <row r="53" spans="1:67" ht="18">
      <c r="A53" s="34">
        <f t="shared" si="8"/>
        <v>42915</v>
      </c>
      <c r="B53" s="49">
        <f>SUMIFS(Collection!$J:$J, Collection!$A:$A, $A53, Collection!$B:$B, B$2)</f>
        <v>0</v>
      </c>
      <c r="C53" s="49">
        <f>SUMIFS(Collection!$J:$J, Collection!$A:$A, $A53, Collection!$B:$B, C$2)</f>
        <v>0</v>
      </c>
      <c r="D53" s="49">
        <f>SUMIFS(Collection!$J:$J, Collection!$A:$A, $A53, Collection!$B:$B, D$2)</f>
        <v>0</v>
      </c>
      <c r="E53" s="49">
        <f>SUMIFS(Collection!$J:$J, Collection!$A:$A, $A53, Collection!$B:$B, E$2)</f>
        <v>0</v>
      </c>
      <c r="F53" s="49">
        <f>SUMIFS(Collection!$J:$J, Collection!$A:$A, $A53, Collection!$B:$B, F$2)</f>
        <v>0</v>
      </c>
      <c r="G53" s="49">
        <f>SUMIFS(Collection!$J:$J, Collection!$A:$A, $A53, Collection!$B:$B, G$2)</f>
        <v>0</v>
      </c>
      <c r="H53" s="49">
        <f>SUMIFS(Collection!$J:$J, Collection!$A:$A, $A53, Collection!$B:$B, H$2)</f>
        <v>0</v>
      </c>
      <c r="I53" s="49">
        <f>SUMIFS(Collection!$J:$J, Collection!$A:$A, $A53, Collection!$B:$B, I$2)</f>
        <v>0</v>
      </c>
      <c r="J53" s="49">
        <f>SUMIFS(Collection!$J:$J, Collection!$A:$A, $A53, Collection!$B:$B, J$2)</f>
        <v>0</v>
      </c>
      <c r="K53" s="49">
        <f>SUMIFS(Collection!$J:$J, Collection!$A:$A, $A53, Collection!$B:$B, K$2)</f>
        <v>0</v>
      </c>
      <c r="L53" s="49">
        <f>SUMIFS(Collection!$J:$J, Collection!$A:$A, $A53, Collection!$B:$B, L$2)</f>
        <v>0</v>
      </c>
      <c r="M53" s="49">
        <f>SUMIFS(Collection!$J:$J, Collection!$A:$A, $A53, Collection!$B:$B, M$2)</f>
        <v>0</v>
      </c>
      <c r="N53" s="49">
        <f>SUMIFS(Collection!$J:$J, Collection!$A:$A, $A53, Collection!$B:$B, N$2)</f>
        <v>0</v>
      </c>
      <c r="O53" s="49">
        <f>SUMIFS(Collection!$J:$J, Collection!$A:$A, $A53, Collection!$B:$B, O$2)</f>
        <v>0</v>
      </c>
      <c r="P53" s="49">
        <f>SUMIFS(Collection!$J:$J, Collection!$A:$A, $A53, Collection!$B:$B, P$2)</f>
        <v>0</v>
      </c>
      <c r="Q53" s="49">
        <f>SUMIFS(Collection!$J:$J, Collection!$A:$A, $A53, Collection!$B:$B, Q$2)</f>
        <v>0</v>
      </c>
      <c r="R53" s="49">
        <f>SUMIFS(Collection!$J:$J, Collection!$A:$A, $A53, Collection!$B:$B, R$2)</f>
        <v>196800</v>
      </c>
      <c r="S53" s="49">
        <f>SUMIFS(Collection!$J:$J, Collection!$A:$A, $A53, Collection!$B:$B, S$2)</f>
        <v>0</v>
      </c>
      <c r="T53" s="49">
        <f>SUMIFS(Collection!$J:$J, Collection!$A:$A, $A53, Collection!$B:$B, T$2)</f>
        <v>0</v>
      </c>
      <c r="U53" s="49">
        <f>SUMIFS(Collection!$J:$J, Collection!$A:$A, $A53, Collection!$B:$B, U$2)</f>
        <v>0</v>
      </c>
      <c r="V53" s="49">
        <f>SUMIFS(Collection!$J:$J, Collection!$A:$A, $A53, Collection!$B:$B, V$2)</f>
        <v>0</v>
      </c>
      <c r="W53" s="49">
        <f>SUMIFS(Collection!$J:$J, Collection!$A:$A, $A53, Collection!$B:$B, W$2)</f>
        <v>0</v>
      </c>
      <c r="X53" s="49">
        <f>SUMIFS(Collection!$J:$J, Collection!$A:$A, $A53, Collection!$B:$B, X$2)</f>
        <v>0</v>
      </c>
      <c r="Y53" s="49">
        <f>SUMIFS(Collection!$J:$J, Collection!$A:$A, $A53, Collection!$B:$B, Y$2)</f>
        <v>0</v>
      </c>
      <c r="Z53" s="49"/>
      <c r="AA53" s="49">
        <f t="shared" si="0"/>
        <v>0</v>
      </c>
      <c r="AB53" s="49">
        <f t="shared" si="1"/>
        <v>0</v>
      </c>
      <c r="AC53" s="49">
        <f t="shared" si="2"/>
        <v>0</v>
      </c>
      <c r="AD53" s="49">
        <f t="shared" si="3"/>
        <v>0</v>
      </c>
      <c r="AE53" s="49">
        <f t="shared" si="4"/>
        <v>0</v>
      </c>
      <c r="AF53" s="49">
        <f t="shared" si="5"/>
        <v>0</v>
      </c>
      <c r="AG53" s="49">
        <f t="shared" si="6"/>
        <v>0</v>
      </c>
      <c r="AH53" s="288">
        <f t="shared" si="7"/>
        <v>0</v>
      </c>
      <c r="AJ53" s="288">
        <f>SUM($S$4:S53)</f>
        <v>959265</v>
      </c>
      <c r="AK53" s="288">
        <f>AJ53/Resources!$B$10</f>
        <v>79938.75</v>
      </c>
      <c r="AL53" s="288">
        <f>SUM($Y$4:Y53)</f>
        <v>105066.66666666667</v>
      </c>
      <c r="AM53" s="295">
        <f>AL53/Resources!$B$11</f>
        <v>8755.5555555555566</v>
      </c>
      <c r="AN53" s="288">
        <f>SUM($L$4:L53)</f>
        <v>705188.33333333337</v>
      </c>
      <c r="AO53" s="288">
        <f>AN53/Resources!$B$12</f>
        <v>47012.555555555555</v>
      </c>
      <c r="AP53" s="288">
        <f>SUM($R$4:R53)</f>
        <v>937817.77777777775</v>
      </c>
      <c r="AQ53" s="288">
        <f>AP53/Resources!$B$13</f>
        <v>93781.777777777781</v>
      </c>
      <c r="AR53" s="288"/>
      <c r="AS53" s="288"/>
      <c r="AT53" s="288"/>
      <c r="AU53" s="288"/>
      <c r="AV53" s="288"/>
      <c r="AW53" s="288"/>
      <c r="AX53" s="288"/>
      <c r="AY53" s="288"/>
      <c r="AZ53" s="288">
        <f>SUM($I$4:I53,$K$4:K53)</f>
        <v>2115476.666666667</v>
      </c>
      <c r="BA53" s="288">
        <f>AZ53/Resources!$B$6</f>
        <v>66108.645833333343</v>
      </c>
      <c r="BB53" s="288">
        <f>SUM($D$4:D53,$G$4:G53)</f>
        <v>2178386.666666667</v>
      </c>
      <c r="BC53" s="288">
        <f>BB53/Resources!$B$7</f>
        <v>72612.888888888905</v>
      </c>
      <c r="BD53" s="288">
        <f>SUM($C$4:C53,$H$4:H53)</f>
        <v>2373206.6666666665</v>
      </c>
      <c r="BE53" s="300">
        <f>BD53/Resources!$B$8</f>
        <v>91277.179487179485</v>
      </c>
      <c r="BF53" s="288">
        <f>SUM($B$4:B53,$F$4:F53)</f>
        <v>3153773.333333333</v>
      </c>
      <c r="BG53" s="288">
        <f>BF53/Resources!$B$9</f>
        <v>101734.62365591397</v>
      </c>
      <c r="BH53" s="288">
        <f>SUM($X$4:X53,$E$4:E53)</f>
        <v>1123850.5555555557</v>
      </c>
      <c r="BI53" s="288">
        <f>BH53/Resources!$B$2</f>
        <v>46827.106481481489</v>
      </c>
      <c r="BJ53" s="288">
        <f>SUM($V$4:V53,$T$4:T53)</f>
        <v>277708.33333333331</v>
      </c>
      <c r="BK53" s="288">
        <f>BJ53/Resources!$B$3</f>
        <v>10681.089743589742</v>
      </c>
      <c r="BL53" s="288">
        <f>SUM($W$4:W53, $M$4:M53)</f>
        <v>397675</v>
      </c>
      <c r="BM53" s="288">
        <f>BL53/Resources!$B$4</f>
        <v>14202.678571428571</v>
      </c>
      <c r="BN53" s="288">
        <f>SUM($P$4:P53,$Q$4:Q53)</f>
        <v>1116063.3333333333</v>
      </c>
      <c r="BO53" s="297">
        <f>BN53/Resources!$B$5</f>
        <v>41335.679012345674</v>
      </c>
    </row>
    <row r="54" spans="1:67" ht="18">
      <c r="A54" s="34">
        <f t="shared" si="8"/>
        <v>42916</v>
      </c>
      <c r="B54" s="49">
        <f>SUMIFS(Collection!$J:$J, Collection!$A:$A, $A54, Collection!$B:$B, B$2)</f>
        <v>0</v>
      </c>
      <c r="C54" s="49">
        <f>SUMIFS(Collection!$J:$J, Collection!$A:$A, $A54, Collection!$B:$B, C$2)</f>
        <v>0</v>
      </c>
      <c r="D54" s="49">
        <f>SUMIFS(Collection!$J:$J, Collection!$A:$A, $A54, Collection!$B:$B, D$2)</f>
        <v>0</v>
      </c>
      <c r="E54" s="49">
        <f>SUMIFS(Collection!$J:$J, Collection!$A:$A, $A54, Collection!$B:$B, E$2)</f>
        <v>0</v>
      </c>
      <c r="F54" s="49">
        <f>SUMIFS(Collection!$J:$J, Collection!$A:$A, $A54, Collection!$B:$B, F$2)</f>
        <v>0</v>
      </c>
      <c r="G54" s="49">
        <f>SUMIFS(Collection!$J:$J, Collection!$A:$A, $A54, Collection!$B:$B, G$2)</f>
        <v>0</v>
      </c>
      <c r="H54" s="49">
        <f>SUMIFS(Collection!$J:$J, Collection!$A:$A, $A54, Collection!$B:$B, H$2)</f>
        <v>0</v>
      </c>
      <c r="I54" s="49">
        <f>SUMIFS(Collection!$J:$J, Collection!$A:$A, $A54, Collection!$B:$B, I$2)</f>
        <v>0</v>
      </c>
      <c r="J54" s="49">
        <f>SUMIFS(Collection!$J:$J, Collection!$A:$A, $A54, Collection!$B:$B, J$2)</f>
        <v>0</v>
      </c>
      <c r="K54" s="49">
        <f>SUMIFS(Collection!$J:$J, Collection!$A:$A, $A54, Collection!$B:$B, K$2)</f>
        <v>0</v>
      </c>
      <c r="L54" s="49">
        <f>SUMIFS(Collection!$J:$J, Collection!$A:$A, $A54, Collection!$B:$B, L$2)</f>
        <v>0</v>
      </c>
      <c r="M54" s="49">
        <f>SUMIFS(Collection!$J:$J, Collection!$A:$A, $A54, Collection!$B:$B, M$2)</f>
        <v>0</v>
      </c>
      <c r="N54" s="49">
        <f>SUMIFS(Collection!$J:$J, Collection!$A:$A, $A54, Collection!$B:$B, N$2)</f>
        <v>0</v>
      </c>
      <c r="O54" s="49">
        <f>SUMIFS(Collection!$J:$J, Collection!$A:$A, $A54, Collection!$B:$B, O$2)</f>
        <v>0</v>
      </c>
      <c r="P54" s="49">
        <f>SUMIFS(Collection!$J:$J, Collection!$A:$A, $A54, Collection!$B:$B, P$2)</f>
        <v>0</v>
      </c>
      <c r="Q54" s="49">
        <f>SUMIFS(Collection!$J:$J, Collection!$A:$A, $A54, Collection!$B:$B, Q$2)</f>
        <v>0</v>
      </c>
      <c r="R54" s="49">
        <f>SUMIFS(Collection!$J:$J, Collection!$A:$A, $A54, Collection!$B:$B, R$2)</f>
        <v>0</v>
      </c>
      <c r="S54" s="49">
        <f>SUMIFS(Collection!$J:$J, Collection!$A:$A, $A54, Collection!$B:$B, S$2)</f>
        <v>0</v>
      </c>
      <c r="T54" s="49">
        <f>SUMIFS(Collection!$J:$J, Collection!$A:$A, $A54, Collection!$B:$B, T$2)</f>
        <v>0</v>
      </c>
      <c r="U54" s="49">
        <f>SUMIFS(Collection!$J:$J, Collection!$A:$A, $A54, Collection!$B:$B, U$2)</f>
        <v>0</v>
      </c>
      <c r="V54" s="49">
        <f>SUMIFS(Collection!$J:$J, Collection!$A:$A, $A54, Collection!$B:$B, V$2)</f>
        <v>0</v>
      </c>
      <c r="W54" s="49">
        <f>SUMIFS(Collection!$J:$J, Collection!$A:$A, $A54, Collection!$B:$B, W$2)</f>
        <v>0</v>
      </c>
      <c r="X54" s="49">
        <f>SUMIFS(Collection!$J:$J, Collection!$A:$A, $A54, Collection!$B:$B, X$2)</f>
        <v>0</v>
      </c>
      <c r="Y54" s="49">
        <f>SUMIFS(Collection!$J:$J, Collection!$A:$A, $A54, Collection!$B:$B, Y$2)</f>
        <v>0</v>
      </c>
      <c r="Z54" s="49"/>
      <c r="AA54" s="49">
        <f t="shared" si="0"/>
        <v>0</v>
      </c>
      <c r="AB54" s="49">
        <f t="shared" si="1"/>
        <v>0</v>
      </c>
      <c r="AC54" s="49">
        <f t="shared" si="2"/>
        <v>0</v>
      </c>
      <c r="AD54" s="49">
        <f t="shared" si="3"/>
        <v>0</v>
      </c>
      <c r="AE54" s="49">
        <f t="shared" si="4"/>
        <v>0</v>
      </c>
      <c r="AF54" s="49">
        <f t="shared" si="5"/>
        <v>0</v>
      </c>
      <c r="AG54" s="49">
        <f t="shared" si="6"/>
        <v>0</v>
      </c>
      <c r="AH54" s="288">
        <f t="shared" si="7"/>
        <v>0</v>
      </c>
      <c r="AJ54" s="288">
        <f>SUM($S$4:S54)</f>
        <v>959265</v>
      </c>
      <c r="AK54" s="288">
        <f>AJ54/Resources!$B$10</f>
        <v>79938.75</v>
      </c>
      <c r="AL54" s="288">
        <f>SUM($Y$4:Y54)</f>
        <v>105066.66666666667</v>
      </c>
      <c r="AM54" s="295">
        <f>AL54/Resources!$B$11</f>
        <v>8755.5555555555566</v>
      </c>
      <c r="AN54" s="288">
        <f>SUM($L$4:L54)</f>
        <v>705188.33333333337</v>
      </c>
      <c r="AO54" s="288">
        <f>AN54/Resources!$B$12</f>
        <v>47012.555555555555</v>
      </c>
      <c r="AP54" s="288">
        <f>SUM($R$4:R54)</f>
        <v>937817.77777777775</v>
      </c>
      <c r="AQ54" s="288">
        <f>AP54/Resources!$B$13</f>
        <v>93781.777777777781</v>
      </c>
      <c r="AR54" s="288"/>
      <c r="AS54" s="288"/>
      <c r="AT54" s="288"/>
      <c r="AU54" s="288"/>
      <c r="AV54" s="288"/>
      <c r="AW54" s="288"/>
      <c r="AX54" s="288"/>
      <c r="AY54" s="288"/>
      <c r="AZ54" s="288">
        <f>SUM($I$4:I54,$K$4:K54)</f>
        <v>2115476.666666667</v>
      </c>
      <c r="BA54" s="288">
        <f>AZ54/Resources!$B$6</f>
        <v>66108.645833333343</v>
      </c>
      <c r="BB54" s="288">
        <f>SUM($D$4:D54,$G$4:G54)</f>
        <v>2178386.666666667</v>
      </c>
      <c r="BC54" s="288">
        <f>BB54/Resources!$B$7</f>
        <v>72612.888888888905</v>
      </c>
      <c r="BD54" s="288">
        <f>SUM($C$4:C54,$H$4:H54)</f>
        <v>2373206.6666666665</v>
      </c>
      <c r="BE54" s="300">
        <f>BD54/Resources!$B$8</f>
        <v>91277.179487179485</v>
      </c>
      <c r="BF54" s="288">
        <f>SUM($B$4:B54,$F$4:F54)</f>
        <v>3153773.333333333</v>
      </c>
      <c r="BG54" s="288">
        <f>BF54/Resources!$B$9</f>
        <v>101734.62365591397</v>
      </c>
      <c r="BH54" s="288">
        <f>SUM($X$4:X54,$E$4:E54)</f>
        <v>1123850.5555555557</v>
      </c>
      <c r="BI54" s="288">
        <f>BH54/Resources!$B$2</f>
        <v>46827.106481481489</v>
      </c>
      <c r="BJ54" s="288">
        <f>SUM($V$4:V54,$T$4:T54)</f>
        <v>277708.33333333331</v>
      </c>
      <c r="BK54" s="288">
        <f>BJ54/Resources!$B$3</f>
        <v>10681.089743589742</v>
      </c>
      <c r="BL54" s="288">
        <f>SUM($W$4:W54, $M$4:M54)</f>
        <v>397675</v>
      </c>
      <c r="BM54" s="288">
        <f>BL54/Resources!$B$4</f>
        <v>14202.678571428571</v>
      </c>
      <c r="BN54" s="288">
        <f>SUM($P$4:P54,$Q$4:Q54)</f>
        <v>1116063.3333333333</v>
      </c>
      <c r="BO54" s="297">
        <f>BN54/Resources!$B$5</f>
        <v>41335.679012345674</v>
      </c>
    </row>
    <row r="55" spans="1:67" ht="18">
      <c r="A55" s="34">
        <f t="shared" si="8"/>
        <v>42917</v>
      </c>
      <c r="B55" s="49">
        <f>SUMIFS(Collection!$J:$J, Collection!$A:$A, $A55, Collection!$B:$B, B$2)</f>
        <v>0</v>
      </c>
      <c r="C55" s="49">
        <f>SUMIFS(Collection!$J:$J, Collection!$A:$A, $A55, Collection!$B:$B, C$2)</f>
        <v>0</v>
      </c>
      <c r="D55" s="49">
        <f>SUMIFS(Collection!$J:$J, Collection!$A:$A, $A55, Collection!$B:$B, D$2)</f>
        <v>0</v>
      </c>
      <c r="E55" s="49">
        <f>SUMIFS(Collection!$J:$J, Collection!$A:$A, $A55, Collection!$B:$B, E$2)</f>
        <v>0</v>
      </c>
      <c r="F55" s="49">
        <f>SUMIFS(Collection!$J:$J, Collection!$A:$A, $A55, Collection!$B:$B, F$2)</f>
        <v>0</v>
      </c>
      <c r="G55" s="49">
        <f>SUMIFS(Collection!$J:$J, Collection!$A:$A, $A55, Collection!$B:$B, G$2)</f>
        <v>0</v>
      </c>
      <c r="H55" s="49">
        <f>SUMIFS(Collection!$J:$J, Collection!$A:$A, $A55, Collection!$B:$B, H$2)</f>
        <v>0</v>
      </c>
      <c r="I55" s="49">
        <f>SUMIFS(Collection!$J:$J, Collection!$A:$A, $A55, Collection!$B:$B, I$2)</f>
        <v>0</v>
      </c>
      <c r="J55" s="49">
        <f>SUMIFS(Collection!$J:$J, Collection!$A:$A, $A55, Collection!$B:$B, J$2)</f>
        <v>0</v>
      </c>
      <c r="K55" s="49">
        <f>SUMIFS(Collection!$J:$J, Collection!$A:$A, $A55, Collection!$B:$B, K$2)</f>
        <v>0</v>
      </c>
      <c r="L55" s="49">
        <f>SUMIFS(Collection!$J:$J, Collection!$A:$A, $A55, Collection!$B:$B, L$2)</f>
        <v>0</v>
      </c>
      <c r="M55" s="49">
        <f>SUMIFS(Collection!$J:$J, Collection!$A:$A, $A55, Collection!$B:$B, M$2)</f>
        <v>0</v>
      </c>
      <c r="N55" s="49">
        <f>SUMIFS(Collection!$J:$J, Collection!$A:$A, $A55, Collection!$B:$B, N$2)</f>
        <v>0</v>
      </c>
      <c r="O55" s="49">
        <f>SUMIFS(Collection!$J:$J, Collection!$A:$A, $A55, Collection!$B:$B, O$2)</f>
        <v>0</v>
      </c>
      <c r="P55" s="49">
        <f>SUMIFS(Collection!$J:$J, Collection!$A:$A, $A55, Collection!$B:$B, P$2)</f>
        <v>0</v>
      </c>
      <c r="Q55" s="49">
        <f>SUMIFS(Collection!$J:$J, Collection!$A:$A, $A55, Collection!$B:$B, Q$2)</f>
        <v>0</v>
      </c>
      <c r="R55" s="49">
        <f>SUMIFS(Collection!$J:$J, Collection!$A:$A, $A55, Collection!$B:$B, R$2)</f>
        <v>1650</v>
      </c>
      <c r="S55" s="49">
        <f>SUMIFS(Collection!$J:$J, Collection!$A:$A, $A55, Collection!$B:$B, S$2)</f>
        <v>0</v>
      </c>
      <c r="T55" s="49">
        <f>SUMIFS(Collection!$J:$J, Collection!$A:$A, $A55, Collection!$B:$B, T$2)</f>
        <v>0</v>
      </c>
      <c r="U55" s="49">
        <f>SUMIFS(Collection!$J:$J, Collection!$A:$A, $A55, Collection!$B:$B, U$2)</f>
        <v>0</v>
      </c>
      <c r="V55" s="49">
        <f>SUMIFS(Collection!$J:$J, Collection!$A:$A, $A55, Collection!$B:$B, V$2)</f>
        <v>0</v>
      </c>
      <c r="W55" s="49">
        <f>SUMIFS(Collection!$J:$J, Collection!$A:$A, $A55, Collection!$B:$B, W$2)</f>
        <v>0</v>
      </c>
      <c r="X55" s="49">
        <f>SUMIFS(Collection!$J:$J, Collection!$A:$A, $A55, Collection!$B:$B, X$2)</f>
        <v>0</v>
      </c>
      <c r="Y55" s="49">
        <f>SUMIFS(Collection!$J:$J, Collection!$A:$A, $A55, Collection!$B:$B, Y$2)</f>
        <v>0</v>
      </c>
      <c r="Z55" s="49"/>
      <c r="AA55" s="49">
        <f t="shared" si="0"/>
        <v>0</v>
      </c>
      <c r="AB55" s="49">
        <f t="shared" si="1"/>
        <v>0</v>
      </c>
      <c r="AC55" s="49">
        <f t="shared" si="2"/>
        <v>0</v>
      </c>
      <c r="AD55" s="49">
        <f t="shared" si="3"/>
        <v>0</v>
      </c>
      <c r="AE55" s="49">
        <f t="shared" si="4"/>
        <v>0</v>
      </c>
      <c r="AF55" s="49">
        <f t="shared" si="5"/>
        <v>0</v>
      </c>
      <c r="AG55" s="49">
        <f t="shared" si="6"/>
        <v>0</v>
      </c>
      <c r="AH55" s="288">
        <f t="shared" si="7"/>
        <v>0</v>
      </c>
      <c r="AJ55" s="288">
        <f>SUM($S$4:S55)</f>
        <v>959265</v>
      </c>
      <c r="AK55" s="288">
        <f>AJ55/Resources!$B$10</f>
        <v>79938.75</v>
      </c>
      <c r="AL55" s="288">
        <f>SUM($Y$4:Y55)</f>
        <v>105066.66666666667</v>
      </c>
      <c r="AM55" s="295">
        <f>AL55/Resources!$B$11</f>
        <v>8755.5555555555566</v>
      </c>
      <c r="AN55" s="288">
        <f>SUM($L$4:L55)</f>
        <v>705188.33333333337</v>
      </c>
      <c r="AO55" s="288">
        <f>AN55/Resources!$B$12</f>
        <v>47012.555555555555</v>
      </c>
      <c r="AP55" s="288">
        <f>SUM($R$4:R55)</f>
        <v>939467.77777777775</v>
      </c>
      <c r="AQ55" s="288">
        <f>AP55/Resources!$B$13</f>
        <v>93946.777777777781</v>
      </c>
      <c r="AR55" s="288"/>
      <c r="AS55" s="288"/>
      <c r="AT55" s="288"/>
      <c r="AU55" s="288"/>
      <c r="AV55" s="288"/>
      <c r="AW55" s="288"/>
      <c r="AX55" s="288"/>
      <c r="AY55" s="288"/>
      <c r="AZ55" s="288">
        <f>SUM($I$4:I55,$K$4:K55)</f>
        <v>2115476.666666667</v>
      </c>
      <c r="BA55" s="288">
        <f>AZ55/Resources!$B$6</f>
        <v>66108.645833333343</v>
      </c>
      <c r="BB55" s="288">
        <f>SUM($D$4:D55,$G$4:G55)</f>
        <v>2178386.666666667</v>
      </c>
      <c r="BC55" s="288">
        <f>BB55/Resources!$B$7</f>
        <v>72612.888888888905</v>
      </c>
      <c r="BD55" s="288">
        <f>SUM($C$4:C55,$H$4:H55)</f>
        <v>2373206.6666666665</v>
      </c>
      <c r="BE55" s="300">
        <f>BD55/Resources!$B$8</f>
        <v>91277.179487179485</v>
      </c>
      <c r="BF55" s="288">
        <f>SUM($B$4:B55,$F$4:F55)</f>
        <v>3153773.333333333</v>
      </c>
      <c r="BG55" s="288">
        <f>BF55/Resources!$B$9</f>
        <v>101734.62365591397</v>
      </c>
      <c r="BH55" s="288">
        <f>SUM($X$4:X55,$E$4:E55)</f>
        <v>1123850.5555555557</v>
      </c>
      <c r="BI55" s="288">
        <f>BH55/Resources!$B$2</f>
        <v>46827.106481481489</v>
      </c>
      <c r="BJ55" s="288">
        <f>SUM($V$4:V55,$T$4:T55)</f>
        <v>277708.33333333331</v>
      </c>
      <c r="BK55" s="288">
        <f>BJ55/Resources!$B$3</f>
        <v>10681.089743589742</v>
      </c>
      <c r="BL55" s="288">
        <f>SUM($W$4:W55, $M$4:M55)</f>
        <v>397675</v>
      </c>
      <c r="BM55" s="288">
        <f>BL55/Resources!$B$4</f>
        <v>14202.678571428571</v>
      </c>
      <c r="BN55" s="288">
        <f>SUM($P$4:P55,$Q$4:Q55)</f>
        <v>1116063.3333333333</v>
      </c>
      <c r="BO55" s="297">
        <f>BN55/Resources!$B$5</f>
        <v>41335.679012345674</v>
      </c>
    </row>
    <row r="56" spans="1:67" ht="18">
      <c r="A56" s="34">
        <f t="shared" si="8"/>
        <v>42918</v>
      </c>
      <c r="B56" s="49">
        <f>SUMIFS(Collection!$J:$J, Collection!$A:$A, $A56, Collection!$B:$B, B$2)</f>
        <v>0</v>
      </c>
      <c r="C56" s="49">
        <f>SUMIFS(Collection!$J:$J, Collection!$A:$A, $A56, Collection!$B:$B, C$2)</f>
        <v>0</v>
      </c>
      <c r="D56" s="49">
        <f>SUMIFS(Collection!$J:$J, Collection!$A:$A, $A56, Collection!$B:$B, D$2)</f>
        <v>0</v>
      </c>
      <c r="E56" s="49">
        <f>SUMIFS(Collection!$J:$J, Collection!$A:$A, $A56, Collection!$B:$B, E$2)</f>
        <v>0</v>
      </c>
      <c r="F56" s="49">
        <f>SUMIFS(Collection!$J:$J, Collection!$A:$A, $A56, Collection!$B:$B, F$2)</f>
        <v>0</v>
      </c>
      <c r="G56" s="49">
        <f>SUMIFS(Collection!$J:$J, Collection!$A:$A, $A56, Collection!$B:$B, G$2)</f>
        <v>0</v>
      </c>
      <c r="H56" s="49">
        <f>SUMIFS(Collection!$J:$J, Collection!$A:$A, $A56, Collection!$B:$B, H$2)</f>
        <v>0</v>
      </c>
      <c r="I56" s="49">
        <f>SUMIFS(Collection!$J:$J, Collection!$A:$A, $A56, Collection!$B:$B, I$2)</f>
        <v>0</v>
      </c>
      <c r="J56" s="49">
        <f>SUMIFS(Collection!$J:$J, Collection!$A:$A, $A56, Collection!$B:$B, J$2)</f>
        <v>0</v>
      </c>
      <c r="K56" s="49">
        <f>SUMIFS(Collection!$J:$J, Collection!$A:$A, $A56, Collection!$B:$B, K$2)</f>
        <v>0</v>
      </c>
      <c r="L56" s="49">
        <f>SUMIFS(Collection!$J:$J, Collection!$A:$A, $A56, Collection!$B:$B, L$2)</f>
        <v>0</v>
      </c>
      <c r="M56" s="49">
        <f>SUMIFS(Collection!$J:$J, Collection!$A:$A, $A56, Collection!$B:$B, M$2)</f>
        <v>0</v>
      </c>
      <c r="N56" s="49">
        <f>SUMIFS(Collection!$J:$J, Collection!$A:$A, $A56, Collection!$B:$B, N$2)</f>
        <v>0</v>
      </c>
      <c r="O56" s="49">
        <f>SUMIFS(Collection!$J:$J, Collection!$A:$A, $A56, Collection!$B:$B, O$2)</f>
        <v>0</v>
      </c>
      <c r="P56" s="49">
        <f>SUMIFS(Collection!$J:$J, Collection!$A:$A, $A56, Collection!$B:$B, P$2)</f>
        <v>0</v>
      </c>
      <c r="Q56" s="49">
        <f>SUMIFS(Collection!$J:$J, Collection!$A:$A, $A56, Collection!$B:$B, Q$2)</f>
        <v>0</v>
      </c>
      <c r="R56" s="49">
        <f>SUMIFS(Collection!$J:$J, Collection!$A:$A, $A56, Collection!$B:$B, R$2)</f>
        <v>0</v>
      </c>
      <c r="S56" s="49">
        <f>SUMIFS(Collection!$J:$J, Collection!$A:$A, $A56, Collection!$B:$B, S$2)</f>
        <v>0</v>
      </c>
      <c r="T56" s="49">
        <f>SUMIFS(Collection!$J:$J, Collection!$A:$A, $A56, Collection!$B:$B, T$2)</f>
        <v>0</v>
      </c>
      <c r="U56" s="49">
        <f>SUMIFS(Collection!$J:$J, Collection!$A:$A, $A56, Collection!$B:$B, U$2)</f>
        <v>0</v>
      </c>
      <c r="V56" s="49">
        <f>SUMIFS(Collection!$J:$J, Collection!$A:$A, $A56, Collection!$B:$B, V$2)</f>
        <v>0</v>
      </c>
      <c r="W56" s="49">
        <f>SUMIFS(Collection!$J:$J, Collection!$A:$A, $A56, Collection!$B:$B, W$2)</f>
        <v>0</v>
      </c>
      <c r="X56" s="49">
        <f>SUMIFS(Collection!$J:$J, Collection!$A:$A, $A56, Collection!$B:$B, X$2)</f>
        <v>0</v>
      </c>
      <c r="Y56" s="49">
        <f>SUMIFS(Collection!$J:$J, Collection!$A:$A, $A56, Collection!$B:$B, Y$2)</f>
        <v>0</v>
      </c>
      <c r="Z56" s="49"/>
      <c r="AA56" s="49">
        <f t="shared" si="0"/>
        <v>0</v>
      </c>
      <c r="AB56" s="49">
        <f t="shared" si="1"/>
        <v>0</v>
      </c>
      <c r="AC56" s="49">
        <f t="shared" si="2"/>
        <v>0</v>
      </c>
      <c r="AD56" s="49">
        <f t="shared" si="3"/>
        <v>0</v>
      </c>
      <c r="AE56" s="49">
        <f t="shared" si="4"/>
        <v>0</v>
      </c>
      <c r="AF56" s="49">
        <f t="shared" si="5"/>
        <v>0</v>
      </c>
      <c r="AG56" s="49">
        <f t="shared" si="6"/>
        <v>0</v>
      </c>
      <c r="AH56" s="288">
        <f t="shared" si="7"/>
        <v>0</v>
      </c>
      <c r="AJ56" s="288">
        <f>SUM($S$4:S56)</f>
        <v>959265</v>
      </c>
      <c r="AK56" s="288">
        <f>AJ56/Resources!$B$10</f>
        <v>79938.75</v>
      </c>
      <c r="AL56" s="288">
        <f>SUM($Y$4:Y56)</f>
        <v>105066.66666666667</v>
      </c>
      <c r="AM56" s="295">
        <f>AL56/Resources!$B$11</f>
        <v>8755.5555555555566</v>
      </c>
      <c r="AN56" s="288">
        <f>SUM($L$4:L56)</f>
        <v>705188.33333333337</v>
      </c>
      <c r="AO56" s="288">
        <f>AN56/Resources!$B$12</f>
        <v>47012.555555555555</v>
      </c>
      <c r="AP56" s="288">
        <f>SUM($R$4:R56)</f>
        <v>939467.77777777775</v>
      </c>
      <c r="AQ56" s="288">
        <f>AP56/Resources!$B$13</f>
        <v>93946.777777777781</v>
      </c>
      <c r="AR56" s="288"/>
      <c r="AS56" s="288"/>
      <c r="AT56" s="288"/>
      <c r="AU56" s="288"/>
      <c r="AV56" s="288"/>
      <c r="AW56" s="288"/>
      <c r="AX56" s="288"/>
      <c r="AY56" s="288"/>
      <c r="AZ56" s="288">
        <f>SUM($I$4:I56,$K$4:K56)</f>
        <v>2115476.666666667</v>
      </c>
      <c r="BA56" s="288">
        <f>AZ56/Resources!$B$6</f>
        <v>66108.645833333343</v>
      </c>
      <c r="BB56" s="288">
        <f>SUM($D$4:D56,$G$4:G56)</f>
        <v>2178386.666666667</v>
      </c>
      <c r="BC56" s="288">
        <f>BB56/Resources!$B$7</f>
        <v>72612.888888888905</v>
      </c>
      <c r="BD56" s="288">
        <f>SUM($C$4:C56,$H$4:H56)</f>
        <v>2373206.6666666665</v>
      </c>
      <c r="BE56" s="300">
        <f>BD56/Resources!$B$8</f>
        <v>91277.179487179485</v>
      </c>
      <c r="BF56" s="288">
        <f>SUM($B$4:B56,$F$4:F56)</f>
        <v>3153773.333333333</v>
      </c>
      <c r="BG56" s="288">
        <f>BF56/Resources!$B$9</f>
        <v>101734.62365591397</v>
      </c>
      <c r="BH56" s="288">
        <f>SUM($X$4:X56,$E$4:E56)</f>
        <v>1123850.5555555557</v>
      </c>
      <c r="BI56" s="288">
        <f>BH56/Resources!$B$2</f>
        <v>46827.106481481489</v>
      </c>
      <c r="BJ56" s="288">
        <f>SUM($V$4:V56,$T$4:T56)</f>
        <v>277708.33333333331</v>
      </c>
      <c r="BK56" s="288">
        <f>BJ56/Resources!$B$3</f>
        <v>10681.089743589742</v>
      </c>
      <c r="BL56" s="288">
        <f>SUM($W$4:W56, $M$4:M56)</f>
        <v>397675</v>
      </c>
      <c r="BM56" s="288">
        <f>BL56/Resources!$B$4</f>
        <v>14202.678571428571</v>
      </c>
      <c r="BN56" s="288">
        <f>SUM($P$4:P56,$Q$4:Q56)</f>
        <v>1116063.3333333333</v>
      </c>
      <c r="BO56" s="297">
        <f>BN56/Resources!$B$5</f>
        <v>41335.679012345674</v>
      </c>
    </row>
    <row r="57" spans="1:67" ht="18">
      <c r="A57" s="34">
        <f t="shared" si="8"/>
        <v>42919</v>
      </c>
      <c r="B57" s="49">
        <f>SUMIFS(Collection!$J:$J, Collection!$A:$A, $A57, Collection!$B:$B, B$2)</f>
        <v>0</v>
      </c>
      <c r="C57" s="49">
        <f>SUMIFS(Collection!$J:$J, Collection!$A:$A, $A57, Collection!$B:$B, C$2)</f>
        <v>0</v>
      </c>
      <c r="D57" s="49">
        <f>SUMIFS(Collection!$J:$J, Collection!$A:$A, $A57, Collection!$B:$B, D$2)</f>
        <v>0</v>
      </c>
      <c r="E57" s="49">
        <f>SUMIFS(Collection!$J:$J, Collection!$A:$A, $A57, Collection!$B:$B, E$2)</f>
        <v>0</v>
      </c>
      <c r="F57" s="49">
        <f>SUMIFS(Collection!$J:$J, Collection!$A:$A, $A57, Collection!$B:$B, F$2)</f>
        <v>0</v>
      </c>
      <c r="G57" s="49">
        <f>SUMIFS(Collection!$J:$J, Collection!$A:$A, $A57, Collection!$B:$B, G$2)</f>
        <v>0</v>
      </c>
      <c r="H57" s="49">
        <f>SUMIFS(Collection!$J:$J, Collection!$A:$A, $A57, Collection!$B:$B, H$2)</f>
        <v>0</v>
      </c>
      <c r="I57" s="49">
        <f>SUMIFS(Collection!$J:$J, Collection!$A:$A, $A57, Collection!$B:$B, I$2)</f>
        <v>0</v>
      </c>
      <c r="J57" s="49">
        <f>SUMIFS(Collection!$J:$J, Collection!$A:$A, $A57, Collection!$B:$B, J$2)</f>
        <v>0</v>
      </c>
      <c r="K57" s="49">
        <f>SUMIFS(Collection!$J:$J, Collection!$A:$A, $A57, Collection!$B:$B, K$2)</f>
        <v>0</v>
      </c>
      <c r="L57" s="49">
        <f>SUMIFS(Collection!$J:$J, Collection!$A:$A, $A57, Collection!$B:$B, L$2)</f>
        <v>0</v>
      </c>
      <c r="M57" s="49">
        <f>SUMIFS(Collection!$J:$J, Collection!$A:$A, $A57, Collection!$B:$B, M$2)</f>
        <v>0</v>
      </c>
      <c r="N57" s="49">
        <f>SUMIFS(Collection!$J:$J, Collection!$A:$A, $A57, Collection!$B:$B, N$2)</f>
        <v>0</v>
      </c>
      <c r="O57" s="49">
        <f>SUMIFS(Collection!$J:$J, Collection!$A:$A, $A57, Collection!$B:$B, O$2)</f>
        <v>0</v>
      </c>
      <c r="P57" s="49">
        <f>SUMIFS(Collection!$J:$J, Collection!$A:$A, $A57, Collection!$B:$B, P$2)</f>
        <v>0</v>
      </c>
      <c r="Q57" s="49">
        <f>SUMIFS(Collection!$J:$J, Collection!$A:$A, $A57, Collection!$B:$B, Q$2)</f>
        <v>0</v>
      </c>
      <c r="R57" s="49">
        <f>SUMIFS(Collection!$J:$J, Collection!$A:$A, $A57, Collection!$B:$B, R$2)</f>
        <v>0</v>
      </c>
      <c r="S57" s="49">
        <f>SUMIFS(Collection!$J:$J, Collection!$A:$A, $A57, Collection!$B:$B, S$2)</f>
        <v>0</v>
      </c>
      <c r="T57" s="49">
        <f>SUMIFS(Collection!$J:$J, Collection!$A:$A, $A57, Collection!$B:$B, T$2)</f>
        <v>0</v>
      </c>
      <c r="U57" s="49">
        <f>SUMIFS(Collection!$J:$J, Collection!$A:$A, $A57, Collection!$B:$B, U$2)</f>
        <v>0</v>
      </c>
      <c r="V57" s="49">
        <f>SUMIFS(Collection!$J:$J, Collection!$A:$A, $A57, Collection!$B:$B, V$2)</f>
        <v>0</v>
      </c>
      <c r="W57" s="49">
        <f>SUMIFS(Collection!$J:$J, Collection!$A:$A, $A57, Collection!$B:$B, W$2)</f>
        <v>41958.333333333328</v>
      </c>
      <c r="X57" s="49">
        <f>SUMIFS(Collection!$J:$J, Collection!$A:$A, $A57, Collection!$B:$B, X$2)</f>
        <v>0</v>
      </c>
      <c r="Y57" s="49">
        <f>SUMIFS(Collection!$J:$J, Collection!$A:$A, $A57, Collection!$B:$B, Y$2)</f>
        <v>0</v>
      </c>
      <c r="Z57" s="49"/>
      <c r="AA57" s="49">
        <f t="shared" si="0"/>
        <v>0</v>
      </c>
      <c r="AB57" s="49">
        <f t="shared" si="1"/>
        <v>0</v>
      </c>
      <c r="AC57" s="49">
        <f t="shared" si="2"/>
        <v>0</v>
      </c>
      <c r="AD57" s="49">
        <f t="shared" si="3"/>
        <v>0</v>
      </c>
      <c r="AE57" s="49">
        <f t="shared" si="4"/>
        <v>0</v>
      </c>
      <c r="AF57" s="49">
        <f t="shared" si="5"/>
        <v>0</v>
      </c>
      <c r="AG57" s="49">
        <f t="shared" si="6"/>
        <v>41958.333333333328</v>
      </c>
      <c r="AH57" s="288">
        <f t="shared" si="7"/>
        <v>0</v>
      </c>
      <c r="AJ57" s="288">
        <f>SUM($S$4:S57)</f>
        <v>959265</v>
      </c>
      <c r="AK57" s="288">
        <f>AJ57/Resources!$B$10</f>
        <v>79938.75</v>
      </c>
      <c r="AL57" s="288">
        <f>SUM($Y$4:Y57)</f>
        <v>105066.66666666667</v>
      </c>
      <c r="AM57" s="295">
        <f>AL57/Resources!$B$11</f>
        <v>8755.5555555555566</v>
      </c>
      <c r="AN57" s="288">
        <f>SUM($L$4:L57)</f>
        <v>705188.33333333337</v>
      </c>
      <c r="AO57" s="288">
        <f>AN57/Resources!$B$12</f>
        <v>47012.555555555555</v>
      </c>
      <c r="AP57" s="288">
        <f>SUM($R$4:R57)</f>
        <v>939467.77777777775</v>
      </c>
      <c r="AQ57" s="288">
        <f>AP57/Resources!$B$13</f>
        <v>93946.777777777781</v>
      </c>
      <c r="AR57" s="288"/>
      <c r="AS57" s="288"/>
      <c r="AT57" s="288"/>
      <c r="AU57" s="288"/>
      <c r="AV57" s="288"/>
      <c r="AW57" s="288"/>
      <c r="AX57" s="288"/>
      <c r="AY57" s="288"/>
      <c r="AZ57" s="288">
        <f>SUM($I$4:I57,$K$4:K57)</f>
        <v>2115476.666666667</v>
      </c>
      <c r="BA57" s="288">
        <f>AZ57/Resources!$B$6</f>
        <v>66108.645833333343</v>
      </c>
      <c r="BB57" s="288">
        <f>SUM($D$4:D57,$G$4:G57)</f>
        <v>2178386.666666667</v>
      </c>
      <c r="BC57" s="288">
        <f>BB57/Resources!$B$7</f>
        <v>72612.888888888905</v>
      </c>
      <c r="BD57" s="288">
        <f>SUM($C$4:C57,$H$4:H57)</f>
        <v>2373206.6666666665</v>
      </c>
      <c r="BE57" s="300">
        <f>BD57/Resources!$B$8</f>
        <v>91277.179487179485</v>
      </c>
      <c r="BF57" s="288">
        <f>SUM($B$4:B57,$F$4:F57)</f>
        <v>3153773.333333333</v>
      </c>
      <c r="BG57" s="288">
        <f>BF57/Resources!$B$9</f>
        <v>101734.62365591397</v>
      </c>
      <c r="BH57" s="288">
        <f>SUM($X$4:X57,$E$4:E57)</f>
        <v>1123850.5555555557</v>
      </c>
      <c r="BI57" s="288">
        <f>BH57/Resources!$B$2</f>
        <v>46827.106481481489</v>
      </c>
      <c r="BJ57" s="288">
        <f>SUM($V$4:V57,$T$4:T57)</f>
        <v>277708.33333333331</v>
      </c>
      <c r="BK57" s="288">
        <f>BJ57/Resources!$B$3</f>
        <v>10681.089743589742</v>
      </c>
      <c r="BL57" s="288">
        <f>SUM($W$4:W57, $M$4:M57)</f>
        <v>439633.33333333337</v>
      </c>
      <c r="BM57" s="288">
        <f>BL57/Resources!$B$4</f>
        <v>15701.190476190477</v>
      </c>
      <c r="BN57" s="288">
        <f>SUM($P$4:P57,$Q$4:Q57)</f>
        <v>1116063.3333333333</v>
      </c>
      <c r="BO57" s="297">
        <f>BN57/Resources!$B$5</f>
        <v>41335.679012345674</v>
      </c>
    </row>
    <row r="58" spans="1:67" ht="18">
      <c r="A58" s="34">
        <f t="shared" si="8"/>
        <v>42920</v>
      </c>
      <c r="B58" s="49">
        <f>SUMIFS(Collection!$J:$J, Collection!$A:$A, $A58, Collection!$B:$B, B$2)</f>
        <v>0</v>
      </c>
      <c r="C58" s="49">
        <f>SUMIFS(Collection!$J:$J, Collection!$A:$A, $A58, Collection!$B:$B, C$2)</f>
        <v>0</v>
      </c>
      <c r="D58" s="49">
        <f>SUMIFS(Collection!$J:$J, Collection!$A:$A, $A58, Collection!$B:$B, D$2)</f>
        <v>0</v>
      </c>
      <c r="E58" s="49">
        <f>SUMIFS(Collection!$J:$J, Collection!$A:$A, $A58, Collection!$B:$B, E$2)</f>
        <v>0</v>
      </c>
      <c r="F58" s="49">
        <f>SUMIFS(Collection!$J:$J, Collection!$A:$A, $A58, Collection!$B:$B, F$2)</f>
        <v>0</v>
      </c>
      <c r="G58" s="49">
        <f>SUMIFS(Collection!$J:$J, Collection!$A:$A, $A58, Collection!$B:$B, G$2)</f>
        <v>0</v>
      </c>
      <c r="H58" s="49">
        <f>SUMIFS(Collection!$J:$J, Collection!$A:$A, $A58, Collection!$B:$B, H$2)</f>
        <v>0</v>
      </c>
      <c r="I58" s="49">
        <f>SUMIFS(Collection!$J:$J, Collection!$A:$A, $A58, Collection!$B:$B, I$2)</f>
        <v>0</v>
      </c>
      <c r="J58" s="49">
        <f>SUMIFS(Collection!$J:$J, Collection!$A:$A, $A58, Collection!$B:$B, J$2)</f>
        <v>0</v>
      </c>
      <c r="K58" s="49">
        <f>SUMIFS(Collection!$J:$J, Collection!$A:$A, $A58, Collection!$B:$B, K$2)</f>
        <v>0</v>
      </c>
      <c r="L58" s="49">
        <f>SUMIFS(Collection!$J:$J, Collection!$A:$A, $A58, Collection!$B:$B, L$2)</f>
        <v>0</v>
      </c>
      <c r="M58" s="49">
        <f>SUMIFS(Collection!$J:$J, Collection!$A:$A, $A58, Collection!$B:$B, M$2)</f>
        <v>0</v>
      </c>
      <c r="N58" s="49">
        <f>SUMIFS(Collection!$J:$J, Collection!$A:$A, $A58, Collection!$B:$B, N$2)</f>
        <v>0</v>
      </c>
      <c r="O58" s="49">
        <f>SUMIFS(Collection!$J:$J, Collection!$A:$A, $A58, Collection!$B:$B, O$2)</f>
        <v>0</v>
      </c>
      <c r="P58" s="49">
        <f>SUMIFS(Collection!$J:$J, Collection!$A:$A, $A58, Collection!$B:$B, P$2)</f>
        <v>0</v>
      </c>
      <c r="Q58" s="49">
        <f>SUMIFS(Collection!$J:$J, Collection!$A:$A, $A58, Collection!$B:$B, Q$2)</f>
        <v>0</v>
      </c>
      <c r="R58" s="49">
        <f>SUMIFS(Collection!$J:$J, Collection!$A:$A, $A58, Collection!$B:$B, R$2)</f>
        <v>0</v>
      </c>
      <c r="S58" s="49">
        <f>SUMIFS(Collection!$J:$J, Collection!$A:$A, $A58, Collection!$B:$B, S$2)</f>
        <v>0</v>
      </c>
      <c r="T58" s="49">
        <f>SUMIFS(Collection!$J:$J, Collection!$A:$A, $A58, Collection!$B:$B, T$2)</f>
        <v>0</v>
      </c>
      <c r="U58" s="49">
        <f>SUMIFS(Collection!$J:$J, Collection!$A:$A, $A58, Collection!$B:$B, U$2)</f>
        <v>0</v>
      </c>
      <c r="V58" s="49">
        <f>SUMIFS(Collection!$J:$J, Collection!$A:$A, $A58, Collection!$B:$B, V$2)</f>
        <v>0</v>
      </c>
      <c r="W58" s="49">
        <f>SUMIFS(Collection!$J:$J, Collection!$A:$A, $A58, Collection!$B:$B, W$2)</f>
        <v>0</v>
      </c>
      <c r="X58" s="49">
        <f>SUMIFS(Collection!$J:$J, Collection!$A:$A, $A58, Collection!$B:$B, X$2)</f>
        <v>0</v>
      </c>
      <c r="Y58" s="49">
        <f>SUMIFS(Collection!$J:$J, Collection!$A:$A, $A58, Collection!$B:$B, Y$2)</f>
        <v>0</v>
      </c>
      <c r="Z58" s="49"/>
      <c r="AA58" s="49">
        <f t="shared" si="0"/>
        <v>0</v>
      </c>
      <c r="AB58" s="49">
        <f t="shared" si="1"/>
        <v>0</v>
      </c>
      <c r="AC58" s="49">
        <f t="shared" si="2"/>
        <v>0</v>
      </c>
      <c r="AD58" s="49">
        <f t="shared" si="3"/>
        <v>0</v>
      </c>
      <c r="AE58" s="49">
        <f t="shared" si="4"/>
        <v>0</v>
      </c>
      <c r="AF58" s="49">
        <f t="shared" si="5"/>
        <v>0</v>
      </c>
      <c r="AG58" s="49">
        <f t="shared" si="6"/>
        <v>0</v>
      </c>
      <c r="AH58" s="288">
        <f t="shared" si="7"/>
        <v>0</v>
      </c>
      <c r="AJ58" s="288">
        <f>SUM($S$4:S58)</f>
        <v>959265</v>
      </c>
      <c r="AK58" s="288">
        <f>AJ58/Resources!$B$10</f>
        <v>79938.75</v>
      </c>
      <c r="AL58" s="288">
        <f>SUM($Y$4:Y58)</f>
        <v>105066.66666666667</v>
      </c>
      <c r="AM58" s="295">
        <f>AL58/Resources!$B$11</f>
        <v>8755.5555555555566</v>
      </c>
      <c r="AN58" s="288">
        <f>SUM($L$4:L58)</f>
        <v>705188.33333333337</v>
      </c>
      <c r="AO58" s="288">
        <f>AN58/Resources!$B$12</f>
        <v>47012.555555555555</v>
      </c>
      <c r="AP58" s="288">
        <f>SUM($R$4:R58)</f>
        <v>939467.77777777775</v>
      </c>
      <c r="AQ58" s="288">
        <f>AP58/Resources!$B$13</f>
        <v>93946.777777777781</v>
      </c>
      <c r="AR58" s="288"/>
      <c r="AS58" s="288"/>
      <c r="AT58" s="288"/>
      <c r="AU58" s="288"/>
      <c r="AV58" s="288"/>
      <c r="AW58" s="288"/>
      <c r="AX58" s="288"/>
      <c r="AY58" s="288"/>
      <c r="AZ58" s="288">
        <f>SUM($I$4:I58,$K$4:K58)</f>
        <v>2115476.666666667</v>
      </c>
      <c r="BA58" s="288">
        <f>AZ58/Resources!$B$6</f>
        <v>66108.645833333343</v>
      </c>
      <c r="BB58" s="288">
        <f>SUM($D$4:D58,$G$4:G58)</f>
        <v>2178386.666666667</v>
      </c>
      <c r="BC58" s="288">
        <f>BB58/Resources!$B$7</f>
        <v>72612.888888888905</v>
      </c>
      <c r="BD58" s="288">
        <f>SUM($C$4:C58,$H$4:H58)</f>
        <v>2373206.6666666665</v>
      </c>
      <c r="BE58" s="300">
        <f>BD58/Resources!$B$8</f>
        <v>91277.179487179485</v>
      </c>
      <c r="BF58" s="288">
        <f>SUM($B$4:B58,$F$4:F58)</f>
        <v>3153773.333333333</v>
      </c>
      <c r="BG58" s="288">
        <f>BF58/Resources!$B$9</f>
        <v>101734.62365591397</v>
      </c>
      <c r="BH58" s="288">
        <f>SUM($X$4:X58,$E$4:E58)</f>
        <v>1123850.5555555557</v>
      </c>
      <c r="BI58" s="288">
        <f>BH58/Resources!$B$2</f>
        <v>46827.106481481489</v>
      </c>
      <c r="BJ58" s="288">
        <f>SUM($V$4:V58,$T$4:T58)</f>
        <v>277708.33333333331</v>
      </c>
      <c r="BK58" s="288">
        <f>BJ58/Resources!$B$3</f>
        <v>10681.089743589742</v>
      </c>
      <c r="BL58" s="288">
        <f>SUM($W$4:W58, $M$4:M58)</f>
        <v>439633.33333333337</v>
      </c>
      <c r="BM58" s="288">
        <f>BL58/Resources!$B$4</f>
        <v>15701.190476190477</v>
      </c>
      <c r="BN58" s="288">
        <f>SUM($P$4:P58,$Q$4:Q58)</f>
        <v>1116063.3333333333</v>
      </c>
      <c r="BO58" s="297">
        <f>BN58/Resources!$B$5</f>
        <v>41335.679012345674</v>
      </c>
    </row>
    <row r="59" spans="1:67" ht="18">
      <c r="A59" s="34">
        <f t="shared" si="8"/>
        <v>42921</v>
      </c>
      <c r="B59" s="49">
        <f>SUMIFS(Collection!$J:$J, Collection!$A:$A, $A59, Collection!$B:$B, B$2)</f>
        <v>0</v>
      </c>
      <c r="C59" s="49">
        <f>SUMIFS(Collection!$J:$J, Collection!$A:$A, $A59, Collection!$B:$B, C$2)</f>
        <v>0</v>
      </c>
      <c r="D59" s="49">
        <f>SUMIFS(Collection!$J:$J, Collection!$A:$A, $A59, Collection!$B:$B, D$2)</f>
        <v>0</v>
      </c>
      <c r="E59" s="49">
        <f>SUMIFS(Collection!$J:$J, Collection!$A:$A, $A59, Collection!$B:$B, E$2)</f>
        <v>0</v>
      </c>
      <c r="F59" s="49">
        <f>SUMIFS(Collection!$J:$J, Collection!$A:$A, $A59, Collection!$B:$B, F$2)</f>
        <v>416.66666666666669</v>
      </c>
      <c r="G59" s="49">
        <f>SUMIFS(Collection!$J:$J, Collection!$A:$A, $A59, Collection!$B:$B, G$2)</f>
        <v>0</v>
      </c>
      <c r="H59" s="49">
        <f>SUMIFS(Collection!$J:$J, Collection!$A:$A, $A59, Collection!$B:$B, H$2)</f>
        <v>0</v>
      </c>
      <c r="I59" s="49">
        <f>SUMIFS(Collection!$J:$J, Collection!$A:$A, $A59, Collection!$B:$B, I$2)</f>
        <v>0</v>
      </c>
      <c r="J59" s="49">
        <f>SUMIFS(Collection!$J:$J, Collection!$A:$A, $A59, Collection!$B:$B, J$2)</f>
        <v>0</v>
      </c>
      <c r="K59" s="49">
        <f>SUMIFS(Collection!$J:$J, Collection!$A:$A, $A59, Collection!$B:$B, K$2)</f>
        <v>0</v>
      </c>
      <c r="L59" s="49">
        <f>SUMIFS(Collection!$J:$J, Collection!$A:$A, $A59, Collection!$B:$B, L$2)</f>
        <v>0</v>
      </c>
      <c r="M59" s="49">
        <f>SUMIFS(Collection!$J:$J, Collection!$A:$A, $A59, Collection!$B:$B, M$2)</f>
        <v>0</v>
      </c>
      <c r="N59" s="49">
        <f>SUMIFS(Collection!$J:$J, Collection!$A:$A, $A59, Collection!$B:$B, N$2)</f>
        <v>0</v>
      </c>
      <c r="O59" s="49">
        <f>SUMIFS(Collection!$J:$J, Collection!$A:$A, $A59, Collection!$B:$B, O$2)</f>
        <v>0</v>
      </c>
      <c r="P59" s="49">
        <f>SUMIFS(Collection!$J:$J, Collection!$A:$A, $A59, Collection!$B:$B, P$2)</f>
        <v>0</v>
      </c>
      <c r="Q59" s="49">
        <f>SUMIFS(Collection!$J:$J, Collection!$A:$A, $A59, Collection!$B:$B, Q$2)</f>
        <v>0</v>
      </c>
      <c r="R59" s="49">
        <f>SUMIFS(Collection!$J:$J, Collection!$A:$A, $A59, Collection!$B:$B, R$2)</f>
        <v>0</v>
      </c>
      <c r="S59" s="49">
        <f>SUMIFS(Collection!$J:$J, Collection!$A:$A, $A59, Collection!$B:$B, S$2)</f>
        <v>0</v>
      </c>
      <c r="T59" s="49">
        <f>SUMIFS(Collection!$J:$J, Collection!$A:$A, $A59, Collection!$B:$B, T$2)</f>
        <v>0</v>
      </c>
      <c r="U59" s="49">
        <f>SUMIFS(Collection!$J:$J, Collection!$A:$A, $A59, Collection!$B:$B, U$2)</f>
        <v>0</v>
      </c>
      <c r="V59" s="49">
        <f>SUMIFS(Collection!$J:$J, Collection!$A:$A, $A59, Collection!$B:$B, V$2)</f>
        <v>0</v>
      </c>
      <c r="W59" s="49">
        <f>SUMIFS(Collection!$J:$J, Collection!$A:$A, $A59, Collection!$B:$B, W$2)</f>
        <v>0</v>
      </c>
      <c r="X59" s="49">
        <f>SUMIFS(Collection!$J:$J, Collection!$A:$A, $A59, Collection!$B:$B, X$2)</f>
        <v>0</v>
      </c>
      <c r="Y59" s="49">
        <f>SUMIFS(Collection!$J:$J, Collection!$A:$A, $A59, Collection!$B:$B, Y$2)</f>
        <v>0</v>
      </c>
      <c r="Z59" s="49"/>
      <c r="AA59" s="49">
        <f t="shared" si="0"/>
        <v>0</v>
      </c>
      <c r="AB59" s="49">
        <f t="shared" si="1"/>
        <v>0</v>
      </c>
      <c r="AC59" s="49">
        <f t="shared" si="2"/>
        <v>0</v>
      </c>
      <c r="AD59" s="49">
        <f t="shared" si="3"/>
        <v>416.66666666666669</v>
      </c>
      <c r="AE59" s="49">
        <f t="shared" si="4"/>
        <v>0</v>
      </c>
      <c r="AF59" s="49">
        <f t="shared" si="5"/>
        <v>0</v>
      </c>
      <c r="AG59" s="49">
        <f t="shared" si="6"/>
        <v>0</v>
      </c>
      <c r="AH59" s="288">
        <f t="shared" si="7"/>
        <v>0</v>
      </c>
      <c r="AJ59" s="288">
        <f>SUM($S$4:S59)</f>
        <v>959265</v>
      </c>
      <c r="AK59" s="288">
        <f>AJ59/Resources!$B$10</f>
        <v>79938.75</v>
      </c>
      <c r="AL59" s="288">
        <f>SUM($Y$4:Y59)</f>
        <v>105066.66666666667</v>
      </c>
      <c r="AM59" s="295">
        <f>AL59/Resources!$B$11</f>
        <v>8755.5555555555566</v>
      </c>
      <c r="AN59" s="288">
        <f>SUM($L$4:L59)</f>
        <v>705188.33333333337</v>
      </c>
      <c r="AO59" s="288">
        <f>AN59/Resources!$B$12</f>
        <v>47012.555555555555</v>
      </c>
      <c r="AP59" s="288">
        <f>SUM($R$4:R59)</f>
        <v>939467.77777777775</v>
      </c>
      <c r="AQ59" s="288">
        <f>AP59/Resources!$B$13</f>
        <v>93946.777777777781</v>
      </c>
      <c r="AR59" s="288"/>
      <c r="AS59" s="288"/>
      <c r="AT59" s="288"/>
      <c r="AU59" s="288"/>
      <c r="AV59" s="288"/>
      <c r="AW59" s="288"/>
      <c r="AX59" s="288"/>
      <c r="AY59" s="288"/>
      <c r="AZ59" s="288">
        <f>SUM($I$4:I59,$K$4:K59)</f>
        <v>2115476.666666667</v>
      </c>
      <c r="BA59" s="288">
        <f>AZ59/Resources!$B$6</f>
        <v>66108.645833333343</v>
      </c>
      <c r="BB59" s="288">
        <f>SUM($D$4:D59,$G$4:G59)</f>
        <v>2178386.666666667</v>
      </c>
      <c r="BC59" s="288">
        <f>BB59/Resources!$B$7</f>
        <v>72612.888888888905</v>
      </c>
      <c r="BD59" s="288">
        <f>SUM($C$4:C59,$H$4:H59)</f>
        <v>2373206.6666666665</v>
      </c>
      <c r="BE59" s="300">
        <f>BD59/Resources!$B$8</f>
        <v>91277.179487179485</v>
      </c>
      <c r="BF59" s="288">
        <f>SUM($B$4:B59,$F$4:F59)</f>
        <v>3154189.9999999995</v>
      </c>
      <c r="BG59" s="288">
        <f>BF59/Resources!$B$9</f>
        <v>101748.06451612902</v>
      </c>
      <c r="BH59" s="288">
        <f>SUM($X$4:X59,$E$4:E59)</f>
        <v>1123850.5555555557</v>
      </c>
      <c r="BI59" s="288">
        <f>BH59/Resources!$B$2</f>
        <v>46827.106481481489</v>
      </c>
      <c r="BJ59" s="288">
        <f>SUM($V$4:V59,$T$4:T59)</f>
        <v>277708.33333333331</v>
      </c>
      <c r="BK59" s="288">
        <f>BJ59/Resources!$B$3</f>
        <v>10681.089743589742</v>
      </c>
      <c r="BL59" s="288">
        <f>SUM($W$4:W59, $M$4:M59)</f>
        <v>439633.33333333337</v>
      </c>
      <c r="BM59" s="288">
        <f>BL59/Resources!$B$4</f>
        <v>15701.190476190477</v>
      </c>
      <c r="BN59" s="288">
        <f>SUM($P$4:P59,$Q$4:Q59)</f>
        <v>1116063.3333333333</v>
      </c>
      <c r="BO59" s="297">
        <f>BN59/Resources!$B$5</f>
        <v>41335.679012345674</v>
      </c>
    </row>
    <row r="60" spans="1:67" ht="18">
      <c r="A60" s="34">
        <f t="shared" si="8"/>
        <v>42922</v>
      </c>
      <c r="B60" s="49">
        <f>SUMIFS(Collection!$J:$J, Collection!$A:$A, $A60, Collection!$B:$B, B$2)</f>
        <v>0</v>
      </c>
      <c r="C60" s="49">
        <f>SUMIFS(Collection!$J:$J, Collection!$A:$A, $A60, Collection!$B:$B, C$2)</f>
        <v>0</v>
      </c>
      <c r="D60" s="49">
        <f>SUMIFS(Collection!$J:$J, Collection!$A:$A, $A60, Collection!$B:$B, D$2)</f>
        <v>0</v>
      </c>
      <c r="E60" s="49">
        <f>SUMIFS(Collection!$J:$J, Collection!$A:$A, $A60, Collection!$B:$B, E$2)</f>
        <v>0</v>
      </c>
      <c r="F60" s="49">
        <f>SUMIFS(Collection!$J:$J, Collection!$A:$A, $A60, Collection!$B:$B, F$2)</f>
        <v>266666.66666666663</v>
      </c>
      <c r="G60" s="49">
        <f>SUMIFS(Collection!$J:$J, Collection!$A:$A, $A60, Collection!$B:$B, G$2)</f>
        <v>0</v>
      </c>
      <c r="H60" s="49">
        <f>SUMIFS(Collection!$J:$J, Collection!$A:$A, $A60, Collection!$B:$B, H$2)</f>
        <v>0</v>
      </c>
      <c r="I60" s="49">
        <f>SUMIFS(Collection!$J:$J, Collection!$A:$A, $A60, Collection!$B:$B, I$2)</f>
        <v>0</v>
      </c>
      <c r="J60" s="49">
        <f>SUMIFS(Collection!$J:$J, Collection!$A:$A, $A60, Collection!$B:$B, J$2)</f>
        <v>0</v>
      </c>
      <c r="K60" s="49">
        <f>SUMIFS(Collection!$J:$J, Collection!$A:$A, $A60, Collection!$B:$B, K$2)</f>
        <v>0</v>
      </c>
      <c r="L60" s="49">
        <f>SUMIFS(Collection!$J:$J, Collection!$A:$A, $A60, Collection!$B:$B, L$2)</f>
        <v>0</v>
      </c>
      <c r="M60" s="49">
        <f>SUMIFS(Collection!$J:$J, Collection!$A:$A, $A60, Collection!$B:$B, M$2)</f>
        <v>0</v>
      </c>
      <c r="N60" s="49">
        <f>SUMIFS(Collection!$J:$J, Collection!$A:$A, $A60, Collection!$B:$B, N$2)</f>
        <v>0</v>
      </c>
      <c r="O60" s="49">
        <f>SUMIFS(Collection!$J:$J, Collection!$A:$A, $A60, Collection!$B:$B, O$2)</f>
        <v>0</v>
      </c>
      <c r="P60" s="49">
        <f>SUMIFS(Collection!$J:$J, Collection!$A:$A, $A60, Collection!$B:$B, P$2)</f>
        <v>0</v>
      </c>
      <c r="Q60" s="49">
        <f>SUMIFS(Collection!$J:$J, Collection!$A:$A, $A60, Collection!$B:$B, Q$2)</f>
        <v>0</v>
      </c>
      <c r="R60" s="49">
        <f>SUMIFS(Collection!$J:$J, Collection!$A:$A, $A60, Collection!$B:$B, R$2)</f>
        <v>0</v>
      </c>
      <c r="S60" s="49">
        <f>SUMIFS(Collection!$J:$J, Collection!$A:$A, $A60, Collection!$B:$B, S$2)</f>
        <v>0</v>
      </c>
      <c r="T60" s="49">
        <f>SUMIFS(Collection!$J:$J, Collection!$A:$A, $A60, Collection!$B:$B, T$2)</f>
        <v>0</v>
      </c>
      <c r="U60" s="49">
        <f>SUMIFS(Collection!$J:$J, Collection!$A:$A, $A60, Collection!$B:$B, U$2)</f>
        <v>0</v>
      </c>
      <c r="V60" s="49">
        <f>SUMIFS(Collection!$J:$J, Collection!$A:$A, $A60, Collection!$B:$B, V$2)</f>
        <v>0</v>
      </c>
      <c r="W60" s="49">
        <f>SUMIFS(Collection!$J:$J, Collection!$A:$A, $A60, Collection!$B:$B, W$2)</f>
        <v>0</v>
      </c>
      <c r="X60" s="49">
        <f>SUMIFS(Collection!$J:$J, Collection!$A:$A, $A60, Collection!$B:$B, X$2)</f>
        <v>0</v>
      </c>
      <c r="Y60" s="49">
        <f>SUMIFS(Collection!$J:$J, Collection!$A:$A, $A60, Collection!$B:$B, Y$2)</f>
        <v>66.666666666666657</v>
      </c>
      <c r="Z60" s="49"/>
      <c r="AA60" s="49">
        <f t="shared" si="0"/>
        <v>0</v>
      </c>
      <c r="AB60" s="49">
        <f t="shared" si="1"/>
        <v>0</v>
      </c>
      <c r="AC60" s="49">
        <f t="shared" si="2"/>
        <v>0</v>
      </c>
      <c r="AD60" s="49">
        <f t="shared" si="3"/>
        <v>266666.66666666663</v>
      </c>
      <c r="AE60" s="49">
        <f t="shared" si="4"/>
        <v>0</v>
      </c>
      <c r="AF60" s="49">
        <f t="shared" si="5"/>
        <v>0</v>
      </c>
      <c r="AG60" s="49">
        <f t="shared" si="6"/>
        <v>0</v>
      </c>
      <c r="AH60" s="288">
        <f t="shared" si="7"/>
        <v>0</v>
      </c>
      <c r="AJ60" s="288"/>
      <c r="AK60" s="288"/>
      <c r="AL60" s="288"/>
      <c r="AM60" s="288"/>
      <c r="AN60" s="288"/>
      <c r="AO60" s="288"/>
      <c r="AP60" s="288"/>
      <c r="AQ60" s="288"/>
      <c r="AR60" s="288"/>
      <c r="AS60" s="288"/>
      <c r="AT60" s="288"/>
      <c r="AU60" s="288"/>
      <c r="AV60" s="288"/>
      <c r="AW60" s="288"/>
      <c r="AX60" s="288"/>
      <c r="AY60" s="288"/>
      <c r="AZ60" s="288">
        <f>SUM($I$4:I60,$K$4:K60)</f>
        <v>2115476.666666667</v>
      </c>
      <c r="BA60" s="288">
        <f>AZ60/Resources!$B$6</f>
        <v>66108.645833333343</v>
      </c>
      <c r="BB60" s="288">
        <f>SUM($D$4:D60,$G$4:G60)</f>
        <v>2178386.666666667</v>
      </c>
      <c r="BC60" s="288">
        <f>BB60/Resources!$B$7</f>
        <v>72612.888888888905</v>
      </c>
      <c r="BD60" s="288">
        <f>SUM($C$4:C60,$H$4:H60)</f>
        <v>2373206.6666666665</v>
      </c>
      <c r="BE60" s="300">
        <f>BD60/Resources!$B$8</f>
        <v>91277.179487179485</v>
      </c>
      <c r="BF60" s="288">
        <f>SUM($B$4:B60,$F$4:F60)</f>
        <v>3420856.666666666</v>
      </c>
      <c r="BG60" s="288">
        <f>BF60/Resources!$B$9</f>
        <v>110350.21505376342</v>
      </c>
      <c r="BH60" s="288">
        <f>SUM($X$4:X60,$E$4:E60)</f>
        <v>1123850.5555555557</v>
      </c>
      <c r="BI60" s="288">
        <f>BH60/Resources!$B$2</f>
        <v>46827.106481481489</v>
      </c>
      <c r="BJ60" s="288">
        <f>SUM($V$4:V60,$T$4:T60)</f>
        <v>277708.33333333331</v>
      </c>
      <c r="BK60" s="288">
        <f>BJ60/Resources!$B$3</f>
        <v>10681.089743589742</v>
      </c>
      <c r="BL60" s="288">
        <f>SUM($W$4:W60, $M$4:M60)</f>
        <v>439633.33333333337</v>
      </c>
      <c r="BM60" s="288">
        <f>BL60/Resources!$B$4</f>
        <v>15701.190476190477</v>
      </c>
      <c r="BN60" s="288">
        <f>SUM($P$4:P60,$Q$4:Q60)</f>
        <v>1116063.3333333333</v>
      </c>
      <c r="BO60" s="297">
        <f>BN60/Resources!$B$5</f>
        <v>41335.679012345674</v>
      </c>
    </row>
    <row r="61" spans="1:67" ht="18">
      <c r="A61" s="34">
        <f t="shared" si="8"/>
        <v>42923</v>
      </c>
      <c r="B61" s="49">
        <f>SUMIFS(Collection!$J:$J, Collection!$A:$A, $A61, Collection!$B:$B, B$2)</f>
        <v>0</v>
      </c>
      <c r="C61" s="49">
        <f>SUMIFS(Collection!$J:$J, Collection!$A:$A, $A61, Collection!$B:$B, C$2)</f>
        <v>0</v>
      </c>
      <c r="D61" s="49">
        <f>SUMIFS(Collection!$J:$J, Collection!$A:$A, $A61, Collection!$B:$B, D$2)</f>
        <v>0</v>
      </c>
      <c r="E61" s="49">
        <f>SUMIFS(Collection!$J:$J, Collection!$A:$A, $A61, Collection!$B:$B, E$2)</f>
        <v>0</v>
      </c>
      <c r="F61" s="49">
        <f>SUMIFS(Collection!$J:$J, Collection!$A:$A, $A61, Collection!$B:$B, F$2)</f>
        <v>0</v>
      </c>
      <c r="G61" s="49">
        <f>SUMIFS(Collection!$J:$J, Collection!$A:$A, $A61, Collection!$B:$B, G$2)</f>
        <v>0</v>
      </c>
      <c r="H61" s="49">
        <f>SUMIFS(Collection!$J:$J, Collection!$A:$A, $A61, Collection!$B:$B, H$2)</f>
        <v>0</v>
      </c>
      <c r="I61" s="49">
        <f>SUMIFS(Collection!$J:$J, Collection!$A:$A, $A61, Collection!$B:$B, I$2)</f>
        <v>0</v>
      </c>
      <c r="J61" s="49">
        <f>SUMIFS(Collection!$J:$J, Collection!$A:$A, $A61, Collection!$B:$B, J$2)</f>
        <v>0</v>
      </c>
      <c r="K61" s="49">
        <f>SUMIFS(Collection!$J:$J, Collection!$A:$A, $A61, Collection!$B:$B, K$2)</f>
        <v>0</v>
      </c>
      <c r="L61" s="49">
        <f>SUMIFS(Collection!$J:$J, Collection!$A:$A, $A61, Collection!$B:$B, L$2)</f>
        <v>0</v>
      </c>
      <c r="M61" s="49">
        <f>SUMIFS(Collection!$J:$J, Collection!$A:$A, $A61, Collection!$B:$B, M$2)</f>
        <v>0</v>
      </c>
      <c r="N61" s="49">
        <f>SUMIFS(Collection!$J:$J, Collection!$A:$A, $A61, Collection!$B:$B, N$2)</f>
        <v>0</v>
      </c>
      <c r="O61" s="49">
        <f>SUMIFS(Collection!$J:$J, Collection!$A:$A, $A61, Collection!$B:$B, O$2)</f>
        <v>0</v>
      </c>
      <c r="P61" s="49">
        <f>SUMIFS(Collection!$J:$J, Collection!$A:$A, $A61, Collection!$B:$B, P$2)</f>
        <v>0</v>
      </c>
      <c r="Q61" s="49">
        <f>SUMIFS(Collection!$J:$J, Collection!$A:$A, $A61, Collection!$B:$B, Q$2)</f>
        <v>0</v>
      </c>
      <c r="R61" s="49">
        <f>SUMIFS(Collection!$J:$J, Collection!$A:$A, $A61, Collection!$B:$B, R$2)</f>
        <v>0</v>
      </c>
      <c r="S61" s="49">
        <f>SUMIFS(Collection!$J:$J, Collection!$A:$A, $A61, Collection!$B:$B, S$2)</f>
        <v>0</v>
      </c>
      <c r="T61" s="49">
        <f>SUMIFS(Collection!$J:$J, Collection!$A:$A, $A61, Collection!$B:$B, T$2)</f>
        <v>0</v>
      </c>
      <c r="U61" s="49">
        <f>SUMIFS(Collection!$J:$J, Collection!$A:$A, $A61, Collection!$B:$B, U$2)</f>
        <v>0</v>
      </c>
      <c r="V61" s="49">
        <f>SUMIFS(Collection!$J:$J, Collection!$A:$A, $A61, Collection!$B:$B, V$2)</f>
        <v>0</v>
      </c>
      <c r="W61" s="49">
        <f>SUMIFS(Collection!$J:$J, Collection!$A:$A, $A61, Collection!$B:$B, W$2)</f>
        <v>0</v>
      </c>
      <c r="X61" s="49">
        <f>SUMIFS(Collection!$J:$J, Collection!$A:$A, $A61, Collection!$B:$B, X$2)</f>
        <v>0</v>
      </c>
      <c r="Y61" s="49">
        <f>SUMIFS(Collection!$J:$J, Collection!$A:$A, $A61, Collection!$B:$B, Y$2)</f>
        <v>0</v>
      </c>
      <c r="Z61" s="49"/>
      <c r="AA61" s="49">
        <f t="shared" si="0"/>
        <v>0</v>
      </c>
      <c r="AB61" s="49">
        <f t="shared" si="1"/>
        <v>0</v>
      </c>
      <c r="AC61" s="49">
        <f t="shared" si="2"/>
        <v>0</v>
      </c>
      <c r="AD61" s="49">
        <f t="shared" si="3"/>
        <v>0</v>
      </c>
      <c r="AE61" s="49">
        <f t="shared" si="4"/>
        <v>0</v>
      </c>
      <c r="AF61" s="49">
        <f t="shared" si="5"/>
        <v>0</v>
      </c>
      <c r="AG61" s="49">
        <f t="shared" si="6"/>
        <v>0</v>
      </c>
      <c r="AH61" s="288">
        <f t="shared" si="7"/>
        <v>0</v>
      </c>
      <c r="AJ61" s="288"/>
      <c r="AK61" s="288"/>
      <c r="AL61" s="288"/>
      <c r="AM61" s="288"/>
      <c r="AN61" s="288"/>
      <c r="AO61" s="288"/>
      <c r="AP61" s="288"/>
      <c r="AQ61" s="288"/>
      <c r="AR61" s="288"/>
      <c r="AS61" s="288"/>
      <c r="AT61" s="288"/>
      <c r="AU61" s="288"/>
      <c r="AV61" s="288"/>
      <c r="AW61" s="288"/>
      <c r="AX61" s="288"/>
      <c r="AY61" s="288"/>
      <c r="AZ61" s="288">
        <f>SUM($I$4:I61,$K$4:K61)</f>
        <v>2115476.666666667</v>
      </c>
      <c r="BA61" s="288">
        <f>AZ61/Resources!$B$6</f>
        <v>66108.645833333343</v>
      </c>
      <c r="BB61" s="288">
        <f>SUM($D$4:D61,$G$4:G61)</f>
        <v>2178386.666666667</v>
      </c>
      <c r="BC61" s="288">
        <f>BB61/Resources!$B$7</f>
        <v>72612.888888888905</v>
      </c>
      <c r="BD61" s="288">
        <f>SUM($C$4:C61,$H$4:H61)</f>
        <v>2373206.6666666665</v>
      </c>
      <c r="BE61" s="300">
        <f>BD61/Resources!$B$8</f>
        <v>91277.179487179485</v>
      </c>
      <c r="BF61" s="288">
        <f>SUM($B$4:B61,$F$4:F61)</f>
        <v>3420856.666666666</v>
      </c>
      <c r="BG61" s="288">
        <f>BF61/Resources!$B$9</f>
        <v>110350.21505376342</v>
      </c>
      <c r="BH61" s="288">
        <f>SUM($X$4:X61,$E$4:E61)</f>
        <v>1123850.5555555557</v>
      </c>
      <c r="BI61" s="288">
        <f>BH61/Resources!$B$2</f>
        <v>46827.106481481489</v>
      </c>
      <c r="BJ61" s="288">
        <f>SUM($V$4:V61,$T$4:T61)</f>
        <v>277708.33333333331</v>
      </c>
      <c r="BK61" s="288">
        <f>BJ61/Resources!$B$3</f>
        <v>10681.089743589742</v>
      </c>
      <c r="BL61" s="288">
        <f>SUM($W$4:W61, $M$4:M61)</f>
        <v>439633.33333333337</v>
      </c>
      <c r="BM61" s="288">
        <f>BL61/Resources!$B$4</f>
        <v>15701.190476190477</v>
      </c>
      <c r="BN61" s="288">
        <f>SUM($P$4:P61,$Q$4:Q61)</f>
        <v>1116063.3333333333</v>
      </c>
      <c r="BO61" s="297">
        <f>BN61/Resources!$B$5</f>
        <v>41335.679012345674</v>
      </c>
    </row>
    <row r="62" spans="1:67" ht="18">
      <c r="A62" s="34">
        <f t="shared" si="8"/>
        <v>42924</v>
      </c>
      <c r="B62" s="49">
        <f>SUMIFS(Collection!$J:$J, Collection!$A:$A, $A62, Collection!$B:$B, B$2)</f>
        <v>0</v>
      </c>
      <c r="C62" s="49">
        <f>SUMIFS(Collection!$J:$J, Collection!$A:$A, $A62, Collection!$B:$B, C$2)</f>
        <v>0</v>
      </c>
      <c r="D62" s="49">
        <f>SUMIFS(Collection!$J:$J, Collection!$A:$A, $A62, Collection!$B:$B, D$2)</f>
        <v>0</v>
      </c>
      <c r="E62" s="49">
        <f>SUMIFS(Collection!$J:$J, Collection!$A:$A, $A62, Collection!$B:$B, E$2)</f>
        <v>0</v>
      </c>
      <c r="F62" s="49">
        <f>SUMIFS(Collection!$J:$J, Collection!$A:$A, $A62, Collection!$B:$B, F$2)</f>
        <v>0</v>
      </c>
      <c r="G62" s="49">
        <f>SUMIFS(Collection!$J:$J, Collection!$A:$A, $A62, Collection!$B:$B, G$2)</f>
        <v>0</v>
      </c>
      <c r="H62" s="49">
        <f>SUMIFS(Collection!$J:$J, Collection!$A:$A, $A62, Collection!$B:$B, H$2)</f>
        <v>0</v>
      </c>
      <c r="I62" s="49">
        <f>SUMIFS(Collection!$J:$J, Collection!$A:$A, $A62, Collection!$B:$B, I$2)</f>
        <v>0</v>
      </c>
      <c r="J62" s="49">
        <f>SUMIFS(Collection!$J:$J, Collection!$A:$A, $A62, Collection!$B:$B, J$2)</f>
        <v>0</v>
      </c>
      <c r="K62" s="49">
        <f>SUMIFS(Collection!$J:$J, Collection!$A:$A, $A62, Collection!$B:$B, K$2)</f>
        <v>0</v>
      </c>
      <c r="L62" s="49">
        <f>SUMIFS(Collection!$J:$J, Collection!$A:$A, $A62, Collection!$B:$B, L$2)</f>
        <v>0</v>
      </c>
      <c r="M62" s="49">
        <f>SUMIFS(Collection!$J:$J, Collection!$A:$A, $A62, Collection!$B:$B, M$2)</f>
        <v>0</v>
      </c>
      <c r="N62" s="49">
        <f>SUMIFS(Collection!$J:$J, Collection!$A:$A, $A62, Collection!$B:$B, N$2)</f>
        <v>0</v>
      </c>
      <c r="O62" s="49">
        <f>SUMIFS(Collection!$J:$J, Collection!$A:$A, $A62, Collection!$B:$B, O$2)</f>
        <v>0</v>
      </c>
      <c r="P62" s="49">
        <f>SUMIFS(Collection!$J:$J, Collection!$A:$A, $A62, Collection!$B:$B, P$2)</f>
        <v>0</v>
      </c>
      <c r="Q62" s="49">
        <f>SUMIFS(Collection!$J:$J, Collection!$A:$A, $A62, Collection!$B:$B, Q$2)</f>
        <v>0</v>
      </c>
      <c r="R62" s="49">
        <f>SUMIFS(Collection!$J:$J, Collection!$A:$A, $A62, Collection!$B:$B, R$2)</f>
        <v>0</v>
      </c>
      <c r="S62" s="49">
        <f>SUMIFS(Collection!$J:$J, Collection!$A:$A, $A62, Collection!$B:$B, S$2)</f>
        <v>0</v>
      </c>
      <c r="T62" s="49">
        <f>SUMIFS(Collection!$J:$J, Collection!$A:$A, $A62, Collection!$B:$B, T$2)</f>
        <v>0</v>
      </c>
      <c r="U62" s="49">
        <f>SUMIFS(Collection!$J:$J, Collection!$A:$A, $A62, Collection!$B:$B, U$2)</f>
        <v>0</v>
      </c>
      <c r="V62" s="49">
        <f>SUMIFS(Collection!$J:$J, Collection!$A:$A, $A62, Collection!$B:$B, V$2)</f>
        <v>0</v>
      </c>
      <c r="W62" s="49">
        <f>SUMIFS(Collection!$J:$J, Collection!$A:$A, $A62, Collection!$B:$B, W$2)</f>
        <v>0</v>
      </c>
      <c r="X62" s="49">
        <f>SUMIFS(Collection!$J:$J, Collection!$A:$A, $A62, Collection!$B:$B, X$2)</f>
        <v>0</v>
      </c>
      <c r="Y62" s="49">
        <f>SUMIFS(Collection!$J:$J, Collection!$A:$A, $A62, Collection!$B:$B, Y$2)</f>
        <v>0</v>
      </c>
      <c r="Z62" s="49"/>
      <c r="AA62" s="49">
        <f t="shared" si="0"/>
        <v>0</v>
      </c>
      <c r="AB62" s="49">
        <f t="shared" si="1"/>
        <v>0</v>
      </c>
      <c r="AC62" s="49">
        <f t="shared" si="2"/>
        <v>0</v>
      </c>
      <c r="AD62" s="49">
        <f t="shared" si="3"/>
        <v>0</v>
      </c>
      <c r="AE62" s="49">
        <f t="shared" si="4"/>
        <v>0</v>
      </c>
      <c r="AF62" s="49">
        <f t="shared" si="5"/>
        <v>0</v>
      </c>
      <c r="AG62" s="49">
        <f t="shared" si="6"/>
        <v>0</v>
      </c>
      <c r="AH62" s="288">
        <f t="shared" si="7"/>
        <v>0</v>
      </c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288"/>
      <c r="AW62" s="288"/>
      <c r="AX62" s="288"/>
      <c r="AY62" s="288"/>
      <c r="AZ62" s="288">
        <f>SUM($I$4:I62,$K$4:K62)</f>
        <v>2115476.666666667</v>
      </c>
      <c r="BA62" s="288">
        <f>AZ62/Resources!$B$6</f>
        <v>66108.645833333343</v>
      </c>
      <c r="BB62" s="288">
        <f>SUM($D$4:D62,$G$4:G62)</f>
        <v>2178386.666666667</v>
      </c>
      <c r="BC62" s="288">
        <f>BB62/Resources!$B$7</f>
        <v>72612.888888888905</v>
      </c>
      <c r="BD62" s="288">
        <f>SUM($C$4:C62,$H$4:H62)</f>
        <v>2373206.6666666665</v>
      </c>
      <c r="BE62" s="300">
        <f>BD62/Resources!$B$8</f>
        <v>91277.179487179485</v>
      </c>
      <c r="BF62" s="288">
        <f>SUM($B$4:B62,$F$4:F62)</f>
        <v>3420856.666666666</v>
      </c>
      <c r="BG62" s="288">
        <f>BF62/Resources!$B$9</f>
        <v>110350.21505376342</v>
      </c>
      <c r="BH62" s="288">
        <f>SUM($X$4:X62,$E$4:E62)</f>
        <v>1123850.5555555557</v>
      </c>
      <c r="BI62" s="288">
        <f>BH62/Resources!$B$2</f>
        <v>46827.106481481489</v>
      </c>
      <c r="BJ62" s="288">
        <f>SUM($V$4:V62,$T$4:T62)</f>
        <v>277708.33333333331</v>
      </c>
      <c r="BK62" s="288">
        <f>BJ62/Resources!$B$3</f>
        <v>10681.089743589742</v>
      </c>
      <c r="BL62" s="288">
        <f>SUM($W$4:W62, $M$4:M62)</f>
        <v>439633.33333333337</v>
      </c>
      <c r="BM62" s="288">
        <f>BL62/Resources!$B$4</f>
        <v>15701.190476190477</v>
      </c>
      <c r="BN62" s="288">
        <f>SUM($P$4:P62,$Q$4:Q62)</f>
        <v>1116063.3333333333</v>
      </c>
      <c r="BO62" s="297">
        <f>BN62/Resources!$B$5</f>
        <v>41335.679012345674</v>
      </c>
    </row>
    <row r="63" spans="1:67" ht="18">
      <c r="A63" s="34">
        <f t="shared" si="8"/>
        <v>42925</v>
      </c>
      <c r="B63" s="49">
        <f>SUMIFS(Collection!$J:$J, Collection!$A:$A, $A63, Collection!$B:$B, B$2)</f>
        <v>0</v>
      </c>
      <c r="C63" s="49">
        <f>SUMIFS(Collection!$J:$J, Collection!$A:$A, $A63, Collection!$B:$B, C$2)</f>
        <v>0</v>
      </c>
      <c r="D63" s="49">
        <f>SUMIFS(Collection!$J:$J, Collection!$A:$A, $A63, Collection!$B:$B, D$2)</f>
        <v>0</v>
      </c>
      <c r="E63" s="49">
        <f>SUMIFS(Collection!$J:$J, Collection!$A:$A, $A63, Collection!$B:$B, E$2)</f>
        <v>0</v>
      </c>
      <c r="F63" s="49">
        <f>SUMIFS(Collection!$J:$J, Collection!$A:$A, $A63, Collection!$B:$B, F$2)</f>
        <v>0</v>
      </c>
      <c r="G63" s="49">
        <f>SUMIFS(Collection!$J:$J, Collection!$A:$A, $A63, Collection!$B:$B, G$2)</f>
        <v>0</v>
      </c>
      <c r="H63" s="49">
        <f>SUMIFS(Collection!$J:$J, Collection!$A:$A, $A63, Collection!$B:$B, H$2)</f>
        <v>0</v>
      </c>
      <c r="I63" s="49">
        <f>SUMIFS(Collection!$J:$J, Collection!$A:$A, $A63, Collection!$B:$B, I$2)</f>
        <v>0</v>
      </c>
      <c r="J63" s="49">
        <f>SUMIFS(Collection!$J:$J, Collection!$A:$A, $A63, Collection!$B:$B, J$2)</f>
        <v>0</v>
      </c>
      <c r="K63" s="49">
        <f>SUMIFS(Collection!$J:$J, Collection!$A:$A, $A63, Collection!$B:$B, K$2)</f>
        <v>0</v>
      </c>
      <c r="L63" s="49">
        <f>SUMIFS(Collection!$J:$J, Collection!$A:$A, $A63, Collection!$B:$B, L$2)</f>
        <v>0</v>
      </c>
      <c r="M63" s="49">
        <f>SUMIFS(Collection!$J:$J, Collection!$A:$A, $A63, Collection!$B:$B, M$2)</f>
        <v>0</v>
      </c>
      <c r="N63" s="49">
        <f>SUMIFS(Collection!$J:$J, Collection!$A:$A, $A63, Collection!$B:$B, N$2)</f>
        <v>0</v>
      </c>
      <c r="O63" s="49">
        <f>SUMIFS(Collection!$J:$J, Collection!$A:$A, $A63, Collection!$B:$B, O$2)</f>
        <v>0</v>
      </c>
      <c r="P63" s="49">
        <f>SUMIFS(Collection!$J:$J, Collection!$A:$A, $A63, Collection!$B:$B, P$2)</f>
        <v>0</v>
      </c>
      <c r="Q63" s="49">
        <f>SUMIFS(Collection!$J:$J, Collection!$A:$A, $A63, Collection!$B:$B, Q$2)</f>
        <v>0</v>
      </c>
      <c r="R63" s="49">
        <f>SUMIFS(Collection!$J:$J, Collection!$A:$A, $A63, Collection!$B:$B, R$2)</f>
        <v>0</v>
      </c>
      <c r="S63" s="49">
        <f>SUMIFS(Collection!$J:$J, Collection!$A:$A, $A63, Collection!$B:$B, S$2)</f>
        <v>0</v>
      </c>
      <c r="T63" s="49">
        <f>SUMIFS(Collection!$J:$J, Collection!$A:$A, $A63, Collection!$B:$B, T$2)</f>
        <v>0</v>
      </c>
      <c r="U63" s="49">
        <f>SUMIFS(Collection!$J:$J, Collection!$A:$A, $A63, Collection!$B:$B, U$2)</f>
        <v>0</v>
      </c>
      <c r="V63" s="49">
        <f>SUMIFS(Collection!$J:$J, Collection!$A:$A, $A63, Collection!$B:$B, V$2)</f>
        <v>0</v>
      </c>
      <c r="W63" s="49">
        <f>SUMIFS(Collection!$J:$J, Collection!$A:$A, $A63, Collection!$B:$B, W$2)</f>
        <v>0</v>
      </c>
      <c r="X63" s="49">
        <f>SUMIFS(Collection!$J:$J, Collection!$A:$A, $A63, Collection!$B:$B, X$2)</f>
        <v>0</v>
      </c>
      <c r="Y63" s="49">
        <f>SUMIFS(Collection!$J:$J, Collection!$A:$A, $A63, Collection!$B:$B, Y$2)</f>
        <v>0</v>
      </c>
      <c r="Z63" s="49"/>
      <c r="AA63" s="49">
        <f t="shared" si="0"/>
        <v>0</v>
      </c>
      <c r="AB63" s="49">
        <f t="shared" si="1"/>
        <v>0</v>
      </c>
      <c r="AC63" s="49">
        <f t="shared" si="2"/>
        <v>0</v>
      </c>
      <c r="AD63" s="49">
        <f t="shared" si="3"/>
        <v>0</v>
      </c>
      <c r="AE63" s="49">
        <f t="shared" si="4"/>
        <v>0</v>
      </c>
      <c r="AF63" s="49">
        <f t="shared" si="5"/>
        <v>0</v>
      </c>
      <c r="AG63" s="49">
        <f t="shared" si="6"/>
        <v>0</v>
      </c>
      <c r="AH63" s="288">
        <f t="shared" si="7"/>
        <v>0</v>
      </c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288"/>
      <c r="AW63" s="288"/>
      <c r="AX63" s="288"/>
      <c r="AY63" s="288"/>
      <c r="AZ63" s="288">
        <f>SUM($I$4:I63,$K$4:K63)</f>
        <v>2115476.666666667</v>
      </c>
      <c r="BA63" s="288">
        <f>AZ63/Resources!$B$6</f>
        <v>66108.645833333343</v>
      </c>
      <c r="BB63" s="288">
        <f>SUM($D$4:D63,$G$4:G63)</f>
        <v>2178386.666666667</v>
      </c>
      <c r="BC63" s="288">
        <f>BB63/Resources!$B$7</f>
        <v>72612.888888888905</v>
      </c>
      <c r="BD63" s="288">
        <f>SUM($C$4:C63,$H$4:H63)</f>
        <v>2373206.6666666665</v>
      </c>
      <c r="BE63" s="300">
        <f>BD63/Resources!$B$8</f>
        <v>91277.179487179485</v>
      </c>
      <c r="BF63" s="288">
        <f>SUM($B$4:B63,$F$4:F63)</f>
        <v>3420856.666666666</v>
      </c>
      <c r="BG63" s="288">
        <f>BF63/Resources!$B$9</f>
        <v>110350.21505376342</v>
      </c>
      <c r="BH63" s="288">
        <f>SUM($X$4:X63,$E$4:E63)</f>
        <v>1123850.5555555557</v>
      </c>
      <c r="BI63" s="288">
        <f>BH63/Resources!$B$2</f>
        <v>46827.106481481489</v>
      </c>
      <c r="BJ63" s="288">
        <f>SUM($V$4:V63,$T$4:T63)</f>
        <v>277708.33333333331</v>
      </c>
      <c r="BK63" s="288">
        <f>BJ63/Resources!$B$3</f>
        <v>10681.089743589742</v>
      </c>
      <c r="BL63" s="288">
        <f>SUM($W$4:W63, $M$4:M63)</f>
        <v>439633.33333333337</v>
      </c>
      <c r="BM63" s="288">
        <f>BL63/Resources!$B$4</f>
        <v>15701.190476190477</v>
      </c>
      <c r="BN63" s="288">
        <f>SUM($P$4:P63,$Q$4:Q63)</f>
        <v>1116063.3333333333</v>
      </c>
      <c r="BO63" s="297">
        <f>BN63/Resources!$B$5</f>
        <v>41335.679012345674</v>
      </c>
    </row>
    <row r="64" spans="1:67" ht="18">
      <c r="A64" s="34">
        <f t="shared" si="8"/>
        <v>42926</v>
      </c>
      <c r="B64" s="49">
        <f>SUMIFS(Collection!$J:$J, Collection!$A:$A, $A64, Collection!$B:$B, B$2)</f>
        <v>200</v>
      </c>
      <c r="C64" s="49">
        <f>SUMIFS(Collection!$J:$J, Collection!$A:$A, $A64, Collection!$B:$B, C$2)</f>
        <v>0</v>
      </c>
      <c r="D64" s="49">
        <f>SUMIFS(Collection!$J:$J, Collection!$A:$A, $A64, Collection!$B:$B, D$2)</f>
        <v>0</v>
      </c>
      <c r="E64" s="49">
        <f>SUMIFS(Collection!$J:$J, Collection!$A:$A, $A64, Collection!$B:$B, E$2)</f>
        <v>302933.33333333337</v>
      </c>
      <c r="F64" s="49">
        <f>SUMIFS(Collection!$J:$J, Collection!$A:$A, $A64, Collection!$B:$B, F$2)</f>
        <v>0</v>
      </c>
      <c r="G64" s="49">
        <f>SUMIFS(Collection!$J:$J, Collection!$A:$A, $A64, Collection!$B:$B, G$2)</f>
        <v>0</v>
      </c>
      <c r="H64" s="49">
        <f>SUMIFS(Collection!$J:$J, Collection!$A:$A, $A64, Collection!$B:$B, H$2)</f>
        <v>0</v>
      </c>
      <c r="I64" s="49">
        <f>SUMIFS(Collection!$J:$J, Collection!$A:$A, $A64, Collection!$B:$B, I$2)</f>
        <v>0</v>
      </c>
      <c r="J64" s="49">
        <f>SUMIFS(Collection!$J:$J, Collection!$A:$A, $A64, Collection!$B:$B, J$2)</f>
        <v>0</v>
      </c>
      <c r="K64" s="49">
        <f>SUMIFS(Collection!$J:$J, Collection!$A:$A, $A64, Collection!$B:$B, K$2)</f>
        <v>0</v>
      </c>
      <c r="L64" s="49">
        <f>SUMIFS(Collection!$J:$J, Collection!$A:$A, $A64, Collection!$B:$B, L$2)</f>
        <v>0</v>
      </c>
      <c r="M64" s="49">
        <f>SUMIFS(Collection!$J:$J, Collection!$A:$A, $A64, Collection!$B:$B, M$2)</f>
        <v>208.33333333333334</v>
      </c>
      <c r="N64" s="49">
        <f>SUMIFS(Collection!$J:$J, Collection!$A:$A, $A64, Collection!$B:$B, N$2)</f>
        <v>0</v>
      </c>
      <c r="O64" s="49">
        <f>SUMIFS(Collection!$J:$J, Collection!$A:$A, $A64, Collection!$B:$B, O$2)</f>
        <v>0</v>
      </c>
      <c r="P64" s="49">
        <f>SUMIFS(Collection!$J:$J, Collection!$A:$A, $A64, Collection!$B:$B, P$2)</f>
        <v>0</v>
      </c>
      <c r="Q64" s="49">
        <f>SUMIFS(Collection!$J:$J, Collection!$A:$A, $A64, Collection!$B:$B, Q$2)</f>
        <v>0</v>
      </c>
      <c r="R64" s="49">
        <f>SUMIFS(Collection!$J:$J, Collection!$A:$A, $A64, Collection!$B:$B, R$2)</f>
        <v>0</v>
      </c>
      <c r="S64" s="49">
        <f>SUMIFS(Collection!$J:$J, Collection!$A:$A, $A64, Collection!$B:$B, S$2)</f>
        <v>0</v>
      </c>
      <c r="T64" s="49">
        <f>SUMIFS(Collection!$J:$J, Collection!$A:$A, $A64, Collection!$B:$B, T$2)</f>
        <v>0</v>
      </c>
      <c r="U64" s="49">
        <f>SUMIFS(Collection!$J:$J, Collection!$A:$A, $A64, Collection!$B:$B, U$2)</f>
        <v>0</v>
      </c>
      <c r="V64" s="49">
        <f>SUMIFS(Collection!$J:$J, Collection!$A:$A, $A64, Collection!$B:$B, V$2)</f>
        <v>0</v>
      </c>
      <c r="W64" s="49">
        <f>SUMIFS(Collection!$J:$J, Collection!$A:$A, $A64, Collection!$B:$B, W$2)</f>
        <v>0</v>
      </c>
      <c r="X64" s="49">
        <f>SUMIFS(Collection!$J:$J, Collection!$A:$A, $A64, Collection!$B:$B, X$2)</f>
        <v>0</v>
      </c>
      <c r="Y64" s="49">
        <f>SUMIFS(Collection!$J:$J, Collection!$A:$A, $A64, Collection!$B:$B, Y$2)</f>
        <v>0</v>
      </c>
      <c r="Z64" s="49"/>
      <c r="AA64" s="49">
        <f t="shared" si="0"/>
        <v>0</v>
      </c>
      <c r="AB64" s="49">
        <f t="shared" si="1"/>
        <v>0</v>
      </c>
      <c r="AC64" s="49">
        <f t="shared" si="2"/>
        <v>0</v>
      </c>
      <c r="AD64" s="49">
        <f t="shared" si="3"/>
        <v>200</v>
      </c>
      <c r="AE64" s="49">
        <f t="shared" si="4"/>
        <v>302933.33333333337</v>
      </c>
      <c r="AF64" s="49">
        <f t="shared" si="5"/>
        <v>0</v>
      </c>
      <c r="AG64" s="49">
        <f t="shared" si="6"/>
        <v>208.33333333333334</v>
      </c>
      <c r="AH64" s="288">
        <f t="shared" si="7"/>
        <v>0</v>
      </c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288"/>
      <c r="AW64" s="288"/>
      <c r="AX64" s="288"/>
      <c r="AY64" s="288"/>
      <c r="AZ64" s="288">
        <f>SUM($I$4:I64,$K$4:K64)</f>
        <v>2115476.666666667</v>
      </c>
      <c r="BA64" s="288">
        <f>AZ64/Resources!$B$6</f>
        <v>66108.645833333343</v>
      </c>
      <c r="BB64" s="288">
        <f>SUM($D$4:D64,$G$4:G64)</f>
        <v>2178386.666666667</v>
      </c>
      <c r="BC64" s="288">
        <f>BB64/Resources!$B$7</f>
        <v>72612.888888888905</v>
      </c>
      <c r="BD64" s="288">
        <f>SUM($C$4:C64,$H$4:H64)</f>
        <v>2373206.6666666665</v>
      </c>
      <c r="BE64" s="300">
        <f>BD64/Resources!$B$8</f>
        <v>91277.179487179485</v>
      </c>
      <c r="BF64" s="288">
        <f>SUM($B$4:B64,$F$4:F64)</f>
        <v>3421056.666666666</v>
      </c>
      <c r="BG64" s="288">
        <f>BF64/Resources!$B$9</f>
        <v>110356.66666666664</v>
      </c>
      <c r="BH64" s="288">
        <f>SUM($X$4:X64,$E$4:E64)</f>
        <v>1426783.888888889</v>
      </c>
      <c r="BI64" s="288">
        <f>BH64/Resources!$B$2</f>
        <v>59449.328703703708</v>
      </c>
      <c r="BJ64" s="288">
        <f>SUM($V$4:V64,$T$4:T64)</f>
        <v>277708.33333333331</v>
      </c>
      <c r="BK64" s="288">
        <f>BJ64/Resources!$B$3</f>
        <v>10681.089743589742</v>
      </c>
      <c r="BL64" s="288">
        <f>SUM($W$4:W64, $M$4:M64)</f>
        <v>439841.66666666669</v>
      </c>
      <c r="BM64" s="288">
        <f>BL64/Resources!$B$4</f>
        <v>15708.630952380952</v>
      </c>
      <c r="BN64" s="288">
        <f>SUM($P$4:P64,$Q$4:Q64)</f>
        <v>1116063.3333333333</v>
      </c>
      <c r="BO64" s="297">
        <f>BN64/Resources!$B$5</f>
        <v>41335.679012345674</v>
      </c>
    </row>
    <row r="65" spans="1:67" ht="18">
      <c r="A65" s="34">
        <f t="shared" si="8"/>
        <v>42927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288"/>
      <c r="AJ65" s="288"/>
      <c r="AK65" s="288"/>
      <c r="AL65" s="288"/>
      <c r="AM65" s="288"/>
      <c r="AN65" s="288"/>
      <c r="AO65" s="288"/>
      <c r="AP65" s="288"/>
      <c r="AQ65" s="288"/>
      <c r="AR65" s="288"/>
      <c r="AS65" s="288"/>
      <c r="AT65" s="288"/>
      <c r="AU65" s="288"/>
      <c r="AV65" s="288"/>
      <c r="AW65" s="288"/>
      <c r="AX65" s="288"/>
      <c r="AY65" s="288"/>
      <c r="AZ65" s="288">
        <f>SUM($I$4:I65,$K$4:K65)</f>
        <v>2115476.666666667</v>
      </c>
      <c r="BA65" s="288">
        <f>AZ65/Resources!$B$6</f>
        <v>66108.645833333343</v>
      </c>
      <c r="BB65" s="288">
        <f>SUM($D$4:D65,$G$4:G65)</f>
        <v>2178386.666666667</v>
      </c>
      <c r="BC65" s="288">
        <f>BB65/Resources!$B$7</f>
        <v>72612.888888888905</v>
      </c>
      <c r="BD65" s="288">
        <f>SUM($C$4:C65,$H$4:H65)</f>
        <v>2373206.6666666665</v>
      </c>
      <c r="BE65" s="300">
        <f>BD65/Resources!$B$8</f>
        <v>91277.179487179485</v>
      </c>
      <c r="BF65" s="288">
        <f>SUM($B$4:B65,$F$4:F65)</f>
        <v>3421056.666666666</v>
      </c>
      <c r="BG65" s="288">
        <f>BF65/Resources!$B$9</f>
        <v>110356.66666666664</v>
      </c>
      <c r="BH65" s="288">
        <f>SUM($X$4:X65,$E$4:E65)</f>
        <v>1426783.888888889</v>
      </c>
      <c r="BI65" s="288">
        <f>BH65/Resources!$B$2</f>
        <v>59449.328703703708</v>
      </c>
      <c r="BJ65" s="288">
        <f>SUM($V$4:V65,$T$4:T65)</f>
        <v>277708.33333333331</v>
      </c>
      <c r="BK65" s="288">
        <f>BJ65/Resources!$B$3</f>
        <v>10681.089743589742</v>
      </c>
      <c r="BL65" s="288">
        <f>SUM($W$4:W65, $M$4:M65)</f>
        <v>439841.66666666669</v>
      </c>
      <c r="BM65" s="288">
        <f>BL65/Resources!$B$4</f>
        <v>15708.630952380952</v>
      </c>
      <c r="BN65" s="288">
        <f>SUM($P$4:P65,$Q$4:Q65)</f>
        <v>1116063.3333333333</v>
      </c>
      <c r="BO65" s="297">
        <f>BN65/Resources!$B$5</f>
        <v>41335.679012345674</v>
      </c>
    </row>
    <row r="66" spans="1:67" ht="18">
      <c r="A66" s="34">
        <f t="shared" si="8"/>
        <v>42928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288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288"/>
      <c r="AW66" s="288"/>
      <c r="AX66" s="288"/>
      <c r="AY66" s="288"/>
      <c r="AZ66" s="288">
        <f>SUM($I$4:I66,$K$4:K66)</f>
        <v>2115476.666666667</v>
      </c>
      <c r="BA66" s="288">
        <f>AZ66/Resources!$B$6</f>
        <v>66108.645833333343</v>
      </c>
      <c r="BB66" s="288">
        <f>SUM($D$4:D66,$G$4:G66)</f>
        <v>2178386.666666667</v>
      </c>
      <c r="BC66" s="288">
        <f>BB66/Resources!$B$7</f>
        <v>72612.888888888905</v>
      </c>
      <c r="BD66" s="288">
        <f>SUM($C$4:C66,$H$4:H66)</f>
        <v>2373206.6666666665</v>
      </c>
      <c r="BE66" s="300">
        <f>BD66/Resources!$B$8</f>
        <v>91277.179487179485</v>
      </c>
      <c r="BF66" s="288">
        <f>SUM($B$4:B66,$F$4:F66)</f>
        <v>3421056.666666666</v>
      </c>
      <c r="BG66" s="288">
        <f>BF66/Resources!$B$9</f>
        <v>110356.66666666664</v>
      </c>
      <c r="BH66" s="288">
        <f>SUM($X$4:X66,$E$4:E66)</f>
        <v>1426783.888888889</v>
      </c>
      <c r="BI66" s="288">
        <f>BH66/Resources!$B$2</f>
        <v>59449.328703703708</v>
      </c>
      <c r="BJ66" s="288">
        <f>SUM($V$4:V66,$T$4:T66)</f>
        <v>277708.33333333331</v>
      </c>
      <c r="BK66" s="288">
        <f>BJ66/Resources!$B$3</f>
        <v>10681.089743589742</v>
      </c>
      <c r="BL66" s="288">
        <f>SUM($W$4:W66, $M$4:M66)</f>
        <v>439841.66666666669</v>
      </c>
      <c r="BM66" s="288">
        <f>BL66/Resources!$B$4</f>
        <v>15708.630952380952</v>
      </c>
      <c r="BN66" s="288">
        <f>SUM($P$4:P66,$Q$4:Q66)</f>
        <v>1116063.3333333333</v>
      </c>
      <c r="BO66" s="297">
        <f>BN66/Resources!$B$5</f>
        <v>41335.679012345674</v>
      </c>
    </row>
    <row r="67" spans="1:67" ht="18">
      <c r="A67" s="34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288"/>
      <c r="AJ67" s="288"/>
      <c r="AK67" s="288"/>
      <c r="AL67" s="288"/>
      <c r="AM67" s="288"/>
      <c r="AN67" s="288"/>
      <c r="AO67" s="288"/>
      <c r="AP67" s="288"/>
      <c r="AQ67" s="288"/>
      <c r="AR67" s="288"/>
      <c r="AS67" s="288"/>
      <c r="AT67" s="288"/>
      <c r="AU67" s="288"/>
      <c r="AV67" s="288"/>
      <c r="AW67" s="288"/>
      <c r="AX67" s="288"/>
      <c r="AY67" s="288"/>
      <c r="AZ67" s="288">
        <f>SUM($I$4:I67,$K$4:K67)</f>
        <v>2115476.666666667</v>
      </c>
      <c r="BA67" s="288">
        <f>AZ67/Resources!$B$6</f>
        <v>66108.645833333343</v>
      </c>
      <c r="BB67" s="288">
        <f>SUM($D$4:D67,$G$4:G67)</f>
        <v>2178386.666666667</v>
      </c>
      <c r="BC67" s="288">
        <f>BB67/Resources!$B$7</f>
        <v>72612.888888888905</v>
      </c>
      <c r="BD67" s="288">
        <f>SUM($C$4:C67,$H$4:H67)</f>
        <v>2373206.6666666665</v>
      </c>
      <c r="BE67" s="300">
        <f>BD67/Resources!$B$8</f>
        <v>91277.179487179485</v>
      </c>
      <c r="BF67" s="288">
        <f>SUM($B$4:B67,$F$4:F67)</f>
        <v>3421056.666666666</v>
      </c>
      <c r="BG67" s="288">
        <f>BF67/Resources!$B$9</f>
        <v>110356.66666666664</v>
      </c>
      <c r="BH67" s="288">
        <f>SUM($X$4:X67,$E$4:E67)</f>
        <v>1426783.888888889</v>
      </c>
      <c r="BI67" s="288">
        <f>BH67/Resources!$B$2</f>
        <v>59449.328703703708</v>
      </c>
      <c r="BJ67" s="288">
        <f>SUM($V$4:V67,$T$4:T67)</f>
        <v>277708.33333333331</v>
      </c>
      <c r="BK67" s="288">
        <f>BJ67/Resources!$B$3</f>
        <v>10681.089743589742</v>
      </c>
      <c r="BL67" s="288">
        <f>SUM($W$4:W67, $M$4:M67)</f>
        <v>439841.66666666669</v>
      </c>
      <c r="BM67" s="288">
        <f>BL67/Resources!$B$4</f>
        <v>15708.630952380952</v>
      </c>
      <c r="BN67" s="288">
        <f>SUM($P$4:P67,$Q$4:Q67)</f>
        <v>1116063.3333333333</v>
      </c>
      <c r="BO67" s="297">
        <f>BN67/Resources!$B$5</f>
        <v>41335.679012345674</v>
      </c>
    </row>
    <row r="68" spans="1:67" ht="18">
      <c r="A68" s="34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288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288"/>
      <c r="AW68" s="288"/>
      <c r="AX68" s="288"/>
      <c r="AY68" s="288"/>
      <c r="AZ68" s="288">
        <f>SUM($I$4:I68,$K$4:K68)</f>
        <v>2115476.666666667</v>
      </c>
      <c r="BA68" s="288">
        <f>AZ68/Resources!$B$6</f>
        <v>66108.645833333343</v>
      </c>
      <c r="BB68" s="288">
        <f>SUM($D$4:D68,$G$4:G68)</f>
        <v>2178386.666666667</v>
      </c>
      <c r="BC68" s="288">
        <f>BB68/Resources!$B$7</f>
        <v>72612.888888888905</v>
      </c>
      <c r="BD68" s="288">
        <f>SUM($C$4:C68,$H$4:H68)</f>
        <v>2373206.6666666665</v>
      </c>
      <c r="BE68" s="300">
        <f>BD68/Resources!$B$8</f>
        <v>91277.179487179485</v>
      </c>
      <c r="BF68" s="288">
        <f>SUM($B$4:B68,$F$4:F68)</f>
        <v>3421056.666666666</v>
      </c>
      <c r="BG68" s="288">
        <f>BF68/Resources!$B$9</f>
        <v>110356.66666666664</v>
      </c>
      <c r="BH68" s="288">
        <f>SUM($X$4:X68,$E$4:E68)</f>
        <v>1426783.888888889</v>
      </c>
      <c r="BI68" s="288">
        <f>BH68/Resources!$B$2</f>
        <v>59449.328703703708</v>
      </c>
      <c r="BJ68" s="288">
        <f>SUM($V$4:V68,$T$4:T68)</f>
        <v>277708.33333333331</v>
      </c>
      <c r="BK68" s="288">
        <f>BJ68/Resources!$B$3</f>
        <v>10681.089743589742</v>
      </c>
      <c r="BL68" s="288">
        <f>SUM($W$4:W68, $M$4:M68)</f>
        <v>439841.66666666669</v>
      </c>
      <c r="BM68" s="288">
        <f>BL68/Resources!$B$4</f>
        <v>15708.630952380952</v>
      </c>
      <c r="BN68" s="288">
        <f>SUM($P$4:P68,$Q$4:Q68)</f>
        <v>1116063.3333333333</v>
      </c>
      <c r="BO68" s="297">
        <f>BN68/Resources!$B$5</f>
        <v>41335.679012345674</v>
      </c>
    </row>
    <row r="69" spans="1:67">
      <c r="A69" s="34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288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288"/>
      <c r="AW69" s="288"/>
      <c r="AX69" s="288"/>
      <c r="AY69" s="288"/>
      <c r="AZ69" s="288"/>
      <c r="BA69" s="288"/>
      <c r="BB69" s="288"/>
      <c r="BC69" s="288"/>
      <c r="BD69" s="288"/>
      <c r="BE69" s="288"/>
      <c r="BF69" s="288"/>
      <c r="BG69" s="288"/>
      <c r="BH69" s="288"/>
      <c r="BI69" s="288"/>
      <c r="BJ69" s="288"/>
      <c r="BK69" s="288"/>
      <c r="BL69" s="288"/>
      <c r="BM69" s="288"/>
      <c r="BN69" s="288"/>
    </row>
    <row r="70" spans="1:67">
      <c r="A70" s="34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288"/>
      <c r="AJ70" s="288"/>
      <c r="AK70" s="288"/>
      <c r="AL70" s="288"/>
      <c r="AM70" s="288"/>
      <c r="AN70" s="288"/>
      <c r="AO70" s="288"/>
      <c r="AP70" s="288"/>
      <c r="AQ70" s="288"/>
      <c r="AR70" s="288"/>
      <c r="AS70" s="288"/>
      <c r="AT70" s="288"/>
      <c r="AU70" s="288"/>
      <c r="AV70" s="288"/>
      <c r="AW70" s="288"/>
      <c r="AX70" s="288"/>
      <c r="AY70" s="288"/>
      <c r="AZ70" s="288"/>
      <c r="BA70" s="288"/>
      <c r="BB70" s="288"/>
      <c r="BC70" s="288"/>
      <c r="BD70" s="288"/>
      <c r="BE70" s="288"/>
      <c r="BF70" s="288"/>
      <c r="BG70" s="288"/>
      <c r="BH70" s="288"/>
      <c r="BI70" s="288"/>
      <c r="BJ70" s="288"/>
      <c r="BK70" s="288"/>
      <c r="BL70" s="288"/>
      <c r="BM70" s="288"/>
      <c r="BN70" s="288"/>
    </row>
    <row r="71" spans="1:67">
      <c r="A71" s="34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288"/>
      <c r="AJ71" s="288"/>
      <c r="AK71" s="288"/>
      <c r="AL71" s="288"/>
      <c r="AM71" s="288"/>
      <c r="AN71" s="288"/>
      <c r="AO71" s="288"/>
      <c r="AP71" s="288"/>
      <c r="AQ71" s="288"/>
      <c r="AR71" s="288"/>
      <c r="AS71" s="288"/>
      <c r="AT71" s="288"/>
      <c r="AU71" s="288"/>
      <c r="AV71" s="288"/>
      <c r="AW71" s="288"/>
      <c r="AX71" s="288"/>
      <c r="AY71" s="288"/>
      <c r="AZ71" s="288"/>
      <c r="BA71" s="288"/>
      <c r="BB71" s="288"/>
      <c r="BC71" s="288"/>
      <c r="BD71" s="288"/>
      <c r="BE71" s="288"/>
      <c r="BF71" s="288"/>
      <c r="BG71" s="288"/>
      <c r="BH71" s="288"/>
      <c r="BI71" s="288"/>
      <c r="BJ71" s="288"/>
      <c r="BK71" s="288"/>
      <c r="BL71" s="288"/>
      <c r="BM71" s="288"/>
      <c r="BN71" s="288"/>
    </row>
    <row r="72" spans="1:67">
      <c r="A72" s="34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288"/>
      <c r="AJ72" s="288"/>
      <c r="AK72" s="288"/>
      <c r="AL72" s="288"/>
      <c r="AM72" s="288"/>
      <c r="AN72" s="288"/>
      <c r="AO72" s="288"/>
      <c r="AP72" s="288"/>
      <c r="AQ72" s="288"/>
      <c r="AR72" s="288"/>
      <c r="AS72" s="288"/>
      <c r="AT72" s="288"/>
      <c r="AU72" s="288"/>
      <c r="AV72" s="288"/>
      <c r="AW72" s="288"/>
      <c r="AX72" s="288"/>
      <c r="AY72" s="288"/>
      <c r="AZ72" s="288"/>
      <c r="BA72" s="288"/>
      <c r="BB72" s="288"/>
      <c r="BC72" s="288"/>
      <c r="BD72" s="288"/>
      <c r="BE72" s="288"/>
      <c r="BF72" s="288"/>
      <c r="BG72" s="288"/>
      <c r="BH72" s="288"/>
      <c r="BI72" s="288"/>
      <c r="BJ72" s="288"/>
      <c r="BK72" s="288"/>
      <c r="BL72" s="288"/>
      <c r="BM72" s="288"/>
      <c r="BN72" s="288"/>
    </row>
    <row r="73" spans="1:67">
      <c r="A73" s="34"/>
      <c r="BE73" s="288"/>
    </row>
    <row r="74" spans="1:67">
      <c r="A74" s="34"/>
    </row>
    <row r="75" spans="1:67">
      <c r="A75" s="34"/>
    </row>
    <row r="76" spans="1:67">
      <c r="A76" s="34"/>
    </row>
    <row r="77" spans="1:67">
      <c r="A77" s="34"/>
    </row>
    <row r="78" spans="1:67">
      <c r="A78" s="34"/>
    </row>
    <row r="79" spans="1:67">
      <c r="A79" s="34"/>
    </row>
    <row r="80" spans="1:67">
      <c r="A80" s="34"/>
    </row>
    <row r="81" spans="1:1">
      <c r="A81" s="34"/>
    </row>
  </sheetData>
  <pageMargins left="0.75" right="0.75" top="1" bottom="1" header="0.5" footer="0.5"/>
  <pageSetup orientation="portrait" horizontalDpi="4294967292" verticalDpi="4294967292"/>
  <ignoredErrors>
    <ignoredError sqref="B4:Y9 B11:Y64 B10:R10 T10:Y10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Ruler="0" workbookViewId="0">
      <pane ySplit="560" activePane="bottomLeft"/>
      <selection activeCell="J152" sqref="J152"/>
      <selection pane="bottomLeft" activeCell="J152" sqref="J152"/>
    </sheetView>
  </sheetViews>
  <sheetFormatPr baseColWidth="10" defaultRowHeight="15" x14ac:dyDescent="0"/>
  <cols>
    <col min="2" max="2" width="12.6640625" bestFit="1" customWidth="1"/>
    <col min="3" max="3" width="15.83203125" customWidth="1"/>
    <col min="5" max="5" width="12.33203125" customWidth="1"/>
    <col min="8" max="8" width="8.5" customWidth="1"/>
    <col min="9" max="9" width="13.5" style="17" customWidth="1"/>
    <col min="10" max="10" width="11" customWidth="1"/>
    <col min="11" max="11" width="15.83203125" style="17" bestFit="1" customWidth="1"/>
  </cols>
  <sheetData>
    <row r="1" spans="1:13" s="54" customFormat="1" ht="16" thickBot="1">
      <c r="A1" s="54" t="s">
        <v>80</v>
      </c>
      <c r="B1" s="54" t="s">
        <v>272</v>
      </c>
      <c r="C1" s="54" t="s">
        <v>273</v>
      </c>
      <c r="D1" s="54" t="s">
        <v>271</v>
      </c>
      <c r="E1" s="54" t="s">
        <v>1</v>
      </c>
      <c r="F1" s="54" t="s">
        <v>128</v>
      </c>
      <c r="G1" s="54" t="s">
        <v>129</v>
      </c>
      <c r="H1" s="54" t="s">
        <v>131</v>
      </c>
      <c r="I1" s="55" t="s">
        <v>132</v>
      </c>
      <c r="J1" s="54" t="s">
        <v>133</v>
      </c>
      <c r="K1" s="256" t="s">
        <v>298</v>
      </c>
      <c r="M1" s="54" t="s">
        <v>294</v>
      </c>
    </row>
    <row r="2" spans="1:13" s="19" customFormat="1">
      <c r="A2" s="18">
        <v>42884</v>
      </c>
      <c r="B2" s="252" t="s">
        <v>274</v>
      </c>
      <c r="C2" s="19" t="s">
        <v>130</v>
      </c>
      <c r="D2" s="19" t="s">
        <v>275</v>
      </c>
      <c r="E2" s="19" t="s">
        <v>18</v>
      </c>
      <c r="F2" s="19">
        <v>91</v>
      </c>
      <c r="G2" s="19">
        <v>112</v>
      </c>
      <c r="H2" s="19">
        <f t="shared" ref="H2:H9" si="0">AVERAGE(F2:G2)</f>
        <v>101.5</v>
      </c>
      <c r="I2" s="117">
        <f>H2/((0.1*3*3)/1000)</f>
        <v>112777.77777777777</v>
      </c>
      <c r="J2" s="19">
        <v>70</v>
      </c>
      <c r="K2" s="118">
        <f t="shared" ref="K2:K12" si="1">(I2-$I$13)^2</f>
        <v>124987.246199375</v>
      </c>
    </row>
    <row r="3" spans="1:13" s="23" customFormat="1">
      <c r="A3" s="22">
        <v>42884</v>
      </c>
      <c r="B3" s="253" t="s">
        <v>274</v>
      </c>
      <c r="C3" s="23">
        <v>8</v>
      </c>
      <c r="E3" s="23" t="s">
        <v>297</v>
      </c>
      <c r="F3" s="23">
        <v>92</v>
      </c>
      <c r="G3" s="23">
        <v>111</v>
      </c>
      <c r="H3" s="23">
        <f t="shared" si="0"/>
        <v>101.5</v>
      </c>
      <c r="I3" s="118">
        <f t="shared" ref="I3:I29" si="2">H3/((0.1*3*3)/1000)</f>
        <v>112777.77777777777</v>
      </c>
      <c r="J3" s="23">
        <v>70</v>
      </c>
      <c r="K3" s="118">
        <f t="shared" si="1"/>
        <v>124987.246199375</v>
      </c>
    </row>
    <row r="4" spans="1:13" s="23" customFormat="1">
      <c r="A4" s="22">
        <v>42884</v>
      </c>
      <c r="B4" s="253" t="s">
        <v>274</v>
      </c>
      <c r="C4" s="23">
        <v>13</v>
      </c>
      <c r="D4" s="23" t="s">
        <v>276</v>
      </c>
      <c r="E4" s="23" t="s">
        <v>297</v>
      </c>
      <c r="F4" s="23">
        <v>109</v>
      </c>
      <c r="G4" s="23">
        <v>105</v>
      </c>
      <c r="H4" s="23">
        <f t="shared" si="0"/>
        <v>107</v>
      </c>
      <c r="I4" s="118">
        <f t="shared" si="2"/>
        <v>118888.88888888888</v>
      </c>
      <c r="J4" s="23">
        <v>70</v>
      </c>
      <c r="K4" s="118">
        <f t="shared" si="1"/>
        <v>33149678.604223918</v>
      </c>
    </row>
    <row r="5" spans="1:13" s="23" customFormat="1">
      <c r="A5" s="22">
        <v>42884</v>
      </c>
      <c r="B5" s="253" t="s">
        <v>274</v>
      </c>
      <c r="C5" s="23">
        <v>3</v>
      </c>
      <c r="E5" s="23" t="s">
        <v>297</v>
      </c>
      <c r="F5" s="23">
        <v>96</v>
      </c>
      <c r="G5" s="23">
        <v>118</v>
      </c>
      <c r="H5" s="23">
        <f t="shared" si="0"/>
        <v>107</v>
      </c>
      <c r="I5" s="118">
        <f t="shared" si="2"/>
        <v>118888.88888888888</v>
      </c>
      <c r="J5" s="23">
        <v>70</v>
      </c>
      <c r="K5" s="118">
        <f t="shared" si="1"/>
        <v>33149678.604223918</v>
      </c>
    </row>
    <row r="6" spans="1:13" s="23" customFormat="1">
      <c r="A6" s="22">
        <v>42884</v>
      </c>
      <c r="B6" s="253" t="s">
        <v>274</v>
      </c>
      <c r="C6" s="23">
        <v>5</v>
      </c>
      <c r="D6" s="23" t="s">
        <v>277</v>
      </c>
      <c r="E6" s="23" t="s">
        <v>297</v>
      </c>
      <c r="F6" s="23">
        <v>91</v>
      </c>
      <c r="G6" s="23">
        <v>92</v>
      </c>
      <c r="H6" s="23">
        <f t="shared" si="0"/>
        <v>91.5</v>
      </c>
      <c r="I6" s="118">
        <f t="shared" si="2"/>
        <v>101666.66666666666</v>
      </c>
      <c r="J6" s="23">
        <v>70</v>
      </c>
      <c r="K6" s="118">
        <f t="shared" si="1"/>
        <v>131438118.5593309</v>
      </c>
    </row>
    <row r="7" spans="1:13" s="23" customFormat="1">
      <c r="A7" s="22">
        <v>42884</v>
      </c>
      <c r="B7" s="253" t="s">
        <v>274</v>
      </c>
      <c r="C7" s="23">
        <v>16</v>
      </c>
      <c r="E7" s="23" t="s">
        <v>297</v>
      </c>
      <c r="F7" s="23">
        <v>107</v>
      </c>
      <c r="G7" s="23">
        <v>106</v>
      </c>
      <c r="H7" s="23">
        <f t="shared" si="0"/>
        <v>106.5</v>
      </c>
      <c r="I7" s="118">
        <f t="shared" si="2"/>
        <v>118333.33333333333</v>
      </c>
      <c r="J7" s="23">
        <v>70</v>
      </c>
      <c r="K7" s="118">
        <f t="shared" si="1"/>
        <v>27061014.182226259</v>
      </c>
    </row>
    <row r="8" spans="1:13" s="23" customFormat="1">
      <c r="A8" s="22">
        <v>42884</v>
      </c>
      <c r="B8" s="253" t="s">
        <v>274</v>
      </c>
      <c r="C8" s="23">
        <v>9</v>
      </c>
      <c r="E8" s="23" t="s">
        <v>297</v>
      </c>
      <c r="F8" s="23">
        <v>113</v>
      </c>
      <c r="G8" s="23">
        <v>111</v>
      </c>
      <c r="H8" s="23">
        <f t="shared" si="0"/>
        <v>112</v>
      </c>
      <c r="I8" s="118">
        <f t="shared" si="2"/>
        <v>124444.44444444444</v>
      </c>
      <c r="J8" s="23">
        <v>70</v>
      </c>
      <c r="K8" s="118">
        <f t="shared" si="1"/>
        <v>127986940.10815209</v>
      </c>
    </row>
    <row r="9" spans="1:13" s="23" customFormat="1">
      <c r="A9" s="22">
        <v>42884</v>
      </c>
      <c r="B9" s="253" t="s">
        <v>274</v>
      </c>
      <c r="C9" s="23">
        <v>10</v>
      </c>
      <c r="E9" s="23" t="s">
        <v>297</v>
      </c>
      <c r="F9" s="23">
        <v>98</v>
      </c>
      <c r="G9" s="23">
        <v>100</v>
      </c>
      <c r="H9" s="23">
        <f t="shared" si="0"/>
        <v>99</v>
      </c>
      <c r="I9" s="118">
        <f t="shared" si="2"/>
        <v>109999.99999999999</v>
      </c>
      <c r="J9" s="23">
        <v>70</v>
      </c>
      <c r="K9" s="118">
        <f t="shared" si="1"/>
        <v>9805121.9263341352</v>
      </c>
    </row>
    <row r="10" spans="1:13" s="23" customFormat="1">
      <c r="A10" s="22">
        <v>42884</v>
      </c>
      <c r="B10" s="253" t="s">
        <v>274</v>
      </c>
      <c r="C10" s="23">
        <v>12</v>
      </c>
      <c r="E10" s="23" t="s">
        <v>297</v>
      </c>
      <c r="F10" s="23">
        <v>74</v>
      </c>
      <c r="G10" s="23">
        <v>113</v>
      </c>
      <c r="H10" s="23">
        <f>AVERAGE(F10:G10)</f>
        <v>93.5</v>
      </c>
      <c r="I10" s="118">
        <f t="shared" si="2"/>
        <v>103888.88888888888</v>
      </c>
      <c r="J10" s="23">
        <v>70</v>
      </c>
      <c r="K10" s="118">
        <f t="shared" si="1"/>
        <v>85422405.87695156</v>
      </c>
    </row>
    <row r="11" spans="1:13" s="23" customFormat="1">
      <c r="A11" s="22">
        <v>42884</v>
      </c>
      <c r="B11" s="253" t="s">
        <v>274</v>
      </c>
      <c r="C11" s="23">
        <v>11</v>
      </c>
      <c r="D11" s="23" t="s">
        <v>278</v>
      </c>
      <c r="E11" s="23" t="s">
        <v>297</v>
      </c>
      <c r="F11" s="23">
        <v>96</v>
      </c>
      <c r="G11" s="23">
        <v>100</v>
      </c>
      <c r="H11" s="23">
        <f>AVERAGE(F11:G11)</f>
        <v>98</v>
      </c>
      <c r="I11" s="118">
        <f t="shared" si="2"/>
        <v>108888.88888888888</v>
      </c>
      <c r="J11" s="23">
        <v>70</v>
      </c>
      <c r="K11" s="118">
        <f t="shared" si="1"/>
        <v>17998163.452709012</v>
      </c>
    </row>
    <row r="12" spans="1:13" s="23" customFormat="1">
      <c r="A12" s="22">
        <v>42884</v>
      </c>
      <c r="B12" s="253" t="s">
        <v>274</v>
      </c>
      <c r="C12" s="23">
        <v>7</v>
      </c>
      <c r="D12" s="23" t="s">
        <v>279</v>
      </c>
      <c r="E12" s="23" t="s">
        <v>297</v>
      </c>
      <c r="F12" s="23">
        <v>110</v>
      </c>
      <c r="G12" s="23">
        <v>95</v>
      </c>
      <c r="H12" s="23">
        <f>AVERAGE(F12:G12)</f>
        <v>102.5</v>
      </c>
      <c r="I12" s="118">
        <f t="shared" si="2"/>
        <v>113888.88888888888</v>
      </c>
      <c r="J12" s="23">
        <v>70</v>
      </c>
      <c r="K12" s="118">
        <f t="shared" si="1"/>
        <v>573921.02846646425</v>
      </c>
    </row>
    <row r="13" spans="1:13" s="27" customFormat="1" ht="16" thickBot="1">
      <c r="A13" s="26"/>
      <c r="B13" s="254"/>
      <c r="H13" s="255" t="s">
        <v>131</v>
      </c>
      <c r="I13" s="256">
        <f>AVERAGE(I2:I12)</f>
        <v>113131.31313131313</v>
      </c>
      <c r="J13" s="259" t="s">
        <v>299</v>
      </c>
      <c r="K13" s="256">
        <f>AVERAGE(K2:K12)</f>
        <v>42439546.985001549</v>
      </c>
      <c r="L13" s="259" t="s">
        <v>300</v>
      </c>
      <c r="M13" s="256">
        <f>SQRT(K13)</f>
        <v>6514.5642206521807</v>
      </c>
    </row>
    <row r="14" spans="1:13" s="19" customFormat="1">
      <c r="A14" s="18">
        <v>42917</v>
      </c>
      <c r="B14" s="252" t="s">
        <v>274</v>
      </c>
      <c r="C14" s="19" t="s">
        <v>295</v>
      </c>
      <c r="D14" s="19" t="s">
        <v>275</v>
      </c>
      <c r="F14" s="19">
        <v>54</v>
      </c>
      <c r="G14" s="19">
        <v>71</v>
      </c>
      <c r="H14" s="19">
        <f t="shared" ref="H14:H29" si="3">AVERAGE(F14:G14)</f>
        <v>62.5</v>
      </c>
      <c r="I14" s="117">
        <f t="shared" si="2"/>
        <v>69444.444444444438</v>
      </c>
      <c r="J14" s="19">
        <v>65</v>
      </c>
      <c r="K14" s="118">
        <f t="shared" ref="K14:K21" si="4">(I14-$I$22)^2</f>
        <v>39062500</v>
      </c>
    </row>
    <row r="15" spans="1:13" s="23" customFormat="1">
      <c r="A15" s="22">
        <v>42917</v>
      </c>
      <c r="B15" s="253" t="s">
        <v>274</v>
      </c>
      <c r="C15" s="23" t="s">
        <v>295</v>
      </c>
      <c r="D15" s="23" t="s">
        <v>279</v>
      </c>
      <c r="F15" s="23">
        <v>68</v>
      </c>
      <c r="G15" s="23">
        <v>71</v>
      </c>
      <c r="H15" s="23">
        <f t="shared" si="3"/>
        <v>69.5</v>
      </c>
      <c r="I15" s="118">
        <f t="shared" si="2"/>
        <v>77222.222222222219</v>
      </c>
      <c r="J15" s="23">
        <v>65</v>
      </c>
      <c r="K15" s="118">
        <f t="shared" si="4"/>
        <v>2334104.9382716147</v>
      </c>
    </row>
    <row r="16" spans="1:13" s="23" customFormat="1">
      <c r="A16" s="22">
        <v>42917</v>
      </c>
      <c r="B16" s="253" t="s">
        <v>274</v>
      </c>
      <c r="C16" s="23" t="s">
        <v>295</v>
      </c>
      <c r="D16" s="23" t="s">
        <v>280</v>
      </c>
      <c r="F16" s="23">
        <v>71</v>
      </c>
      <c r="G16" s="23">
        <v>67</v>
      </c>
      <c r="H16" s="23">
        <f t="shared" si="3"/>
        <v>69</v>
      </c>
      <c r="I16" s="118">
        <f t="shared" si="2"/>
        <v>76666.666666666657</v>
      </c>
      <c r="J16" s="23">
        <v>65</v>
      </c>
      <c r="K16" s="118">
        <f t="shared" si="4"/>
        <v>945216.04938270978</v>
      </c>
    </row>
    <row r="17" spans="1:13" s="23" customFormat="1">
      <c r="A17" s="22">
        <v>42917</v>
      </c>
      <c r="B17" s="253" t="s">
        <v>274</v>
      </c>
      <c r="C17" s="23" t="s">
        <v>295</v>
      </c>
      <c r="D17" s="23" t="s">
        <v>281</v>
      </c>
      <c r="F17" s="23">
        <v>54</v>
      </c>
      <c r="G17" s="23">
        <v>78</v>
      </c>
      <c r="H17" s="23">
        <f t="shared" si="3"/>
        <v>66</v>
      </c>
      <c r="I17" s="118">
        <f t="shared" si="2"/>
        <v>73333.333333333328</v>
      </c>
      <c r="J17" s="23">
        <v>65</v>
      </c>
      <c r="K17" s="118">
        <f t="shared" si="4"/>
        <v>5574845.6790123377</v>
      </c>
    </row>
    <row r="18" spans="1:13" s="23" customFormat="1">
      <c r="A18" s="22">
        <v>42917</v>
      </c>
      <c r="B18" s="253" t="s">
        <v>274</v>
      </c>
      <c r="C18" s="23" t="s">
        <v>295</v>
      </c>
      <c r="D18" s="23" t="s">
        <v>282</v>
      </c>
      <c r="F18" s="23">
        <v>59</v>
      </c>
      <c r="G18" s="23">
        <v>68</v>
      </c>
      <c r="H18" s="23">
        <f t="shared" si="3"/>
        <v>63.5</v>
      </c>
      <c r="I18" s="118">
        <f t="shared" si="2"/>
        <v>70555.555555555547</v>
      </c>
      <c r="J18" s="23">
        <v>65</v>
      </c>
      <c r="K18" s="118">
        <f t="shared" si="4"/>
        <v>26408179.012345694</v>
      </c>
    </row>
    <row r="19" spans="1:13" s="23" customFormat="1">
      <c r="A19" s="22">
        <v>42917</v>
      </c>
      <c r="B19" s="253" t="s">
        <v>274</v>
      </c>
      <c r="C19" s="23" t="s">
        <v>295</v>
      </c>
      <c r="D19" s="23" t="s">
        <v>283</v>
      </c>
      <c r="F19" s="23">
        <v>81</v>
      </c>
      <c r="G19" s="23">
        <v>60</v>
      </c>
      <c r="H19" s="23">
        <f t="shared" si="3"/>
        <v>70.5</v>
      </c>
      <c r="I19" s="118">
        <f t="shared" si="2"/>
        <v>78333.333333333328</v>
      </c>
      <c r="J19" s="23">
        <v>65</v>
      </c>
      <c r="K19" s="118">
        <f t="shared" si="4"/>
        <v>6963734.5679012435</v>
      </c>
    </row>
    <row r="20" spans="1:13" s="23" customFormat="1">
      <c r="A20" s="22">
        <v>42917</v>
      </c>
      <c r="B20" s="253" t="s">
        <v>274</v>
      </c>
      <c r="C20" s="23" t="s">
        <v>295</v>
      </c>
      <c r="D20" s="23" t="s">
        <v>284</v>
      </c>
      <c r="F20" s="23">
        <v>77</v>
      </c>
      <c r="G20" s="23">
        <v>58</v>
      </c>
      <c r="H20" s="23">
        <f t="shared" si="3"/>
        <v>67.5</v>
      </c>
      <c r="I20" s="118">
        <f t="shared" si="2"/>
        <v>75000</v>
      </c>
      <c r="J20" s="23">
        <v>65</v>
      </c>
      <c r="K20" s="118">
        <f t="shared" si="4"/>
        <v>482253.08641974413</v>
      </c>
    </row>
    <row r="21" spans="1:13" s="23" customFormat="1">
      <c r="A21" s="22">
        <v>42917</v>
      </c>
      <c r="B21" s="253" t="s">
        <v>274</v>
      </c>
      <c r="C21" s="23" t="s">
        <v>295</v>
      </c>
      <c r="D21" s="23" t="s">
        <v>285</v>
      </c>
      <c r="F21" s="23">
        <v>74</v>
      </c>
      <c r="G21" s="23">
        <v>79</v>
      </c>
      <c r="H21" s="23">
        <f t="shared" si="3"/>
        <v>76.5</v>
      </c>
      <c r="I21" s="118">
        <f t="shared" si="2"/>
        <v>84999.999999999985</v>
      </c>
      <c r="J21" s="23">
        <v>65</v>
      </c>
      <c r="K21" s="118">
        <f t="shared" si="4"/>
        <v>86593364.197530717</v>
      </c>
    </row>
    <row r="22" spans="1:13" s="27" customFormat="1" ht="16" thickBot="1">
      <c r="A22" s="26"/>
      <c r="B22" s="254"/>
      <c r="C22" s="23"/>
      <c r="H22" s="255" t="s">
        <v>131</v>
      </c>
      <c r="I22" s="256">
        <f>AVERAGE(I14:I21)</f>
        <v>75694.444444444438</v>
      </c>
      <c r="J22" s="259" t="s">
        <v>299</v>
      </c>
      <c r="K22" s="256">
        <f>AVERAGE(K14:K21)</f>
        <v>21045524.691358007</v>
      </c>
      <c r="L22" s="259" t="s">
        <v>300</v>
      </c>
      <c r="M22" s="256">
        <f>SQRT(K22)</f>
        <v>4587.5401569204823</v>
      </c>
    </row>
    <row r="23" spans="1:13" s="19" customFormat="1">
      <c r="A23" s="18">
        <v>42917</v>
      </c>
      <c r="B23" s="252" t="s">
        <v>293</v>
      </c>
      <c r="C23" s="19" t="s">
        <v>296</v>
      </c>
      <c r="D23" s="19" t="s">
        <v>286</v>
      </c>
      <c r="F23" s="19">
        <v>54</v>
      </c>
      <c r="G23" s="19">
        <v>61</v>
      </c>
      <c r="H23" s="19">
        <f t="shared" si="3"/>
        <v>57.5</v>
      </c>
      <c r="I23" s="117">
        <f t="shared" si="2"/>
        <v>63888.888888888883</v>
      </c>
      <c r="J23" s="19">
        <v>120</v>
      </c>
      <c r="K23" s="118">
        <f t="shared" ref="K23:K29" si="5">(I23-$I$30)^2</f>
        <v>93751574.703955784</v>
      </c>
    </row>
    <row r="24" spans="1:13" s="23" customFormat="1">
      <c r="A24" s="22">
        <v>42917</v>
      </c>
      <c r="B24" s="253" t="s">
        <v>293</v>
      </c>
      <c r="C24" s="258" t="s">
        <v>296</v>
      </c>
      <c r="D24" s="23" t="s">
        <v>287</v>
      </c>
      <c r="F24" s="23">
        <v>51</v>
      </c>
      <c r="G24" s="23">
        <v>53</v>
      </c>
      <c r="H24" s="23">
        <f t="shared" si="3"/>
        <v>52</v>
      </c>
      <c r="I24" s="118">
        <f t="shared" si="2"/>
        <v>57777.777777777774</v>
      </c>
      <c r="J24" s="23">
        <v>120</v>
      </c>
      <c r="K24" s="118">
        <f t="shared" si="5"/>
        <v>12755102.040816385</v>
      </c>
    </row>
    <row r="25" spans="1:13" s="23" customFormat="1">
      <c r="A25" s="22">
        <v>42917</v>
      </c>
      <c r="B25" s="253" t="s">
        <v>293</v>
      </c>
      <c r="C25" s="258" t="s">
        <v>296</v>
      </c>
      <c r="D25" s="23" t="s">
        <v>288</v>
      </c>
      <c r="F25" s="23">
        <v>51</v>
      </c>
      <c r="G25" s="23">
        <v>48</v>
      </c>
      <c r="H25" s="23">
        <f t="shared" si="3"/>
        <v>49.5</v>
      </c>
      <c r="I25" s="118">
        <f t="shared" si="2"/>
        <v>54999.999999999993</v>
      </c>
      <c r="J25" s="23">
        <v>120</v>
      </c>
      <c r="K25" s="118">
        <f t="shared" si="5"/>
        <v>629881.58226254268</v>
      </c>
    </row>
    <row r="26" spans="1:13" s="23" customFormat="1">
      <c r="A26" s="22">
        <v>42917</v>
      </c>
      <c r="B26" s="253" t="s">
        <v>293</v>
      </c>
      <c r="C26" s="258" t="s">
        <v>296</v>
      </c>
      <c r="D26" s="23" t="s">
        <v>289</v>
      </c>
      <c r="F26" s="23">
        <v>46</v>
      </c>
      <c r="G26" s="23">
        <v>52</v>
      </c>
      <c r="H26" s="23">
        <f t="shared" si="3"/>
        <v>49</v>
      </c>
      <c r="I26" s="118">
        <f t="shared" si="2"/>
        <v>54444.444444444438</v>
      </c>
      <c r="J26" s="23">
        <v>120</v>
      </c>
      <c r="K26" s="118">
        <f t="shared" si="5"/>
        <v>56689.342403630922</v>
      </c>
    </row>
    <row r="27" spans="1:13" s="23" customFormat="1">
      <c r="A27" s="22">
        <v>42917</v>
      </c>
      <c r="B27" s="253" t="s">
        <v>293</v>
      </c>
      <c r="C27" s="258" t="s">
        <v>296</v>
      </c>
      <c r="D27" s="23" t="s">
        <v>290</v>
      </c>
      <c r="F27" s="23">
        <v>46</v>
      </c>
      <c r="G27" s="23">
        <v>38</v>
      </c>
      <c r="H27" s="23">
        <f t="shared" si="3"/>
        <v>42</v>
      </c>
      <c r="I27" s="118">
        <f t="shared" si="2"/>
        <v>46666.666666666664</v>
      </c>
      <c r="J27" s="23">
        <v>120</v>
      </c>
      <c r="K27" s="118">
        <f t="shared" si="5"/>
        <v>56846812.799193598</v>
      </c>
    </row>
    <row r="28" spans="1:13" s="23" customFormat="1">
      <c r="A28" s="22">
        <v>42917</v>
      </c>
      <c r="B28" s="253" t="s">
        <v>293</v>
      </c>
      <c r="C28" s="258" t="s">
        <v>296</v>
      </c>
      <c r="D28" s="23" t="s">
        <v>291</v>
      </c>
      <c r="F28" s="23">
        <v>55</v>
      </c>
      <c r="G28" s="23">
        <v>31</v>
      </c>
      <c r="H28" s="23">
        <f t="shared" si="3"/>
        <v>43</v>
      </c>
      <c r="I28" s="118">
        <f t="shared" si="2"/>
        <v>47777.777777777774</v>
      </c>
      <c r="J28" s="23">
        <v>120</v>
      </c>
      <c r="K28" s="118">
        <f t="shared" si="5"/>
        <v>41326530.612244792</v>
      </c>
    </row>
    <row r="29" spans="1:13" s="23" customFormat="1">
      <c r="A29" s="22">
        <v>42917</v>
      </c>
      <c r="B29" s="253" t="s">
        <v>293</v>
      </c>
      <c r="C29" s="258" t="s">
        <v>296</v>
      </c>
      <c r="D29" s="23" t="s">
        <v>292</v>
      </c>
      <c r="F29" s="23">
        <v>58</v>
      </c>
      <c r="G29" s="23">
        <v>39</v>
      </c>
      <c r="H29" s="23">
        <f t="shared" si="3"/>
        <v>48.5</v>
      </c>
      <c r="I29" s="118">
        <f t="shared" si="2"/>
        <v>53888.888888888883</v>
      </c>
      <c r="J29" s="23">
        <v>120</v>
      </c>
      <c r="K29" s="118">
        <f t="shared" si="5"/>
        <v>100781.05316200129</v>
      </c>
    </row>
    <row r="30" spans="1:13" s="27" customFormat="1" ht="16" thickBot="1">
      <c r="A30" s="257"/>
      <c r="H30" s="255" t="s">
        <v>131</v>
      </c>
      <c r="I30" s="256">
        <f>AVERAGE(I23:I29)</f>
        <v>54206.349206349194</v>
      </c>
      <c r="J30" s="259" t="s">
        <v>299</v>
      </c>
      <c r="K30" s="256">
        <f>AVERAGE(K23:K29)</f>
        <v>29352481.733434107</v>
      </c>
      <c r="L30" s="259" t="s">
        <v>300</v>
      </c>
      <c r="M30" s="256">
        <f>SQRT(K30)</f>
        <v>5417.7930685320671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J152" sqref="J152"/>
    </sheetView>
  </sheetViews>
  <sheetFormatPr baseColWidth="10" defaultRowHeight="15" x14ac:dyDescent="0"/>
  <cols>
    <col min="1" max="1" width="18.33203125" style="17" customWidth="1"/>
    <col min="2" max="2" width="23.6640625" style="292" customWidth="1"/>
  </cols>
  <sheetData>
    <row r="1" spans="1:4">
      <c r="A1" s="90" t="s">
        <v>137</v>
      </c>
      <c r="B1" s="292" t="s">
        <v>333</v>
      </c>
    </row>
    <row r="2" spans="1:4" ht="17" customHeight="1">
      <c r="A2" t="s">
        <v>105</v>
      </c>
      <c r="B2">
        <f>11+13</f>
        <v>24</v>
      </c>
      <c r="C2" s="15"/>
      <c r="D2" s="15"/>
    </row>
    <row r="3" spans="1:4">
      <c r="A3" t="s">
        <v>85</v>
      </c>
      <c r="B3">
        <f>14+12</f>
        <v>26</v>
      </c>
    </row>
    <row r="4" spans="1:4">
      <c r="A4" t="s">
        <v>83</v>
      </c>
      <c r="B4">
        <f>14+14</f>
        <v>28</v>
      </c>
      <c r="C4" s="53"/>
      <c r="D4" s="53"/>
    </row>
    <row r="5" spans="1:4">
      <c r="A5" t="s">
        <v>84</v>
      </c>
      <c r="B5">
        <f>13+14</f>
        <v>27</v>
      </c>
    </row>
    <row r="6" spans="1:4">
      <c r="A6" t="s">
        <v>77</v>
      </c>
      <c r="B6">
        <f>15+17</f>
        <v>32</v>
      </c>
      <c r="C6" s="53"/>
      <c r="D6" s="53"/>
    </row>
    <row r="7" spans="1:4">
      <c r="A7" t="s">
        <v>87</v>
      </c>
      <c r="B7">
        <f>15+15</f>
        <v>30</v>
      </c>
    </row>
    <row r="8" spans="1:4">
      <c r="A8" t="s">
        <v>74</v>
      </c>
      <c r="B8">
        <f>11+15</f>
        <v>26</v>
      </c>
    </row>
    <row r="9" spans="1:4">
      <c r="A9" t="s">
        <v>86</v>
      </c>
      <c r="B9">
        <f>16+15</f>
        <v>31</v>
      </c>
    </row>
    <row r="10" spans="1:4">
      <c r="A10" t="s">
        <v>21</v>
      </c>
      <c r="B10">
        <f>5+3+4</f>
        <v>12</v>
      </c>
      <c r="C10" s="53"/>
      <c r="D10" s="53"/>
    </row>
    <row r="11" spans="1:4">
      <c r="A11" t="s">
        <v>119</v>
      </c>
      <c r="B11">
        <f>4+3+5</f>
        <v>12</v>
      </c>
    </row>
    <row r="12" spans="1:4">
      <c r="A12" t="s">
        <v>109</v>
      </c>
      <c r="B12">
        <f>4+5+6</f>
        <v>15</v>
      </c>
    </row>
    <row r="13" spans="1:4">
      <c r="A13" t="s">
        <v>88</v>
      </c>
      <c r="B13">
        <f>1+6+3</f>
        <v>10</v>
      </c>
    </row>
    <row r="14" spans="1:4">
      <c r="A14" t="s">
        <v>46</v>
      </c>
      <c r="B14">
        <f>34+38+39</f>
        <v>111</v>
      </c>
    </row>
    <row r="15" spans="1:4">
      <c r="A15" t="s">
        <v>38</v>
      </c>
      <c r="B15">
        <f>33+35+33</f>
        <v>101</v>
      </c>
    </row>
    <row r="16" spans="1:4">
      <c r="A16" t="s">
        <v>20</v>
      </c>
      <c r="B16">
        <f>33+39+26</f>
        <v>98</v>
      </c>
    </row>
    <row r="17" spans="1:4">
      <c r="A17" t="s">
        <v>17</v>
      </c>
      <c r="B17">
        <f>37+30+38</f>
        <v>105</v>
      </c>
    </row>
    <row r="18" spans="1:4">
      <c r="C18" s="53"/>
      <c r="D18" s="5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Ruler="0" topLeftCell="A22" workbookViewId="0">
      <pane ySplit="1480" topLeftCell="A20" activePane="bottomLeft"/>
      <selection activeCell="J152" sqref="J152"/>
      <selection pane="bottomLeft" activeCell="J152" sqref="J152"/>
    </sheetView>
  </sheetViews>
  <sheetFormatPr baseColWidth="10" defaultRowHeight="15" x14ac:dyDescent="0"/>
  <cols>
    <col min="2" max="2" width="26" customWidth="1"/>
    <col min="3" max="3" width="7.6640625" customWidth="1"/>
    <col min="4" max="4" width="9.1640625" customWidth="1"/>
    <col min="5" max="5" width="8.33203125" customWidth="1"/>
    <col min="6" max="7" width="7.6640625" bestFit="1" customWidth="1"/>
    <col min="8" max="8" width="13.5" bestFit="1" customWidth="1"/>
    <col min="9" max="9" width="13.1640625" bestFit="1" customWidth="1"/>
    <col min="10" max="10" width="15" style="221" customWidth="1"/>
    <col min="11" max="11" width="12.1640625" style="222" customWidth="1"/>
    <col min="12" max="12" width="15.1640625" bestFit="1" customWidth="1"/>
    <col min="13" max="13" width="15.1640625" style="17" bestFit="1" customWidth="1"/>
  </cols>
  <sheetData>
    <row r="1" spans="1:13">
      <c r="A1" s="219" t="s">
        <v>301</v>
      </c>
    </row>
    <row r="2" spans="1:13" s="54" customFormat="1">
      <c r="A2" s="54" t="s">
        <v>80</v>
      </c>
      <c r="B2" s="54" t="s">
        <v>302</v>
      </c>
      <c r="C2" s="54" t="s">
        <v>303</v>
      </c>
      <c r="D2" s="54" t="s">
        <v>304</v>
      </c>
      <c r="J2" s="220"/>
      <c r="K2" s="223"/>
      <c r="M2" s="55"/>
    </row>
    <row r="23" spans="1:13" s="54" customFormat="1" ht="16" thickBot="1">
      <c r="A23" s="219" t="s">
        <v>228</v>
      </c>
      <c r="J23" s="220"/>
      <c r="K23" s="223"/>
      <c r="M23" s="55"/>
    </row>
    <row r="24" spans="1:13" s="54" customFormat="1" ht="30" customHeight="1">
      <c r="A24" s="206" t="s">
        <v>80</v>
      </c>
      <c r="B24" s="54" t="s">
        <v>229</v>
      </c>
      <c r="C24" s="54" t="s">
        <v>128</v>
      </c>
      <c r="D24" s="54" t="s">
        <v>129</v>
      </c>
      <c r="E24" s="54" t="s">
        <v>231</v>
      </c>
      <c r="F24" s="54" t="s">
        <v>232</v>
      </c>
      <c r="G24" s="54" t="s">
        <v>233</v>
      </c>
      <c r="H24" s="54" t="s">
        <v>234</v>
      </c>
      <c r="I24" s="54" t="s">
        <v>235</v>
      </c>
      <c r="J24" s="220" t="s">
        <v>236</v>
      </c>
      <c r="K24" s="224" t="s">
        <v>237</v>
      </c>
      <c r="L24" s="54" t="s">
        <v>257</v>
      </c>
      <c r="M24" s="55" t="s">
        <v>258</v>
      </c>
    </row>
    <row r="25" spans="1:13" s="54" customFormat="1">
      <c r="A25" s="206"/>
      <c r="J25" s="220"/>
      <c r="K25" s="227" t="s">
        <v>246</v>
      </c>
      <c r="M25" s="55"/>
    </row>
    <row r="26" spans="1:13">
      <c r="A26" s="16">
        <v>42901</v>
      </c>
      <c r="B26" t="s">
        <v>238</v>
      </c>
      <c r="C26">
        <v>250</v>
      </c>
      <c r="D26">
        <v>245</v>
      </c>
      <c r="E26">
        <v>234</v>
      </c>
      <c r="F26">
        <v>247</v>
      </c>
      <c r="G26">
        <v>228</v>
      </c>
      <c r="H26" s="17">
        <f>AVERAGE(C26:G26)</f>
        <v>240.8</v>
      </c>
      <c r="I26" s="17">
        <f>(H26*9)/0.0009</f>
        <v>2408000.0000000005</v>
      </c>
      <c r="J26" s="222">
        <f>(100000*800)/I26</f>
        <v>33.222591362126238</v>
      </c>
      <c r="K26" s="225">
        <f>13*J26</f>
        <v>431.89368770764111</v>
      </c>
    </row>
    <row r="27" spans="1:13">
      <c r="A27" s="16">
        <v>42902</v>
      </c>
      <c r="B27" t="s">
        <v>238</v>
      </c>
      <c r="C27">
        <v>232</v>
      </c>
      <c r="D27">
        <v>224</v>
      </c>
      <c r="E27">
        <v>243</v>
      </c>
      <c r="F27">
        <v>249</v>
      </c>
      <c r="G27">
        <v>240</v>
      </c>
      <c r="H27" s="17">
        <f>AVERAGE(C27:G27)</f>
        <v>237.6</v>
      </c>
      <c r="I27" s="17">
        <f>(H27*9)/0.0009</f>
        <v>2376000</v>
      </c>
      <c r="J27" s="222">
        <f>(100000*800)/I27</f>
        <v>33.670033670033668</v>
      </c>
      <c r="K27" s="225">
        <f>13*J27</f>
        <v>437.7104377104377</v>
      </c>
    </row>
    <row r="28" spans="1:13">
      <c r="A28" s="16">
        <v>42903</v>
      </c>
      <c r="B28" t="s">
        <v>230</v>
      </c>
      <c r="C28">
        <v>145</v>
      </c>
      <c r="D28">
        <v>164</v>
      </c>
      <c r="E28">
        <v>161</v>
      </c>
      <c r="F28">
        <v>185</v>
      </c>
      <c r="G28">
        <v>171</v>
      </c>
      <c r="H28" s="17">
        <f>AVERAGE(C28:G28)</f>
        <v>165.2</v>
      </c>
      <c r="I28" s="17">
        <f>(H28*9)/0.0009</f>
        <v>1652000</v>
      </c>
      <c r="J28" s="222">
        <f>(100000*800)/I28</f>
        <v>48.426150121065376</v>
      </c>
      <c r="K28" s="225">
        <f>13*J28</f>
        <v>629.53995157384986</v>
      </c>
    </row>
    <row r="29" spans="1:13">
      <c r="A29" s="16">
        <v>42904</v>
      </c>
      <c r="B29" t="s">
        <v>239</v>
      </c>
      <c r="C29">
        <v>128</v>
      </c>
      <c r="D29">
        <v>170</v>
      </c>
      <c r="E29">
        <v>172</v>
      </c>
      <c r="F29">
        <v>152</v>
      </c>
      <c r="G29">
        <v>135</v>
      </c>
      <c r="H29" s="17">
        <f t="shared" ref="H29:H38" si="0">AVERAGE(C29:G29)</f>
        <v>151.4</v>
      </c>
      <c r="I29" s="17">
        <f t="shared" ref="I29:I38" si="1">(H29*9)/0.0009</f>
        <v>1514000.0000000002</v>
      </c>
      <c r="J29" s="222">
        <f t="shared" ref="J29:J42" si="2">(100000*800)/I29</f>
        <v>52.840158520475555</v>
      </c>
      <c r="K29" s="225">
        <f t="shared" ref="K29" si="3">13*J29</f>
        <v>686.9220607661822</v>
      </c>
    </row>
    <row r="30" spans="1:13">
      <c r="A30" s="16"/>
      <c r="H30" s="17"/>
      <c r="I30" s="17"/>
      <c r="J30" s="222"/>
      <c r="K30" s="227" t="s">
        <v>245</v>
      </c>
    </row>
    <row r="31" spans="1:13">
      <c r="A31" s="16">
        <v>42905</v>
      </c>
      <c r="B31" t="s">
        <v>244</v>
      </c>
      <c r="C31">
        <v>194</v>
      </c>
      <c r="D31">
        <v>206</v>
      </c>
      <c r="E31">
        <v>197</v>
      </c>
      <c r="F31">
        <v>219</v>
      </c>
      <c r="G31">
        <v>212</v>
      </c>
      <c r="H31" s="17">
        <f t="shared" si="0"/>
        <v>205.6</v>
      </c>
      <c r="I31" s="17">
        <f t="shared" si="1"/>
        <v>2056000</v>
      </c>
      <c r="J31" s="222">
        <f t="shared" si="2"/>
        <v>38.910505836575872</v>
      </c>
      <c r="K31" s="226">
        <f>((100000*1000)/I31)*18</f>
        <v>875.48638132295719</v>
      </c>
    </row>
    <row r="32" spans="1:13">
      <c r="A32" s="16">
        <v>42906</v>
      </c>
      <c r="B32" t="s">
        <v>247</v>
      </c>
      <c r="C32">
        <v>196</v>
      </c>
      <c r="D32">
        <v>236</v>
      </c>
      <c r="E32">
        <v>223</v>
      </c>
      <c r="F32">
        <v>208</v>
      </c>
      <c r="G32">
        <v>218</v>
      </c>
      <c r="H32" s="17">
        <f t="shared" si="0"/>
        <v>216.2</v>
      </c>
      <c r="I32" s="17">
        <f t="shared" si="1"/>
        <v>2162000</v>
      </c>
      <c r="J32" s="222">
        <f t="shared" si="2"/>
        <v>37.002775208140612</v>
      </c>
      <c r="K32" s="226">
        <f t="shared" ref="K32:K42" si="4">((100000*1000)/I32)*18</f>
        <v>832.56244218316374</v>
      </c>
    </row>
    <row r="33" spans="1:15">
      <c r="A33" s="16">
        <v>42908</v>
      </c>
      <c r="B33" t="s">
        <v>251</v>
      </c>
      <c r="C33">
        <v>321</v>
      </c>
      <c r="D33">
        <v>342</v>
      </c>
      <c r="E33">
        <v>333</v>
      </c>
      <c r="F33">
        <v>368</v>
      </c>
      <c r="G33">
        <v>388</v>
      </c>
      <c r="H33" s="17">
        <f t="shared" si="0"/>
        <v>350.4</v>
      </c>
      <c r="I33" s="17">
        <f t="shared" si="1"/>
        <v>3504000</v>
      </c>
      <c r="J33" s="222">
        <f t="shared" si="2"/>
        <v>22.831050228310502</v>
      </c>
      <c r="K33" s="226">
        <f t="shared" si="4"/>
        <v>513.69863013698625</v>
      </c>
    </row>
    <row r="34" spans="1:15">
      <c r="A34" s="16">
        <v>42909</v>
      </c>
      <c r="B34" t="s">
        <v>251</v>
      </c>
      <c r="C34">
        <v>321</v>
      </c>
      <c r="D34">
        <v>342</v>
      </c>
      <c r="E34">
        <v>333</v>
      </c>
      <c r="F34">
        <v>368</v>
      </c>
      <c r="G34">
        <v>388</v>
      </c>
      <c r="H34" s="17">
        <f t="shared" ref="H34" si="5">AVERAGE(C34:G34)</f>
        <v>350.4</v>
      </c>
      <c r="I34" s="17">
        <f t="shared" ref="I34" si="6">(H34*9)/0.0009</f>
        <v>3504000</v>
      </c>
      <c r="J34" s="222">
        <f t="shared" ref="J34" si="7">(100000*800)/I34</f>
        <v>22.831050228310502</v>
      </c>
      <c r="K34" s="226">
        <f t="shared" ref="K34" si="8">((100000*1000)/I34)*18</f>
        <v>513.69863013698625</v>
      </c>
      <c r="L34" t="s">
        <v>268</v>
      </c>
    </row>
    <row r="35" spans="1:15">
      <c r="A35" s="16">
        <v>42910</v>
      </c>
      <c r="B35" t="s">
        <v>270</v>
      </c>
      <c r="C35">
        <v>237</v>
      </c>
      <c r="D35">
        <v>138</v>
      </c>
      <c r="E35">
        <v>201</v>
      </c>
      <c r="F35">
        <v>192</v>
      </c>
      <c r="G35">
        <v>140</v>
      </c>
      <c r="H35" s="17">
        <f t="shared" si="0"/>
        <v>181.6</v>
      </c>
      <c r="I35" s="17">
        <f t="shared" si="1"/>
        <v>1816000</v>
      </c>
      <c r="J35" s="222">
        <f t="shared" si="2"/>
        <v>44.052863436123346</v>
      </c>
      <c r="K35" s="226">
        <f t="shared" si="4"/>
        <v>991.18942731277525</v>
      </c>
    </row>
    <row r="36" spans="1:15">
      <c r="A36" s="16">
        <v>42912</v>
      </c>
      <c r="B36" t="s">
        <v>252</v>
      </c>
      <c r="C36">
        <v>318</v>
      </c>
      <c r="D36">
        <v>348</v>
      </c>
      <c r="E36">
        <v>352</v>
      </c>
      <c r="F36">
        <v>369</v>
      </c>
      <c r="G36">
        <v>358</v>
      </c>
      <c r="H36" s="17">
        <f t="shared" si="0"/>
        <v>349</v>
      </c>
      <c r="I36" s="17">
        <f t="shared" si="1"/>
        <v>3490000</v>
      </c>
      <c r="J36" s="222">
        <f t="shared" si="2"/>
        <v>22.922636103151863</v>
      </c>
      <c r="K36" s="226">
        <f t="shared" si="4"/>
        <v>515.75931232091693</v>
      </c>
    </row>
    <row r="37" spans="1:15">
      <c r="A37" s="16">
        <v>42914</v>
      </c>
      <c r="B37" t="s">
        <v>254</v>
      </c>
      <c r="C37">
        <v>345</v>
      </c>
      <c r="D37">
        <v>303</v>
      </c>
      <c r="E37">
        <v>249</v>
      </c>
      <c r="F37">
        <v>317</v>
      </c>
      <c r="G37">
        <v>284</v>
      </c>
      <c r="H37" s="17">
        <f t="shared" si="0"/>
        <v>299.60000000000002</v>
      </c>
      <c r="I37" s="17">
        <f t="shared" si="1"/>
        <v>2996000</v>
      </c>
      <c r="J37" s="222">
        <f t="shared" si="2"/>
        <v>26.702269692923899</v>
      </c>
      <c r="K37" s="226">
        <f t="shared" si="4"/>
        <v>600.80106809078768</v>
      </c>
    </row>
    <row r="38" spans="1:15">
      <c r="A38" s="16">
        <v>42915</v>
      </c>
      <c r="B38" t="s">
        <v>256</v>
      </c>
      <c r="C38">
        <v>105</v>
      </c>
      <c r="D38">
        <v>92</v>
      </c>
      <c r="E38">
        <v>107</v>
      </c>
      <c r="F38">
        <v>103</v>
      </c>
      <c r="G38">
        <v>114</v>
      </c>
      <c r="H38" s="17">
        <f t="shared" si="0"/>
        <v>104.2</v>
      </c>
      <c r="I38" s="17">
        <f t="shared" si="1"/>
        <v>1042000.0000000001</v>
      </c>
      <c r="J38" s="222">
        <f t="shared" si="2"/>
        <v>76.775431861804208</v>
      </c>
      <c r="K38" s="226">
        <f t="shared" si="4"/>
        <v>1727.4472168905947</v>
      </c>
      <c r="L38">
        <v>1900</v>
      </c>
      <c r="M38" s="17">
        <f>L38*I38/19.7</f>
        <v>100497461.92893402</v>
      </c>
    </row>
    <row r="39" spans="1:15">
      <c r="A39" s="16">
        <v>42917</v>
      </c>
      <c r="B39" t="s">
        <v>259</v>
      </c>
      <c r="C39">
        <v>87</v>
      </c>
      <c r="D39">
        <v>127</v>
      </c>
      <c r="E39">
        <v>94</v>
      </c>
      <c r="F39">
        <v>52</v>
      </c>
      <c r="G39">
        <v>138</v>
      </c>
      <c r="H39" s="17">
        <f>AVERAGE(C39:G39, N39:O39)</f>
        <v>102.85714285714286</v>
      </c>
      <c r="I39" s="17">
        <f>(H39*9)/0.0009</f>
        <v>1028571.4285714286</v>
      </c>
      <c r="J39" s="221">
        <f t="shared" si="2"/>
        <v>77.777777777777771</v>
      </c>
      <c r="K39" s="225">
        <f t="shared" si="4"/>
        <v>1749.9999999999998</v>
      </c>
      <c r="L39" s="152">
        <f>(M39*I39)/(18+M39/1000)</f>
        <v>98205312.275664046</v>
      </c>
      <c r="M39" s="17">
        <v>1900</v>
      </c>
      <c r="N39">
        <v>114</v>
      </c>
      <c r="O39">
        <v>108</v>
      </c>
    </row>
    <row r="40" spans="1:15">
      <c r="A40" s="16">
        <v>42919</v>
      </c>
      <c r="B40" t="s">
        <v>264</v>
      </c>
      <c r="C40">
        <v>348</v>
      </c>
      <c r="D40">
        <v>352</v>
      </c>
      <c r="E40">
        <v>367</v>
      </c>
      <c r="F40">
        <v>349</v>
      </c>
      <c r="G40">
        <v>337</v>
      </c>
      <c r="H40" s="17">
        <f>AVERAGE(C40:G40)</f>
        <v>350.6</v>
      </c>
      <c r="I40" s="17">
        <f>(H40*9)/0.0009</f>
        <v>3506000</v>
      </c>
      <c r="J40" s="221">
        <f t="shared" si="2"/>
        <v>22.818026240730177</v>
      </c>
      <c r="K40" s="225">
        <f t="shared" si="4"/>
        <v>513.40559041642894</v>
      </c>
      <c r="L40" s="152">
        <f>(M40*I40)/(18+M40/1000)</f>
        <v>0</v>
      </c>
    </row>
    <row r="41" spans="1:15">
      <c r="A41" s="16">
        <v>42921</v>
      </c>
      <c r="B41" t="s">
        <v>266</v>
      </c>
      <c r="C41">
        <v>248</v>
      </c>
      <c r="D41">
        <v>288</v>
      </c>
      <c r="E41">
        <v>266</v>
      </c>
      <c r="F41">
        <v>248</v>
      </c>
      <c r="G41">
        <v>233</v>
      </c>
      <c r="H41" s="17">
        <f>AVERAGE(C41:G41)</f>
        <v>256.60000000000002</v>
      </c>
      <c r="I41" s="17">
        <f>(H41*9)/0.0009</f>
        <v>2566000</v>
      </c>
      <c r="J41" s="221">
        <f t="shared" si="2"/>
        <v>31.176929072486359</v>
      </c>
      <c r="K41" s="225">
        <f t="shared" si="4"/>
        <v>701.48090413094314</v>
      </c>
    </row>
    <row r="42" spans="1:15">
      <c r="A42" s="16">
        <v>42922</v>
      </c>
      <c r="B42" t="s">
        <v>266</v>
      </c>
      <c r="C42">
        <v>230</v>
      </c>
      <c r="D42">
        <v>144</v>
      </c>
      <c r="E42">
        <v>168</v>
      </c>
      <c r="F42">
        <v>171</v>
      </c>
      <c r="G42">
        <v>79</v>
      </c>
      <c r="H42" s="17">
        <f>AVERAGE(C42:G42)</f>
        <v>158.4</v>
      </c>
      <c r="I42" s="17">
        <f>(H42*9)/0.0009</f>
        <v>1584000.0000000002</v>
      </c>
      <c r="J42" s="221">
        <f t="shared" si="2"/>
        <v>50.505050505050498</v>
      </c>
      <c r="K42" s="225">
        <f t="shared" si="4"/>
        <v>1136.3636363636363</v>
      </c>
    </row>
    <row r="43" spans="1:15">
      <c r="A43" s="16">
        <v>42924</v>
      </c>
      <c r="B43" t="s">
        <v>309</v>
      </c>
      <c r="C43">
        <v>185</v>
      </c>
      <c r="D43">
        <v>167</v>
      </c>
      <c r="E43">
        <v>225</v>
      </c>
      <c r="H43" s="17">
        <f>AVERAGE(C43:G43)</f>
        <v>192.33333333333334</v>
      </c>
      <c r="I43" s="17">
        <f>(H43*9)/0.0009</f>
        <v>1923333.3333333335</v>
      </c>
      <c r="J43" s="221">
        <f t="shared" ref="J43" si="9">(100000*800)/I43</f>
        <v>41.594454072790292</v>
      </c>
      <c r="K43" s="225">
        <f t="shared" ref="K43" si="10">((100000*1000)/I43)*18</f>
        <v>935.87521663778148</v>
      </c>
      <c r="L43">
        <v>1000</v>
      </c>
    </row>
    <row r="44" spans="1:15">
      <c r="A44" s="16"/>
      <c r="B44">
        <f>800/220</f>
        <v>3.6363636363636362</v>
      </c>
      <c r="C44">
        <f>(800*3)/5</f>
        <v>480</v>
      </c>
      <c r="D44">
        <f>800-C44</f>
        <v>320</v>
      </c>
      <c r="E44">
        <f>D44/2</f>
        <v>160</v>
      </c>
      <c r="F44">
        <f>3*E44</f>
        <v>480</v>
      </c>
      <c r="G44">
        <f>E44/B44</f>
        <v>44</v>
      </c>
      <c r="K44" s="225"/>
    </row>
    <row r="45" spans="1:15">
      <c r="A45" s="16"/>
      <c r="J45" s="275"/>
      <c r="K45" s="276"/>
      <c r="L45" s="23"/>
      <c r="M45" s="118"/>
    </row>
    <row r="46" spans="1:15">
      <c r="A46" s="16"/>
      <c r="C46">
        <f>(44*B44)</f>
        <v>160</v>
      </c>
      <c r="J46" s="275"/>
      <c r="K46" s="276"/>
      <c r="L46" s="23"/>
      <c r="M46" s="118"/>
    </row>
    <row r="47" spans="1:15">
      <c r="A47" s="16"/>
      <c r="J47" s="275"/>
      <c r="K47" s="276"/>
      <c r="L47" s="23"/>
      <c r="M47" s="118"/>
    </row>
    <row r="48" spans="1:15">
      <c r="A48" s="16"/>
      <c r="J48" s="275"/>
      <c r="K48" s="276"/>
      <c r="L48" s="23"/>
      <c r="M48" s="118"/>
    </row>
    <row r="49" spans="1:14" ht="16" thickBot="1">
      <c r="A49" s="273" t="s">
        <v>312</v>
      </c>
      <c r="J49" s="275"/>
      <c r="K49" s="276"/>
      <c r="L49" s="23"/>
      <c r="M49" s="118"/>
    </row>
    <row r="50" spans="1:14" s="221" customFormat="1" ht="46" customHeight="1">
      <c r="A50" s="274" t="s">
        <v>313</v>
      </c>
      <c r="B50" s="221" t="s">
        <v>314</v>
      </c>
      <c r="C50" s="221" t="s">
        <v>322</v>
      </c>
      <c r="D50" s="221" t="s">
        <v>323</v>
      </c>
      <c r="E50" s="221" t="s">
        <v>324</v>
      </c>
      <c r="F50" s="221" t="s">
        <v>315</v>
      </c>
      <c r="G50" s="221" t="s">
        <v>316</v>
      </c>
      <c r="H50" s="221" t="s">
        <v>325</v>
      </c>
      <c r="I50" s="221" t="s">
        <v>326</v>
      </c>
      <c r="J50" s="279"/>
      <c r="K50" s="379" t="s">
        <v>389</v>
      </c>
      <c r="L50" s="280" t="s">
        <v>329</v>
      </c>
      <c r="M50" s="281" t="s">
        <v>330</v>
      </c>
      <c r="N50" s="276"/>
    </row>
    <row r="51" spans="1:14">
      <c r="A51" t="s">
        <v>74</v>
      </c>
      <c r="B51" t="s">
        <v>317</v>
      </c>
      <c r="C51">
        <v>160</v>
      </c>
      <c r="D51">
        <v>45</v>
      </c>
      <c r="E51">
        <v>30</v>
      </c>
      <c r="F51">
        <v>2</v>
      </c>
      <c r="G51">
        <v>1</v>
      </c>
      <c r="H51" s="105">
        <f>SUM(F51:G51)/(C51-D51-E51)</f>
        <v>3.5294117647058823E-2</v>
      </c>
      <c r="J51" s="282" t="s">
        <v>74</v>
      </c>
      <c r="K51" s="308">
        <f>SUM(F51:G55)</f>
        <v>31</v>
      </c>
      <c r="L51" s="277">
        <f>AVERAGE(H51:H55)</f>
        <v>7.2969187675070019E-2</v>
      </c>
      <c r="M51" s="283">
        <f>SUM(F51:G54)/800</f>
        <v>0.03</v>
      </c>
      <c r="N51" s="118"/>
    </row>
    <row r="52" spans="1:14">
      <c r="A52" t="s">
        <v>74</v>
      </c>
      <c r="B52" t="s">
        <v>318</v>
      </c>
      <c r="C52">
        <v>160</v>
      </c>
      <c r="D52">
        <v>45</v>
      </c>
      <c r="E52">
        <v>31</v>
      </c>
      <c r="F52">
        <v>0</v>
      </c>
      <c r="G52">
        <v>1</v>
      </c>
      <c r="H52" s="105">
        <f t="shared" ref="H52:H70" si="11">SUM(F52:G52)/(C52-D52-E52)</f>
        <v>1.1904761904761904E-2</v>
      </c>
      <c r="J52" s="284" t="s">
        <v>77</v>
      </c>
      <c r="K52" s="380">
        <f>SUM(F56:G60)</f>
        <v>275</v>
      </c>
      <c r="L52" s="277">
        <f>AVERAGE(H56:H60)</f>
        <v>0.64705882352941191</v>
      </c>
      <c r="M52" s="283">
        <f>SUM(F56:G60)/800</f>
        <v>0.34375</v>
      </c>
      <c r="N52" s="118"/>
    </row>
    <row r="53" spans="1:14">
      <c r="A53" t="s">
        <v>74</v>
      </c>
      <c r="B53" t="s">
        <v>319</v>
      </c>
      <c r="C53">
        <v>160</v>
      </c>
      <c r="D53">
        <v>45</v>
      </c>
      <c r="E53">
        <v>30</v>
      </c>
      <c r="F53">
        <v>0</v>
      </c>
      <c r="G53">
        <v>0</v>
      </c>
      <c r="H53" s="105">
        <f t="shared" si="11"/>
        <v>0</v>
      </c>
      <c r="J53" s="284" t="s">
        <v>86</v>
      </c>
      <c r="K53" s="380">
        <f>SUM(F61:G65)</f>
        <v>4</v>
      </c>
      <c r="L53" s="278">
        <f>AVERAGE(H61:H65)</f>
        <v>9.4117647058823521E-3</v>
      </c>
      <c r="M53" s="283">
        <f>SUM(F61:G65)/800</f>
        <v>5.0000000000000001E-3</v>
      </c>
      <c r="N53" s="118"/>
    </row>
    <row r="54" spans="1:14" ht="16" thickBot="1">
      <c r="A54" t="s">
        <v>74</v>
      </c>
      <c r="B54" t="s">
        <v>320</v>
      </c>
      <c r="C54">
        <v>160</v>
      </c>
      <c r="D54">
        <v>45</v>
      </c>
      <c r="E54">
        <v>30</v>
      </c>
      <c r="F54">
        <v>17</v>
      </c>
      <c r="G54">
        <v>3</v>
      </c>
      <c r="H54" s="105">
        <f t="shared" si="11"/>
        <v>0.23529411764705882</v>
      </c>
      <c r="J54" s="285" t="s">
        <v>87</v>
      </c>
      <c r="K54" s="381">
        <f>SUM(F66:G70)</f>
        <v>96</v>
      </c>
      <c r="L54" s="286">
        <f>AVERAGE(H66:H70)</f>
        <v>0.22588235294117648</v>
      </c>
      <c r="M54" s="287">
        <f>SUM(F66:G70)/800</f>
        <v>0.12</v>
      </c>
      <c r="N54" s="118"/>
    </row>
    <row r="55" spans="1:14">
      <c r="A55" t="s">
        <v>74</v>
      </c>
      <c r="B55" t="s">
        <v>321</v>
      </c>
      <c r="C55">
        <v>160</v>
      </c>
      <c r="D55">
        <v>45</v>
      </c>
      <c r="E55">
        <v>30</v>
      </c>
      <c r="F55">
        <v>7</v>
      </c>
      <c r="G55">
        <v>0</v>
      </c>
      <c r="H55" s="105">
        <f t="shared" si="11"/>
        <v>8.2352941176470587E-2</v>
      </c>
      <c r="J55" s="275"/>
      <c r="K55" s="276"/>
      <c r="L55" s="23"/>
      <c r="M55" s="118"/>
    </row>
    <row r="56" spans="1:14">
      <c r="A56" t="s">
        <v>77</v>
      </c>
      <c r="B56" t="s">
        <v>317</v>
      </c>
      <c r="C56">
        <v>160</v>
      </c>
      <c r="D56">
        <v>45</v>
      </c>
      <c r="E56">
        <v>30</v>
      </c>
      <c r="F56">
        <v>25</v>
      </c>
      <c r="G56">
        <v>17</v>
      </c>
      <c r="H56" s="105">
        <f t="shared" si="11"/>
        <v>0.49411764705882355</v>
      </c>
      <c r="J56" s="275"/>
      <c r="K56" s="276"/>
      <c r="L56" s="23"/>
      <c r="M56" s="118"/>
    </row>
    <row r="57" spans="1:14">
      <c r="A57" t="s">
        <v>77</v>
      </c>
      <c r="B57" t="s">
        <v>318</v>
      </c>
      <c r="C57">
        <v>160</v>
      </c>
      <c r="D57">
        <v>45</v>
      </c>
      <c r="E57">
        <v>30</v>
      </c>
      <c r="F57">
        <v>51</v>
      </c>
      <c r="G57">
        <v>20</v>
      </c>
      <c r="H57" s="105">
        <f t="shared" si="11"/>
        <v>0.83529411764705885</v>
      </c>
      <c r="J57" s="275"/>
      <c r="K57" s="276"/>
      <c r="L57" s="23"/>
      <c r="M57" s="118"/>
    </row>
    <row r="58" spans="1:14">
      <c r="A58" t="s">
        <v>77</v>
      </c>
      <c r="B58" t="s">
        <v>319</v>
      </c>
      <c r="C58">
        <v>160</v>
      </c>
      <c r="D58">
        <v>45</v>
      </c>
      <c r="E58">
        <v>30</v>
      </c>
      <c r="F58">
        <v>120</v>
      </c>
      <c r="G58">
        <v>33</v>
      </c>
      <c r="H58" s="105">
        <f>SUM(F58:G58)/(C58-D58-E58)</f>
        <v>1.8</v>
      </c>
      <c r="J58" s="275"/>
      <c r="K58" s="276"/>
      <c r="L58" s="23"/>
      <c r="M58" s="118"/>
    </row>
    <row r="59" spans="1:14">
      <c r="A59" t="s">
        <v>77</v>
      </c>
      <c r="B59" t="s">
        <v>320</v>
      </c>
      <c r="C59">
        <v>160</v>
      </c>
      <c r="D59">
        <v>45</v>
      </c>
      <c r="E59">
        <v>30</v>
      </c>
      <c r="F59">
        <v>9</v>
      </c>
      <c r="G59">
        <v>0</v>
      </c>
      <c r="H59" s="105">
        <f t="shared" si="11"/>
        <v>0.10588235294117647</v>
      </c>
      <c r="J59" s="275"/>
      <c r="K59" s="276"/>
      <c r="L59" s="23"/>
      <c r="M59" s="118"/>
    </row>
    <row r="60" spans="1:14">
      <c r="A60" t="s">
        <v>77</v>
      </c>
      <c r="B60" t="s">
        <v>321</v>
      </c>
      <c r="C60">
        <v>160</v>
      </c>
      <c r="D60">
        <v>45</v>
      </c>
      <c r="E60">
        <v>30</v>
      </c>
      <c r="F60">
        <v>0</v>
      </c>
      <c r="G60">
        <v>0</v>
      </c>
      <c r="H60" s="105">
        <f t="shared" si="11"/>
        <v>0</v>
      </c>
    </row>
    <row r="61" spans="1:14">
      <c r="A61" t="s">
        <v>73</v>
      </c>
      <c r="B61" t="s">
        <v>317</v>
      </c>
      <c r="C61">
        <v>160</v>
      </c>
      <c r="D61">
        <v>45</v>
      </c>
      <c r="E61">
        <v>30</v>
      </c>
      <c r="F61">
        <v>0</v>
      </c>
      <c r="G61">
        <v>0</v>
      </c>
      <c r="H61" s="105">
        <f t="shared" si="11"/>
        <v>0</v>
      </c>
    </row>
    <row r="62" spans="1:14">
      <c r="A62" t="s">
        <v>73</v>
      </c>
      <c r="B62" t="s">
        <v>318</v>
      </c>
      <c r="C62">
        <v>160</v>
      </c>
      <c r="D62">
        <v>45</v>
      </c>
      <c r="E62">
        <v>30</v>
      </c>
      <c r="F62">
        <v>0</v>
      </c>
      <c r="G62">
        <v>0</v>
      </c>
      <c r="H62" s="105">
        <f t="shared" si="11"/>
        <v>0</v>
      </c>
      <c r="I62" t="s">
        <v>327</v>
      </c>
    </row>
    <row r="63" spans="1:14">
      <c r="A63" t="s">
        <v>73</v>
      </c>
      <c r="B63" t="s">
        <v>319</v>
      </c>
      <c r="C63">
        <v>160</v>
      </c>
      <c r="D63">
        <v>45</v>
      </c>
      <c r="E63">
        <v>16</v>
      </c>
      <c r="F63">
        <v>0</v>
      </c>
      <c r="G63">
        <v>0</v>
      </c>
      <c r="H63" s="105">
        <f t="shared" si="11"/>
        <v>0</v>
      </c>
      <c r="I63" t="s">
        <v>327</v>
      </c>
    </row>
    <row r="64" spans="1:14">
      <c r="A64" t="s">
        <v>73</v>
      </c>
      <c r="B64" t="s">
        <v>320</v>
      </c>
      <c r="C64">
        <v>160</v>
      </c>
      <c r="D64">
        <v>45</v>
      </c>
      <c r="E64">
        <v>30</v>
      </c>
      <c r="F64">
        <v>0</v>
      </c>
      <c r="G64">
        <v>0</v>
      </c>
      <c r="H64" s="105">
        <f t="shared" si="11"/>
        <v>0</v>
      </c>
    </row>
    <row r="65" spans="1:9">
      <c r="A65" t="s">
        <v>73</v>
      </c>
      <c r="B65" t="s">
        <v>321</v>
      </c>
      <c r="C65">
        <v>160</v>
      </c>
      <c r="D65">
        <v>45</v>
      </c>
      <c r="E65">
        <v>30</v>
      </c>
      <c r="F65">
        <v>4</v>
      </c>
      <c r="G65">
        <v>0</v>
      </c>
      <c r="H65" s="105">
        <f t="shared" si="11"/>
        <v>4.7058823529411764E-2</v>
      </c>
    </row>
    <row r="66" spans="1:9">
      <c r="A66" t="s">
        <v>72</v>
      </c>
      <c r="B66" t="s">
        <v>317</v>
      </c>
      <c r="C66">
        <v>160</v>
      </c>
      <c r="D66">
        <v>45</v>
      </c>
      <c r="E66">
        <v>30</v>
      </c>
      <c r="F66">
        <v>2</v>
      </c>
      <c r="G66">
        <v>3</v>
      </c>
      <c r="H66" s="105">
        <f t="shared" si="11"/>
        <v>5.8823529411764705E-2</v>
      </c>
    </row>
    <row r="67" spans="1:9">
      <c r="A67" t="s">
        <v>72</v>
      </c>
      <c r="B67" t="s">
        <v>318</v>
      </c>
      <c r="C67">
        <v>160</v>
      </c>
      <c r="D67">
        <v>45</v>
      </c>
      <c r="E67">
        <v>30</v>
      </c>
      <c r="F67">
        <v>19</v>
      </c>
      <c r="G67">
        <v>5</v>
      </c>
      <c r="H67" s="105">
        <f t="shared" si="11"/>
        <v>0.28235294117647058</v>
      </c>
    </row>
    <row r="68" spans="1:9">
      <c r="A68" t="s">
        <v>72</v>
      </c>
      <c r="B68" t="s">
        <v>319</v>
      </c>
      <c r="C68">
        <v>160</v>
      </c>
      <c r="D68">
        <v>45</v>
      </c>
      <c r="E68">
        <v>30</v>
      </c>
      <c r="F68">
        <v>40</v>
      </c>
      <c r="G68">
        <v>22</v>
      </c>
      <c r="H68" s="105">
        <f t="shared" si="11"/>
        <v>0.72941176470588232</v>
      </c>
    </row>
    <row r="69" spans="1:9">
      <c r="A69" t="s">
        <v>72</v>
      </c>
      <c r="B69" t="s">
        <v>320</v>
      </c>
      <c r="C69">
        <v>160</v>
      </c>
      <c r="D69">
        <v>45</v>
      </c>
      <c r="E69">
        <v>30</v>
      </c>
      <c r="F69">
        <v>3</v>
      </c>
      <c r="G69">
        <v>2</v>
      </c>
      <c r="H69" s="105">
        <f t="shared" si="11"/>
        <v>5.8823529411764705E-2</v>
      </c>
    </row>
    <row r="70" spans="1:9">
      <c r="A70" t="s">
        <v>72</v>
      </c>
      <c r="B70" t="s">
        <v>321</v>
      </c>
      <c r="C70">
        <v>160</v>
      </c>
      <c r="D70">
        <v>45</v>
      </c>
      <c r="E70">
        <v>4</v>
      </c>
      <c r="F70">
        <v>0</v>
      </c>
      <c r="G70">
        <v>0</v>
      </c>
      <c r="H70" s="105">
        <f t="shared" si="11"/>
        <v>0</v>
      </c>
      <c r="I70" t="s">
        <v>328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J152" sqref="J152"/>
    </sheetView>
  </sheetViews>
  <sheetFormatPr baseColWidth="10" defaultRowHeight="15" x14ac:dyDescent="0"/>
  <sheetData>
    <row r="1" spans="1:2">
      <c r="A1" t="s">
        <v>80</v>
      </c>
      <c r="B1" t="s">
        <v>269</v>
      </c>
    </row>
    <row r="2" spans="1:2">
      <c r="A2" s="251">
        <v>42908</v>
      </c>
      <c r="B2">
        <v>17</v>
      </c>
    </row>
    <row r="3" spans="1:2">
      <c r="A3" s="251">
        <v>42909</v>
      </c>
      <c r="B3">
        <v>17</v>
      </c>
    </row>
    <row r="4" spans="1:2">
      <c r="A4" s="251">
        <v>42910</v>
      </c>
      <c r="B4">
        <v>17.5</v>
      </c>
    </row>
    <row r="5" spans="1:2">
      <c r="A5" s="251">
        <v>42914</v>
      </c>
      <c r="B5">
        <v>16.7</v>
      </c>
    </row>
    <row r="6" spans="1:2">
      <c r="A6" s="251">
        <v>42917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N144" zoomScale="75" zoomScaleNormal="75" zoomScalePageLayoutView="75" workbookViewId="0">
      <selection activeCell="J152" sqref="J15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showRuler="0" zoomScale="80" zoomScaleNormal="80" zoomScalePageLayoutView="80" workbookViewId="0">
      <selection activeCell="J152" sqref="J152"/>
    </sheetView>
  </sheetViews>
  <sheetFormatPr baseColWidth="10" defaultRowHeight="15" x14ac:dyDescent="0"/>
  <cols>
    <col min="1" max="1" width="17.5" style="95" bestFit="1" customWidth="1"/>
    <col min="2" max="2" width="15.33203125" style="30" bestFit="1" customWidth="1"/>
    <col min="3" max="3" width="10.6640625" style="30" customWidth="1"/>
    <col min="4" max="4" width="14.33203125" style="30" bestFit="1" customWidth="1"/>
    <col min="5" max="5" width="9.6640625" style="30" customWidth="1"/>
    <col min="6" max="6" width="11.83203125" style="30" customWidth="1"/>
    <col min="7" max="7" width="13.1640625" style="30" customWidth="1"/>
    <col min="8" max="8" width="10.6640625" style="30" customWidth="1"/>
    <col min="9" max="9" width="9.5" style="30" customWidth="1"/>
    <col min="10" max="10" width="10" style="30" customWidth="1"/>
    <col min="11" max="11" width="9.5" style="30" customWidth="1"/>
    <col min="12" max="12" width="11.5" style="30" bestFit="1" customWidth="1"/>
    <col min="13" max="13" width="10.83203125" style="30" customWidth="1"/>
    <col min="14" max="14" width="9.6640625" style="30" customWidth="1"/>
    <col min="15" max="15" width="12" style="30" customWidth="1"/>
    <col min="16" max="16" width="15.33203125" style="30" bestFit="1" customWidth="1"/>
    <col min="17" max="17" width="12.83203125" style="30" customWidth="1"/>
    <col min="18" max="18" width="11.6640625" style="30" customWidth="1"/>
    <col min="19" max="19" width="9.1640625" style="30" customWidth="1"/>
    <col min="20" max="20" width="12.33203125" style="30" customWidth="1"/>
    <col min="21" max="21" width="8.5" style="30" customWidth="1"/>
    <col min="22" max="22" width="10.1640625" style="30" customWidth="1"/>
    <col min="23" max="23" width="10.83203125" style="30" customWidth="1"/>
    <col min="24" max="24" width="9.1640625" style="30" customWidth="1"/>
    <col min="25" max="25" width="12.5" style="30" bestFit="1" customWidth="1"/>
    <col min="26" max="26" width="10.83203125" style="30"/>
    <col min="27" max="27" width="16.83203125" style="30" customWidth="1"/>
    <col min="28" max="28" width="14.33203125" style="30" customWidth="1"/>
    <col min="29" max="29" width="19.1640625" style="30" customWidth="1"/>
    <col min="30" max="30" width="17.33203125" style="30" customWidth="1"/>
    <col min="31" max="16384" width="10.83203125" style="30"/>
  </cols>
  <sheetData>
    <row r="1" spans="1:30" ht="31" customHeight="1">
      <c r="A1" s="95" t="s">
        <v>123</v>
      </c>
    </row>
    <row r="2" spans="1:30" s="31" customFormat="1" ht="47" customHeight="1">
      <c r="A2" s="96"/>
      <c r="B2" s="32">
        <v>1</v>
      </c>
      <c r="C2" s="33">
        <v>2</v>
      </c>
      <c r="D2" s="33">
        <v>3</v>
      </c>
      <c r="E2" s="33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3">
        <v>11</v>
      </c>
      <c r="M2" s="32">
        <v>12</v>
      </c>
      <c r="N2" s="32">
        <v>13</v>
      </c>
      <c r="O2" s="33">
        <v>14</v>
      </c>
      <c r="P2" s="33">
        <v>15</v>
      </c>
      <c r="Q2" s="32">
        <v>16</v>
      </c>
      <c r="R2" s="33">
        <v>17</v>
      </c>
      <c r="S2" s="32">
        <v>18</v>
      </c>
      <c r="T2" s="33">
        <v>19</v>
      </c>
      <c r="U2" s="32">
        <v>20</v>
      </c>
      <c r="V2" s="32">
        <v>21</v>
      </c>
      <c r="W2" s="33">
        <v>22</v>
      </c>
      <c r="X2" s="32">
        <v>23</v>
      </c>
      <c r="Y2" s="33">
        <v>24</v>
      </c>
    </row>
    <row r="3" spans="1:30" s="31" customFormat="1" ht="37" customHeight="1">
      <c r="A3" s="96"/>
      <c r="B3" s="32"/>
      <c r="C3" s="33"/>
      <c r="D3" s="33" t="s">
        <v>84</v>
      </c>
      <c r="E3" s="33"/>
      <c r="F3" s="32" t="s">
        <v>86</v>
      </c>
      <c r="G3" s="32"/>
      <c r="H3" s="32" t="s">
        <v>74</v>
      </c>
      <c r="I3" s="32" t="s">
        <v>85</v>
      </c>
      <c r="J3" s="32" t="s">
        <v>83</v>
      </c>
      <c r="K3" s="32" t="s">
        <v>105</v>
      </c>
      <c r="L3" s="33" t="s">
        <v>86</v>
      </c>
      <c r="M3" s="32" t="s">
        <v>83</v>
      </c>
      <c r="N3" s="32" t="s">
        <v>77</v>
      </c>
      <c r="O3" s="33"/>
      <c r="P3" s="33"/>
      <c r="Q3" s="32" t="s">
        <v>87</v>
      </c>
      <c r="R3" s="33" t="s">
        <v>38</v>
      </c>
      <c r="S3" s="32" t="s">
        <v>20</v>
      </c>
      <c r="T3" s="33" t="s">
        <v>88</v>
      </c>
      <c r="U3" s="32" t="s">
        <v>46</v>
      </c>
      <c r="V3" s="32" t="s">
        <v>109</v>
      </c>
      <c r="W3" s="33" t="s">
        <v>17</v>
      </c>
      <c r="X3" s="32"/>
      <c r="Y3" s="33"/>
    </row>
    <row r="4" spans="1:30" s="31" customFormat="1" ht="37" customHeight="1">
      <c r="A4" s="96"/>
      <c r="B4" s="32"/>
      <c r="C4" s="33"/>
      <c r="D4" s="33"/>
      <c r="E4" s="33"/>
      <c r="F4" s="32"/>
      <c r="G4" s="32"/>
      <c r="H4" s="32"/>
      <c r="I4" s="32"/>
      <c r="J4" s="32"/>
      <c r="K4" s="32"/>
      <c r="L4" s="33"/>
      <c r="M4" s="32"/>
      <c r="N4" s="32"/>
      <c r="O4" s="33"/>
      <c r="P4" s="33"/>
      <c r="Q4" s="32"/>
      <c r="R4" s="33"/>
      <c r="S4" s="32"/>
      <c r="T4" s="33"/>
      <c r="U4" s="32"/>
      <c r="V4" s="32"/>
      <c r="W4" s="33"/>
      <c r="X4" s="32"/>
      <c r="Y4" s="33"/>
    </row>
    <row r="5" spans="1:30">
      <c r="A5" s="97">
        <v>42874</v>
      </c>
      <c r="B5" s="49">
        <f>SUMIFS(Collection!$J:$J, Collection!$A:$A, $A5, Collection!$B:$B, B$2)</f>
        <v>0</v>
      </c>
      <c r="C5" s="49">
        <f>SUMIFS(Collection!$J:$J, Collection!$A:$A, $A5, Collection!$B:$B, C$2)</f>
        <v>0</v>
      </c>
      <c r="D5" s="49">
        <f>SUMIFS(Collection!$J:$J, Collection!$A:$A, $A5, Collection!$B:$B, D$2)</f>
        <v>0</v>
      </c>
      <c r="E5" s="49">
        <f>SUMIFS(Collection!$J:$J, Collection!$A:$A, $A5, Collection!$B:$B, E$2)</f>
        <v>0</v>
      </c>
      <c r="F5" s="49">
        <f>SUMIFS(Collection!$J:$J, Collection!$A:$A, $A5, Collection!$B:$B, F$2)</f>
        <v>0</v>
      </c>
      <c r="G5" s="49">
        <f>SUMIFS(Collection!$J:$J, Collection!$A:$A, $A5, Collection!$B:$B, G$2)</f>
        <v>0</v>
      </c>
      <c r="H5" s="49">
        <f>SUMIFS(Collection!$J:$J, Collection!$A:$A, $A5, Collection!$B:$B, H$2)</f>
        <v>0</v>
      </c>
      <c r="I5" s="49">
        <f>SUMIFS(Collection!$J:$J, Collection!$A:$A, $A5, Collection!$B:$B, I$2)</f>
        <v>0</v>
      </c>
      <c r="J5" s="49">
        <f>SUMIFS(Collection!$J:$J, Collection!$A:$A, $A5, Collection!$B:$B, J$2)</f>
        <v>0</v>
      </c>
      <c r="K5" s="49">
        <f>SUMIFS(Collection!$J:$J, Collection!$A:$A, $A5, Collection!$B:$B, K$2)</f>
        <v>0</v>
      </c>
      <c r="L5" s="49">
        <f>SUMIFS(Collection!$J:$J, Collection!$A:$A, $A5, Collection!$B:$B, L$2)</f>
        <v>0</v>
      </c>
      <c r="M5" s="49">
        <f>SUMIFS(Collection!$J:$J, Collection!$A:$A, $A5, Collection!$B:$B, M$2)</f>
        <v>0</v>
      </c>
      <c r="N5" s="49">
        <f>SUMIFS(Collection!$J:$J, Collection!$A:$A, $A5, Collection!$B:$B, N$2)</f>
        <v>0</v>
      </c>
      <c r="O5" s="49">
        <f>SUMIFS(Collection!$J:$J, Collection!$A:$A, $A5, Collection!$B:$B, O$2)</f>
        <v>0</v>
      </c>
      <c r="P5" s="49">
        <f>SUMIFS(Collection!$J:$J, Collection!$A:$A, $A5, Collection!$B:$B, P$2)</f>
        <v>0</v>
      </c>
      <c r="Q5" s="49">
        <f>SUMIFS(Collection!$J:$J, Collection!$A:$A, $A5, Collection!$B:$B, Q$2)</f>
        <v>0</v>
      </c>
      <c r="R5" s="49">
        <f>SUMIFS(Collection!$J:$J, Collection!$A:$A, $A5, Collection!$B:$B, R$2)</f>
        <v>0</v>
      </c>
      <c r="S5" s="49">
        <f>SUMIFS(Collection!$J:$J, Collection!$A:$A, $A5, Collection!$B:$B, S$2)</f>
        <v>0</v>
      </c>
      <c r="T5" s="49">
        <f>SUMIFS(Collection!$J:$J, Collection!$A:$A, $A5, Collection!$B:$B, T$2)</f>
        <v>0</v>
      </c>
      <c r="U5" s="49">
        <f>SUMIFS(Collection!$J:$J, Collection!$A:$A, $A5, Collection!$B:$B, U$2)</f>
        <v>0</v>
      </c>
      <c r="V5" s="49">
        <f>SUMIFS(Collection!$J:$J, Collection!$A:$A, $A5, Collection!$B:$B, V$2)</f>
        <v>0</v>
      </c>
      <c r="W5" s="49">
        <f>SUMIFS(Collection!$J:$J, Collection!$A:$A, $A5, Collection!$B:$B, W$2)</f>
        <v>0</v>
      </c>
      <c r="X5" s="49">
        <f>SUMIFS(Collection!$J:$J, Collection!$A:$A, $A5, Collection!$B:$B, X$2)</f>
        <v>0</v>
      </c>
      <c r="Y5" s="49">
        <f>SUMIFS(Collection!$J:$J, Collection!$A:$A, $A5, Collection!$B:$B, Y$2)</f>
        <v>0</v>
      </c>
      <c r="AA5" t="s">
        <v>21</v>
      </c>
      <c r="AB5" s="30" t="s">
        <v>46</v>
      </c>
      <c r="AC5" t="s">
        <v>44</v>
      </c>
      <c r="AD5" t="s">
        <v>121</v>
      </c>
    </row>
    <row r="6" spans="1:30">
      <c r="A6" s="97">
        <f t="shared" ref="A6:A81" si="0">1+A5</f>
        <v>42875</v>
      </c>
      <c r="B6" s="49">
        <f>SUMIFS(Collection!$J:$J, Collection!$A:$A, $A6, Collection!$B:$B, B$2)</f>
        <v>0</v>
      </c>
      <c r="C6" s="49">
        <f>SUMIFS(Collection!$J:$J, Collection!$A:$A, $A6, Collection!$B:$B, C$2)</f>
        <v>0</v>
      </c>
      <c r="D6" s="49">
        <f>SUMIFS(Collection!$J:$J, Collection!$A:$A, $A6, Collection!$B:$B, D$2)</f>
        <v>0</v>
      </c>
      <c r="E6" s="49">
        <f>SUMIFS(Collection!$J:$J, Collection!$A:$A, $A6, Collection!$B:$B, E$2)</f>
        <v>0</v>
      </c>
      <c r="F6" s="49">
        <f>SUMIFS(Collection!$J:$J, Collection!$A:$A, $A6, Collection!$B:$B, F$2)</f>
        <v>0</v>
      </c>
      <c r="G6" s="49">
        <f>SUMIFS(Collection!$J:$J, Collection!$A:$A, $A6, Collection!$B:$B, G$2)</f>
        <v>0</v>
      </c>
      <c r="H6" s="49">
        <f>SUMIFS(Collection!$J:$J, Collection!$A:$A, $A6, Collection!$B:$B, H$2)</f>
        <v>0</v>
      </c>
      <c r="I6" s="49">
        <f>SUMIFS(Collection!$J:$J, Collection!$A:$A, $A6, Collection!$B:$B, I$2)</f>
        <v>0</v>
      </c>
      <c r="J6" s="49">
        <f>SUMIFS(Collection!$J:$J, Collection!$A:$A, $A6, Collection!$B:$B, J$2)</f>
        <v>0</v>
      </c>
      <c r="K6" s="49">
        <f>SUMIFS(Collection!$J:$J, Collection!$A:$A, $A6, Collection!$B:$B, K$2)</f>
        <v>0</v>
      </c>
      <c r="L6" s="49">
        <f>SUMIFS(Collection!$J:$J, Collection!$A:$A, $A6, Collection!$B:$B, L$2)</f>
        <v>0</v>
      </c>
      <c r="M6" s="49">
        <f>SUMIFS(Collection!$J:$J, Collection!$A:$A, $A6, Collection!$B:$B, M$2)</f>
        <v>0</v>
      </c>
      <c r="N6" s="49">
        <f>SUMIFS(Collection!$J:$J, Collection!$A:$A, $A6, Collection!$B:$B, N$2)</f>
        <v>0</v>
      </c>
      <c r="O6" s="49">
        <f>SUMIFS(Collection!$J:$J, Collection!$A:$A, $A6, Collection!$B:$B, O$2)</f>
        <v>0</v>
      </c>
      <c r="P6" s="49">
        <f>SUMIFS(Collection!$J:$J, Collection!$A:$A, $A6, Collection!$B:$B, P$2)</f>
        <v>0</v>
      </c>
      <c r="Q6" s="49">
        <f>SUMIFS(Collection!$J:$J, Collection!$A:$A, $A6, Collection!$B:$B, Q$2)</f>
        <v>0</v>
      </c>
      <c r="R6" s="49">
        <f>SUMIFS(Collection!$J:$J, Collection!$A:$A, $A6, Collection!$B:$B, R$2)</f>
        <v>0</v>
      </c>
      <c r="S6" s="49">
        <f>SUMIFS(Collection!$J:$J, Collection!$A:$A, $A6, Collection!$B:$B, S$2)</f>
        <v>0</v>
      </c>
      <c r="T6" s="49">
        <f>SUMIFS(Collection!$J:$J, Collection!$A:$A, $A6, Collection!$B:$B, T$2)</f>
        <v>0</v>
      </c>
      <c r="U6" s="49">
        <f>SUMIFS(Collection!$J:$J, Collection!$A:$A, $A6, Collection!$B:$B, U$2)</f>
        <v>0</v>
      </c>
      <c r="V6" s="49">
        <f>SUMIFS(Collection!$J:$J, Collection!$A:$A, $A6, Collection!$B:$B, V$2)</f>
        <v>0</v>
      </c>
      <c r="W6" s="49">
        <f>SUMIFS(Collection!$J:$J, Collection!$A:$A, $A6, Collection!$B:$B, W$2)</f>
        <v>0</v>
      </c>
      <c r="X6" s="49">
        <f>SUMIFS(Collection!$J:$J, Collection!$A:$A, $A6, Collection!$B:$B, X$2)</f>
        <v>0</v>
      </c>
      <c r="Y6" s="49">
        <f>SUMIFS(Collection!$J:$J, Collection!$A:$A, $A6, Collection!$B:$B, Y$2)</f>
        <v>0</v>
      </c>
      <c r="AA6" t="s">
        <v>119</v>
      </c>
      <c r="AB6" s="30" t="s">
        <v>38</v>
      </c>
      <c r="AC6" t="s">
        <v>48</v>
      </c>
      <c r="AD6" t="s">
        <v>97</v>
      </c>
    </row>
    <row r="7" spans="1:30">
      <c r="A7" s="97">
        <f t="shared" si="0"/>
        <v>42876</v>
      </c>
      <c r="B7" s="49">
        <f>SUMIFS(Collection!$J:$J, Collection!$A:$A, $A7, Collection!$B:$B, B$2)</f>
        <v>0</v>
      </c>
      <c r="C7" s="49">
        <f>SUMIFS(Collection!$J:$J, Collection!$A:$A, $A7, Collection!$B:$B, C$2)</f>
        <v>0</v>
      </c>
      <c r="D7" s="49">
        <f>SUMIFS(Collection!$J:$J, Collection!$A:$A, $A7, Collection!$B:$B, D$2)</f>
        <v>0</v>
      </c>
      <c r="E7" s="49">
        <f>SUMIFS(Collection!$J:$J, Collection!$A:$A, $A7, Collection!$B:$B, E$2)</f>
        <v>0</v>
      </c>
      <c r="F7" s="49">
        <f>SUMIFS(Collection!$J:$J, Collection!$A:$A, $A7, Collection!$B:$B, F$2)</f>
        <v>0</v>
      </c>
      <c r="G7" s="49">
        <f>SUMIFS(Collection!$J:$J, Collection!$A:$A, $A7, Collection!$B:$B, G$2)</f>
        <v>0</v>
      </c>
      <c r="H7" s="49">
        <f>SUMIFS(Collection!$J:$J, Collection!$A:$A, $A7, Collection!$B:$B, H$2)</f>
        <v>0</v>
      </c>
      <c r="I7" s="49">
        <f>SUMIFS(Collection!$J:$J, Collection!$A:$A, $A7, Collection!$B:$B, I$2)</f>
        <v>0</v>
      </c>
      <c r="J7" s="49">
        <f>SUMIFS(Collection!$J:$J, Collection!$A:$A, $A7, Collection!$B:$B, J$2)</f>
        <v>0</v>
      </c>
      <c r="K7" s="49">
        <f>SUMIFS(Collection!$J:$J, Collection!$A:$A, $A7, Collection!$B:$B, K$2)</f>
        <v>0</v>
      </c>
      <c r="L7" s="49">
        <f>SUMIFS(Collection!$J:$J, Collection!$A:$A, $A7, Collection!$B:$B, L$2)</f>
        <v>0</v>
      </c>
      <c r="M7" s="49">
        <f>SUMIFS(Collection!$J:$J, Collection!$A:$A, $A7, Collection!$B:$B, M$2)</f>
        <v>0</v>
      </c>
      <c r="N7" s="49">
        <f>SUMIFS(Collection!$J:$J, Collection!$A:$A, $A7, Collection!$B:$B, N$2)</f>
        <v>0</v>
      </c>
      <c r="O7" s="49">
        <f>SUMIFS(Collection!$J:$J, Collection!$A:$A, $A7, Collection!$B:$B, O$2)</f>
        <v>0</v>
      </c>
      <c r="P7" s="49">
        <f>SUMIFS(Collection!$J:$J, Collection!$A:$A, $A7, Collection!$B:$B, P$2)</f>
        <v>0</v>
      </c>
      <c r="Q7" s="49">
        <f>SUMIFS(Collection!$J:$J, Collection!$A:$A, $A7, Collection!$B:$B, Q$2)</f>
        <v>0</v>
      </c>
      <c r="R7" s="49">
        <f>SUMIFS(Collection!$J:$J, Collection!$A:$A, $A7, Collection!$B:$B, R$2)</f>
        <v>0</v>
      </c>
      <c r="S7" s="49">
        <f>SUMIFS(Collection!$J:$J, Collection!$A:$A, $A7, Collection!$B:$B, S$2)</f>
        <v>0</v>
      </c>
      <c r="T7" s="49">
        <f>SUMIFS(Collection!$J:$J, Collection!$A:$A, $A7, Collection!$B:$B, T$2)</f>
        <v>0</v>
      </c>
      <c r="U7" s="49">
        <f>SUMIFS(Collection!$J:$J, Collection!$A:$A, $A7, Collection!$B:$B, U$2)</f>
        <v>0</v>
      </c>
      <c r="V7" s="49">
        <f>SUMIFS(Collection!$J:$J, Collection!$A:$A, $A7, Collection!$B:$B, V$2)</f>
        <v>0</v>
      </c>
      <c r="W7" s="49">
        <f>SUMIFS(Collection!$J:$J, Collection!$A:$A, $A7, Collection!$B:$B, W$2)</f>
        <v>0</v>
      </c>
      <c r="X7" s="49">
        <f>SUMIFS(Collection!$J:$J, Collection!$A:$A, $A7, Collection!$B:$B, X$2)</f>
        <v>0</v>
      </c>
      <c r="Y7" s="49">
        <f>SUMIFS(Collection!$J:$J, Collection!$A:$A, $A7, Collection!$B:$B, Y$2)</f>
        <v>0</v>
      </c>
      <c r="AA7" t="s">
        <v>134</v>
      </c>
      <c r="AB7" s="30" t="s">
        <v>37</v>
      </c>
      <c r="AC7" t="s">
        <v>25</v>
      </c>
      <c r="AD7" t="s">
        <v>50</v>
      </c>
    </row>
    <row r="8" spans="1:30">
      <c r="A8" s="97">
        <f t="shared" si="0"/>
        <v>42877</v>
      </c>
      <c r="B8" s="49">
        <f>SUMIFS(Collection!$J:$J, Collection!$A:$A, $A8, Collection!$B:$B, B$2)</f>
        <v>0</v>
      </c>
      <c r="C8" s="49">
        <f>SUMIFS(Collection!$J:$J, Collection!$A:$A, $A8, Collection!$B:$B, C$2)</f>
        <v>0</v>
      </c>
      <c r="D8" s="49">
        <f>SUMIFS(Collection!$J:$J, Collection!$A:$A, $A8, Collection!$B:$B, D$2)</f>
        <v>0</v>
      </c>
      <c r="E8" s="49">
        <f>SUMIFS(Collection!$J:$J, Collection!$A:$A, $A8, Collection!$B:$B, E$2)</f>
        <v>0</v>
      </c>
      <c r="F8" s="49">
        <f>SUMIFS(Collection!$J:$J, Collection!$A:$A, $A8, Collection!$B:$B, F$2)</f>
        <v>0</v>
      </c>
      <c r="G8" s="49">
        <f>SUMIFS(Collection!$J:$J, Collection!$A:$A, $A8, Collection!$B:$B, G$2)</f>
        <v>0</v>
      </c>
      <c r="H8" s="49">
        <f>SUMIFS(Collection!$J:$J, Collection!$A:$A, $A8, Collection!$B:$B, H$2)</f>
        <v>0</v>
      </c>
      <c r="I8" s="49">
        <f>SUMIFS(Collection!$J:$J, Collection!$A:$A, $A8, Collection!$B:$B, I$2)</f>
        <v>0</v>
      </c>
      <c r="J8" s="49">
        <f>SUMIFS(Collection!$J:$J, Collection!$A:$A, $A8, Collection!$B:$B, J$2)</f>
        <v>0</v>
      </c>
      <c r="K8" s="49">
        <f>SUMIFS(Collection!$J:$J, Collection!$A:$A, $A8, Collection!$B:$B, K$2)</f>
        <v>0</v>
      </c>
      <c r="L8" s="49">
        <f>SUMIFS(Collection!$J:$J, Collection!$A:$A, $A8, Collection!$B:$B, L$2)</f>
        <v>0</v>
      </c>
      <c r="M8" s="49">
        <f>SUMIFS(Collection!$J:$J, Collection!$A:$A, $A8, Collection!$B:$B, M$2)</f>
        <v>0</v>
      </c>
      <c r="N8" s="49">
        <f>SUMIFS(Collection!$J:$J, Collection!$A:$A, $A8, Collection!$B:$B, N$2)</f>
        <v>0</v>
      </c>
      <c r="O8" s="49">
        <f>SUMIFS(Collection!$J:$J, Collection!$A:$A, $A8, Collection!$B:$B, O$2)</f>
        <v>0</v>
      </c>
      <c r="P8" s="49">
        <f>SUMIFS(Collection!$J:$J, Collection!$A:$A, $A8, Collection!$B:$B, P$2)</f>
        <v>0</v>
      </c>
      <c r="Q8" s="49">
        <f>SUMIFS(Collection!$J:$J, Collection!$A:$A, $A8, Collection!$B:$B, Q$2)</f>
        <v>0</v>
      </c>
      <c r="R8" s="49">
        <f>SUMIFS(Collection!$J:$J, Collection!$A:$A, $A8, Collection!$B:$B, R$2)</f>
        <v>0</v>
      </c>
      <c r="S8" s="49">
        <f>SUMIFS(Collection!$J:$J, Collection!$A:$A, $A8, Collection!$B:$B, S$2)</f>
        <v>0</v>
      </c>
      <c r="T8" s="49">
        <f>SUMIFS(Collection!$J:$J, Collection!$A:$A, $A8, Collection!$B:$B, T$2)</f>
        <v>0</v>
      </c>
      <c r="U8" s="49">
        <f>SUMIFS(Collection!$J:$J, Collection!$A:$A, $A8, Collection!$B:$B, U$2)</f>
        <v>0</v>
      </c>
      <c r="V8" s="49">
        <f>SUMIFS(Collection!$J:$J, Collection!$A:$A, $A8, Collection!$B:$B, V$2)</f>
        <v>0</v>
      </c>
      <c r="W8" s="49">
        <f>SUMIFS(Collection!$J:$J, Collection!$A:$A, $A8, Collection!$B:$B, W$2)</f>
        <v>0</v>
      </c>
      <c r="X8" s="49">
        <f>SUMIFS(Collection!$J:$J, Collection!$A:$A, $A8, Collection!$B:$B, X$2)</f>
        <v>0</v>
      </c>
      <c r="Y8" s="49">
        <f>SUMIFS(Collection!$J:$J, Collection!$A:$A, $A8, Collection!$B:$B, Y$2)</f>
        <v>0</v>
      </c>
      <c r="AA8" t="s">
        <v>88</v>
      </c>
      <c r="AB8" s="57" t="s">
        <v>17</v>
      </c>
      <c r="AC8" t="s">
        <v>36</v>
      </c>
      <c r="AD8" t="s">
        <v>39</v>
      </c>
    </row>
    <row r="9" spans="1:30" s="57" customFormat="1">
      <c r="A9" s="99" t="s">
        <v>68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AA9" s="23"/>
      <c r="AC9" t="s">
        <v>24</v>
      </c>
      <c r="AD9" t="s">
        <v>49</v>
      </c>
    </row>
    <row r="10" spans="1:30" s="57" customFormat="1">
      <c r="A10" s="99">
        <f>1+A8</f>
        <v>42878</v>
      </c>
      <c r="B10" s="92">
        <f>SUMIFS(Collection!$J:$J, Collection!$A:$A, $A10, Collection!$B:$B, B$2)</f>
        <v>0</v>
      </c>
      <c r="C10" s="92">
        <f>SUMIFS(Collection!$J:$J, Collection!$A:$A, $A10, Collection!$B:$B, C$2)</f>
        <v>0</v>
      </c>
      <c r="D10" s="92">
        <f>SUMIFS(Collection!$J:$J, Collection!$A:$A, $A10, Collection!$B:$B, D$2)</f>
        <v>0</v>
      </c>
      <c r="E10" s="92">
        <f>SUMIFS(Collection!$J:$J, Collection!$A:$A, $A10, Collection!$B:$B, E$2)</f>
        <v>0</v>
      </c>
      <c r="F10" s="92">
        <f>SUMIFS(Collection!$J:$J, Collection!$A:$A, $A10, Collection!$B:$B, F$2)</f>
        <v>0</v>
      </c>
      <c r="G10" s="92">
        <f>SUMIFS(Collection!$J:$J, Collection!$A:$A, $A10, Collection!$B:$B, G$2)</f>
        <v>0</v>
      </c>
      <c r="H10" s="92">
        <f>SUMIFS(Collection!$J:$J, Collection!$A:$A, $A10, Collection!$B:$B, H$2)</f>
        <v>0</v>
      </c>
      <c r="I10" s="92">
        <f>SUMIFS(Collection!$J:$J, Collection!$A:$A, $A10, Collection!$B:$B, I$2)</f>
        <v>0</v>
      </c>
      <c r="J10" s="92">
        <f>SUMIFS(Collection!$J:$J, Collection!$A:$A, $A10, Collection!$B:$B, J$2)</f>
        <v>0</v>
      </c>
      <c r="K10" s="92">
        <f>SUMIFS(Collection!$J:$J, Collection!$A:$A, $A10, Collection!$B:$B, K$2)</f>
        <v>0</v>
      </c>
      <c r="L10" s="92">
        <f>SUMIFS(Collection!$J:$J, Collection!$A:$A, $A10, Collection!$B:$B, L$2)</f>
        <v>0</v>
      </c>
      <c r="M10" s="92">
        <f>SUMIFS(Collection!$J:$J, Collection!$A:$A, $A10, Collection!$B:$B, M$2)</f>
        <v>0</v>
      </c>
      <c r="N10" s="92">
        <f>SUMIFS(Collection!$J:$J, Collection!$A:$A, $A10, Collection!$B:$B, N$2)</f>
        <v>0</v>
      </c>
      <c r="O10" s="92">
        <f>SUMIFS(Collection!$J:$J, Collection!$A:$A, $A10, Collection!$B:$B, O$2)</f>
        <v>0</v>
      </c>
      <c r="P10" s="92">
        <f>SUMIFS(Collection!$J:$J, Collection!$A:$A, $A10, Collection!$B:$B, P$2)</f>
        <v>0</v>
      </c>
      <c r="Q10" s="92">
        <f>SUMIFS(Collection!$J:$J, Collection!$A:$A, $A10, Collection!$B:$B, Q$2)</f>
        <v>0</v>
      </c>
      <c r="R10" s="92">
        <f>SUMIFS(Collection!$J:$J, Collection!$A:$A, $A10, Collection!$B:$B, R$2)</f>
        <v>0</v>
      </c>
      <c r="S10" s="92">
        <f>SUMIFS(Collection!$J:$J, Collection!$A:$A, $A10, Collection!$B:$B, S$2)</f>
        <v>0</v>
      </c>
      <c r="T10" s="92">
        <f>SUMIFS(Collection!$J:$J, Collection!$A:$A, $A10, Collection!$B:$B, T$2)</f>
        <v>0</v>
      </c>
      <c r="U10" s="92">
        <f>SUMIFS(Collection!$J:$J, Collection!$A:$A, $A10, Collection!$B:$B, U$2)</f>
        <v>0</v>
      </c>
      <c r="V10" s="92">
        <f>SUMIFS(Collection!$J:$J, Collection!$A:$A, $A10, Collection!$B:$B, V$2)</f>
        <v>0</v>
      </c>
      <c r="W10" s="92">
        <f>SUMIFS(Collection!$J:$J, Collection!$A:$A, $A10, Collection!$B:$B, W$2)</f>
        <v>0</v>
      </c>
      <c r="X10" s="92">
        <f>SUMIFS(Collection!$J:$J, Collection!$A:$A, $A10, Collection!$B:$B, X$2)</f>
        <v>0</v>
      </c>
      <c r="Y10" s="92">
        <f>SUMIFS(Collection!$J:$J, Collection!$A:$A, $A10, Collection!$B:$B, Y$2)</f>
        <v>0</v>
      </c>
      <c r="AA10" s="23"/>
      <c r="AC10" t="s">
        <v>34</v>
      </c>
      <c r="AD10" t="s">
        <v>138</v>
      </c>
    </row>
    <row r="11" spans="1:30" s="57" customFormat="1">
      <c r="A11" s="99">
        <f t="shared" si="0"/>
        <v>42879</v>
      </c>
      <c r="B11" s="92">
        <f>SUMIFS(Collection!$J:$J, Collection!$A:$A, $A11, Collection!$B:$B, B$2)</f>
        <v>0</v>
      </c>
      <c r="C11" s="92">
        <f>SUMIFS(Collection!$J:$J, Collection!$A:$A, $A11, Collection!$B:$B, C$2)</f>
        <v>0</v>
      </c>
      <c r="D11" s="92">
        <f>SUMIFS(Collection!$J:$J, Collection!$A:$A, $A11, Collection!$B:$B, D$2)</f>
        <v>0</v>
      </c>
      <c r="E11" s="92">
        <f>SUMIFS(Collection!$J:$J, Collection!$A:$A, $A11, Collection!$B:$B, E$2)</f>
        <v>0</v>
      </c>
      <c r="F11" s="92">
        <f>SUMIFS(Collection!$J:$J, Collection!$A:$A, $A11, Collection!$B:$B, F$2)</f>
        <v>0</v>
      </c>
      <c r="G11" s="92">
        <f>SUMIFS(Collection!$J:$J, Collection!$A:$A, $A11, Collection!$B:$B, G$2)</f>
        <v>0</v>
      </c>
      <c r="H11" s="92">
        <f>SUMIFS(Collection!$J:$J, Collection!$A:$A, $A11, Collection!$B:$B, H$2)</f>
        <v>0</v>
      </c>
      <c r="I11" s="92">
        <f>SUMIFS(Collection!$J:$J, Collection!$A:$A, $A11, Collection!$B:$B, I$2)</f>
        <v>0</v>
      </c>
      <c r="J11" s="92">
        <f>SUMIFS(Collection!$J:$J, Collection!$A:$A, $A11, Collection!$B:$B, J$2)</f>
        <v>0</v>
      </c>
      <c r="K11" s="92">
        <f>SUMIFS(Collection!$J:$J, Collection!$A:$A, $A11, Collection!$B:$B, K$2)</f>
        <v>0</v>
      </c>
      <c r="L11" s="92">
        <f>SUMIFS(Collection!$J:$J, Collection!$A:$A, $A11, Collection!$B:$B, L$2)</f>
        <v>0</v>
      </c>
      <c r="M11" s="92">
        <f>SUMIFS(Collection!$J:$J, Collection!$A:$A, $A11, Collection!$B:$B, M$2)</f>
        <v>0</v>
      </c>
      <c r="N11" s="92">
        <f>SUMIFS(Collection!$J:$J, Collection!$A:$A, $A11, Collection!$B:$B, N$2)</f>
        <v>0</v>
      </c>
      <c r="O11" s="92">
        <f>SUMIFS(Collection!$J:$J, Collection!$A:$A, $A11, Collection!$B:$B, O$2)</f>
        <v>0</v>
      </c>
      <c r="P11" s="92">
        <f>SUMIFS(Collection!$J:$J, Collection!$A:$A, $A11, Collection!$B:$B, P$2)</f>
        <v>0</v>
      </c>
      <c r="Q11" s="92">
        <f>SUMIFS(Collection!$J:$J, Collection!$A:$A, $A11, Collection!$B:$B, Q$2)</f>
        <v>0</v>
      </c>
      <c r="R11" s="92">
        <f>SUMIFS(Collection!$J:$J, Collection!$A:$A, $A11, Collection!$B:$B, R$2)</f>
        <v>0</v>
      </c>
      <c r="S11" s="92">
        <f>SUMIFS(Collection!$J:$J, Collection!$A:$A, $A11, Collection!$B:$B, S$2)</f>
        <v>0</v>
      </c>
      <c r="T11" s="92">
        <f>SUMIFS(Collection!$J:$J, Collection!$A:$A, $A11, Collection!$B:$B, T$2)</f>
        <v>0</v>
      </c>
      <c r="U11" s="92">
        <f>SUMIFS(Collection!$J:$J, Collection!$A:$A, $A11, Collection!$B:$B, U$2)</f>
        <v>0</v>
      </c>
      <c r="V11" s="92">
        <f>SUMIFS(Collection!$J:$J, Collection!$A:$A, $A11, Collection!$B:$B, V$2)</f>
        <v>0</v>
      </c>
      <c r="W11" s="92">
        <f>SUMIFS(Collection!$J:$J, Collection!$A:$A, $A11, Collection!$B:$B, W$2)</f>
        <v>0</v>
      </c>
      <c r="X11" s="92">
        <f>SUMIFS(Collection!$J:$J, Collection!$A:$A, $A11, Collection!$B:$B, X$2)</f>
        <v>0</v>
      </c>
      <c r="Y11" s="92">
        <f>SUMIFS(Collection!$J:$J, Collection!$A:$A, $A11, Collection!$B:$B, Y$2)</f>
        <v>0</v>
      </c>
      <c r="AA11" s="23"/>
      <c r="AC11" t="s">
        <v>27</v>
      </c>
      <c r="AD11" t="s">
        <v>98</v>
      </c>
    </row>
    <row r="12" spans="1:30" s="57" customFormat="1" ht="16" thickBot="1">
      <c r="A12" s="99">
        <f t="shared" si="0"/>
        <v>42880</v>
      </c>
      <c r="B12" s="92">
        <f>SUMIFS(Collection!$J:$J, Collection!$A:$A, $A12, Collection!$B:$B, B$2)</f>
        <v>0</v>
      </c>
      <c r="C12" s="92">
        <f>SUMIFS(Collection!$J:$J, Collection!$A:$A, $A12, Collection!$B:$B, C$2)</f>
        <v>0</v>
      </c>
      <c r="D12" s="92">
        <f>SUMIFS(Collection!$J:$J, Collection!$A:$A, $A12, Collection!$B:$B, D$2)</f>
        <v>0</v>
      </c>
      <c r="E12" s="92">
        <f>SUMIFS(Collection!$J:$J, Collection!$A:$A, $A12, Collection!$B:$B, E$2)</f>
        <v>0</v>
      </c>
      <c r="F12" s="92">
        <f>SUMIFS(Collection!$J:$J, Collection!$A:$A, $A12, Collection!$B:$B, F$2)</f>
        <v>0</v>
      </c>
      <c r="G12" s="92">
        <f>SUMIFS(Collection!$J:$J, Collection!$A:$A, $A12, Collection!$B:$B, G$2)</f>
        <v>0</v>
      </c>
      <c r="H12" s="92">
        <f>SUMIFS(Collection!$J:$J, Collection!$A:$A, $A12, Collection!$B:$B, H$2)</f>
        <v>0</v>
      </c>
      <c r="I12" s="92">
        <f>SUMIFS(Collection!$J:$J, Collection!$A:$A, $A12, Collection!$B:$B, I$2)</f>
        <v>0</v>
      </c>
      <c r="J12" s="92">
        <f>SUMIFS(Collection!$J:$J, Collection!$A:$A, $A12, Collection!$B:$B, J$2)</f>
        <v>0</v>
      </c>
      <c r="K12" s="92">
        <f>SUMIFS(Collection!$J:$J, Collection!$A:$A, $A12, Collection!$B:$B, K$2)</f>
        <v>0</v>
      </c>
      <c r="L12" s="92">
        <f>SUMIFS(Collection!$J:$J, Collection!$A:$A, $A12, Collection!$B:$B, L$2)</f>
        <v>0</v>
      </c>
      <c r="M12" s="92">
        <f>SUMIFS(Collection!$J:$J, Collection!$A:$A, $A12, Collection!$B:$B, M$2)</f>
        <v>0</v>
      </c>
      <c r="N12" s="92">
        <f>SUMIFS(Collection!$J:$J, Collection!$A:$A, $A12, Collection!$B:$B, N$2)</f>
        <v>0</v>
      </c>
      <c r="O12" s="92">
        <f>SUMIFS(Collection!$J:$J, Collection!$A:$A, $A12, Collection!$B:$B, O$2)</f>
        <v>0</v>
      </c>
      <c r="P12" s="92">
        <f>SUMIFS(Collection!$J:$J, Collection!$A:$A, $A12, Collection!$B:$B, P$2)</f>
        <v>0</v>
      </c>
      <c r="Q12" s="92">
        <f>SUMIFS(Collection!$J:$J, Collection!$A:$A, $A12, Collection!$B:$B, Q$2)</f>
        <v>0</v>
      </c>
      <c r="R12" s="92">
        <f>SUMIFS(Collection!$J:$J, Collection!$A:$A, $A12, Collection!$B:$B, R$2)</f>
        <v>0</v>
      </c>
      <c r="S12" s="92">
        <f>SUMIFS(Collection!$J:$J, Collection!$A:$A, $A12, Collection!$B:$B, S$2)</f>
        <v>0</v>
      </c>
      <c r="T12" s="92">
        <f>SUMIFS(Collection!$J:$J, Collection!$A:$A, $A12, Collection!$B:$B, T$2)</f>
        <v>0</v>
      </c>
      <c r="U12" s="92">
        <f>SUMIFS(Collection!$J:$J, Collection!$A:$A, $A12, Collection!$B:$B, U$2)</f>
        <v>0</v>
      </c>
      <c r="V12" s="92">
        <f>SUMIFS(Collection!$J:$J, Collection!$A:$A, $A12, Collection!$B:$B, V$2)</f>
        <v>0</v>
      </c>
      <c r="W12" s="92">
        <f>SUMIFS(Collection!$J:$J, Collection!$A:$A, $A12, Collection!$B:$B, W$2)</f>
        <v>0</v>
      </c>
      <c r="X12" s="92">
        <f>SUMIFS(Collection!$J:$J, Collection!$A:$A, $A12, Collection!$B:$B, X$2)</f>
        <v>0</v>
      </c>
      <c r="Y12" s="92">
        <f>SUMIFS(Collection!$J:$J, Collection!$A:$A, $A12, Collection!$B:$B, Y$2)</f>
        <v>0</v>
      </c>
      <c r="AA12" s="23"/>
      <c r="AC12" t="s">
        <v>23</v>
      </c>
      <c r="AD12" t="s">
        <v>31</v>
      </c>
    </row>
    <row r="13" spans="1:30" s="56" customFormat="1">
      <c r="A13" s="98" t="s">
        <v>68</v>
      </c>
      <c r="B13" s="91"/>
      <c r="C13" s="91"/>
      <c r="D13" s="103">
        <v>100</v>
      </c>
      <c r="E13" s="91"/>
      <c r="F13" s="103">
        <v>100</v>
      </c>
      <c r="G13" s="91"/>
      <c r="H13" s="103">
        <v>100</v>
      </c>
      <c r="I13" s="103">
        <v>100</v>
      </c>
      <c r="J13" s="103">
        <v>100</v>
      </c>
      <c r="K13" s="103">
        <v>100</v>
      </c>
      <c r="L13" s="103">
        <v>100</v>
      </c>
      <c r="M13" s="103">
        <v>100</v>
      </c>
      <c r="N13" s="103">
        <v>100</v>
      </c>
      <c r="O13" s="91"/>
      <c r="P13" s="91"/>
      <c r="Q13" s="103">
        <v>100</v>
      </c>
      <c r="R13" s="103">
        <v>100</v>
      </c>
      <c r="S13" s="103">
        <v>100</v>
      </c>
      <c r="T13" s="103">
        <v>100</v>
      </c>
      <c r="U13" s="103">
        <v>100</v>
      </c>
      <c r="V13" s="103">
        <v>100</v>
      </c>
      <c r="W13" s="103">
        <v>100</v>
      </c>
      <c r="X13" s="91"/>
      <c r="Y13" s="91"/>
      <c r="AA13" s="19"/>
    </row>
    <row r="14" spans="1:30" s="57" customFormat="1">
      <c r="A14" s="99">
        <f>1+A12</f>
        <v>42881</v>
      </c>
      <c r="B14" s="92">
        <f>SUMIFS(Collection!$J:$J, Collection!$A:$A, $A14, Collection!$B:$B, B$2)</f>
        <v>0</v>
      </c>
      <c r="C14" s="92">
        <f>SUMIFS(Collection!$J:$J, Collection!$A:$A, $A14, Collection!$B:$B, C$2)</f>
        <v>0</v>
      </c>
      <c r="D14" s="101">
        <f>'Bucket Counts'!U24</f>
        <v>69866.666666666657</v>
      </c>
      <c r="E14" s="92">
        <f>SUMIFS(Collection!$J:$J, Collection!$A:$A, $A14, Collection!$B:$B, E$2)</f>
        <v>0</v>
      </c>
      <c r="F14" s="101">
        <f>'Bucket Counts'!U25</f>
        <v>112000</v>
      </c>
      <c r="G14" s="92">
        <f>SUMIFS(Collection!$J:$J, Collection!$A:$A, $A14, Collection!$B:$B, G$2)</f>
        <v>0</v>
      </c>
      <c r="H14" s="101">
        <f>'Bucket Counts'!U27</f>
        <v>179400</v>
      </c>
      <c r="I14" s="101">
        <f>'Bucket Counts'!U21+Collection!O80</f>
        <v>14800</v>
      </c>
      <c r="J14" s="101">
        <f>Collection!O85</f>
        <v>57866.666666666664</v>
      </c>
      <c r="K14" s="101">
        <f>'Bucket Counts'!U29+Collection!O79</f>
        <v>144300</v>
      </c>
      <c r="L14" s="101">
        <f>'Bucket Counts'!U20</f>
        <v>118400</v>
      </c>
      <c r="M14" s="101">
        <f>'Bucket Counts'!U26</f>
        <v>150666.66666666666</v>
      </c>
      <c r="N14" s="101">
        <f>'Bucket Counts'!U23</f>
        <v>97600</v>
      </c>
      <c r="O14" s="92">
        <f>SUMIFS(Collection!$J:$J, Collection!$A:$A, $A14, Collection!$B:$B, O$2)</f>
        <v>0</v>
      </c>
      <c r="P14" s="92">
        <f>SUMIFS(Collection!$J:$J, Collection!$A:$A, $A14, Collection!$B:$B, P$2)</f>
        <v>0</v>
      </c>
      <c r="Q14" s="101">
        <f>'Bucket Counts'!U22</f>
        <v>97600</v>
      </c>
      <c r="R14" s="101">
        <f>'Bucket Counts'!U30</f>
        <v>20666.666666666668</v>
      </c>
      <c r="S14" s="101">
        <f>'Bucket Counts'!U31+Collection!O82</f>
        <v>84266.666666666672</v>
      </c>
      <c r="T14" s="101">
        <f>'Bucket Counts'!U32+Collection!O81</f>
        <v>81466.666666666657</v>
      </c>
      <c r="U14" s="101">
        <f>'Bucket Counts'!U33+Collection!O83</f>
        <v>125766.66666666667</v>
      </c>
      <c r="V14" s="101">
        <f>Collection!O84</f>
        <v>35700</v>
      </c>
      <c r="W14" s="101">
        <f>'Bucket Counts'!U34</f>
        <v>86933.333333333343</v>
      </c>
      <c r="X14" s="92">
        <f>SUMIFS(Collection!$J:$J, Collection!$A:$A, $A14, Collection!$B:$B, X$2)</f>
        <v>0</v>
      </c>
      <c r="Y14" s="92">
        <f>SUMIFS(Collection!$J:$J, Collection!$A:$A, $A14, Collection!$B:$B, Y$2)</f>
        <v>0</v>
      </c>
      <c r="AA14" s="23"/>
    </row>
    <row r="15" spans="1:30" s="57" customFormat="1">
      <c r="A15" s="99">
        <f t="shared" si="0"/>
        <v>42882</v>
      </c>
      <c r="B15" s="92">
        <f>SUMIFS(Collection!$J:$J, Collection!$A:$A, $A15, Collection!$B:$B, B$2)</f>
        <v>0</v>
      </c>
      <c r="C15" s="92">
        <f>SUMIFS(Collection!$J:$J, Collection!$A:$A, $A15, Collection!$B:$B, C$2)</f>
        <v>0</v>
      </c>
      <c r="D15" s="101">
        <f>Collection!O93</f>
        <v>7050</v>
      </c>
      <c r="E15" s="92">
        <f>SUMIFS(Collection!$J:$J, Collection!$A:$A, $A15, Collection!$B:$B, E$2)</f>
        <v>0</v>
      </c>
      <c r="F15" s="101"/>
      <c r="G15" s="92">
        <f>SUMIFS(Collection!$J:$J, Collection!$A:$A, $A15, Collection!$B:$B, G$2)</f>
        <v>0</v>
      </c>
      <c r="H15" s="101">
        <f>SUMIFS(Collection!$J:$J, Collection!$A:$A, $A15, Collection!$B:$B, H$2)</f>
        <v>0</v>
      </c>
      <c r="I15" s="101">
        <f>Collection!O89+Collection!O94</f>
        <v>24225</v>
      </c>
      <c r="J15" s="101">
        <f>Collection!O87</f>
        <v>8016.666666666667</v>
      </c>
      <c r="K15" s="101">
        <f>Collection!O88</f>
        <v>3575</v>
      </c>
      <c r="L15" s="101">
        <f>SUMIFS(Collection!$J:$J, Collection!$A:$A, $A15, Collection!$B:$B, L$2)</f>
        <v>0</v>
      </c>
      <c r="M15" s="101">
        <f>Collection!O90+Collection!O91</f>
        <v>3733.333333333333</v>
      </c>
      <c r="N15" s="101">
        <f>Collection!O86+Collection!O97</f>
        <v>150133.33333333334</v>
      </c>
      <c r="O15" s="92">
        <f>SUMIFS(Collection!$J:$J, Collection!$A:$A, $A15, Collection!$B:$B, O$2)</f>
        <v>0</v>
      </c>
      <c r="P15" s="92">
        <f>SUMIFS(Collection!$J:$J, Collection!$A:$A, $A15, Collection!$B:$B, P$2)</f>
        <v>0</v>
      </c>
      <c r="Q15" s="101">
        <f>Collection!O92</f>
        <v>4916.666666666667</v>
      </c>
      <c r="R15" s="101">
        <f>SUMIFS(Collection!$J:$J, Collection!$A:$A, $A15, Collection!$B:$B, R$2)</f>
        <v>0</v>
      </c>
      <c r="S15" s="101">
        <f>Collection!O95</f>
        <v>52250</v>
      </c>
      <c r="T15" s="101">
        <f>SUMIFS(Collection!$J:$J, Collection!$A:$A, $A15, Collection!$B:$B, T$2)</f>
        <v>0</v>
      </c>
      <c r="U15" s="101">
        <f>SUMIFS(Collection!$J:$J, Collection!$A:$A, $A15, Collection!$B:$B, U$2)</f>
        <v>0</v>
      </c>
      <c r="V15" s="101">
        <f>Collection!O96</f>
        <v>53600</v>
      </c>
      <c r="W15" s="101">
        <f>SUMIFS(Collection!$J:$J, Collection!$A:$A, $A15, Collection!$B:$B, W$2)</f>
        <v>0</v>
      </c>
      <c r="X15" s="92">
        <f>SUMIFS(Collection!$J:$J, Collection!$A:$A, $A15, Collection!$B:$B, X$2)</f>
        <v>0</v>
      </c>
      <c r="Y15" s="92">
        <f>SUMIFS(Collection!$J:$J, Collection!$A:$A, $A15, Collection!$B:$B, Y$2)</f>
        <v>0</v>
      </c>
    </row>
    <row r="16" spans="1:30" s="57" customFormat="1">
      <c r="A16" s="99">
        <f t="shared" si="0"/>
        <v>42883</v>
      </c>
      <c r="B16" s="92">
        <f>SUMIFS(Collection!$J:$J, Collection!$A:$A, $A16, Collection!$B:$B, B$2)</f>
        <v>0</v>
      </c>
      <c r="C16" s="92">
        <f>SUMIFS(Collection!$J:$J, Collection!$A:$A, $A16, Collection!$B:$B, C$2)</f>
        <v>0</v>
      </c>
      <c r="D16" s="101">
        <f>SUMIFS(Collection!$J:$J, Collection!$A:$A, $A16, Collection!$B:$B, D$2)</f>
        <v>0</v>
      </c>
      <c r="E16" s="92">
        <f>SUMIFS(Collection!$J:$J, Collection!$A:$A, $A16, Collection!$B:$B, E$2)</f>
        <v>0</v>
      </c>
      <c r="F16" s="101"/>
      <c r="G16" s="92">
        <f>SUMIFS(Collection!$J:$J, Collection!$A:$A, $A16, Collection!$B:$B, G$2)</f>
        <v>0</v>
      </c>
      <c r="H16" s="101">
        <f>SUMIFS(Collection!$J:$J, Collection!$A:$A, $A16, Collection!$B:$B, H$2)</f>
        <v>0</v>
      </c>
      <c r="I16" s="101"/>
      <c r="J16" s="101"/>
      <c r="K16" s="101">
        <f>SUMIFS(Collection!$J:$J, Collection!$A:$A, $A16, Collection!$B:$B, K$2)</f>
        <v>0</v>
      </c>
      <c r="L16" s="101">
        <f>SUMIFS(Collection!$J:$J, Collection!$A:$A, $A16, Collection!$B:$B, L$2)</f>
        <v>0</v>
      </c>
      <c r="M16" s="101">
        <f>SUMIFS(Collection!$J:$J, Collection!$A:$A, $A16, Collection!$B:$B, M$2)</f>
        <v>0</v>
      </c>
      <c r="N16" s="101">
        <f>SUMIFS(Collection!$J:$J, Collection!$A:$A, $A16, Collection!$B:$B, N$2)</f>
        <v>0</v>
      </c>
      <c r="O16" s="92">
        <f>SUMIFS(Collection!$J:$J, Collection!$A:$A, $A16, Collection!$B:$B, O$2)</f>
        <v>0</v>
      </c>
      <c r="P16" s="92">
        <f>SUMIFS(Collection!$J:$J, Collection!$A:$A, $A16, Collection!$B:$B, P$2)</f>
        <v>0</v>
      </c>
      <c r="Q16" s="101">
        <f>SUMIFS(Collection!$J:$J, Collection!$A:$A, $A16, Collection!$B:$B, Q$2)</f>
        <v>0</v>
      </c>
      <c r="R16" s="101">
        <f>SUMIFS(Collection!$J:$J, Collection!$A:$A, $A16, Collection!$B:$B, R$2)</f>
        <v>0</v>
      </c>
      <c r="S16" s="101">
        <f>SUMIFS(Collection!$J:$J, Collection!$A:$A, $A16, Collection!$B:$B, S$2)</f>
        <v>0</v>
      </c>
      <c r="T16" s="101">
        <f>SUMIFS(Collection!$J:$J, Collection!$A:$A, $A16, Collection!$B:$B, T$2)</f>
        <v>0</v>
      </c>
      <c r="U16" s="101">
        <f>SUMIFS(Collection!$J:$J, Collection!$A:$A, $A16, Collection!$B:$B, U$2)</f>
        <v>0</v>
      </c>
      <c r="V16" s="101">
        <f>SUMIFS(Collection!$J:$J, Collection!$A:$A, $A16, Collection!$B:$B, V$2)</f>
        <v>0</v>
      </c>
      <c r="W16" s="101">
        <f>SUMIFS(Collection!$J:$J, Collection!$A:$A, $A16, Collection!$B:$B, W$2)</f>
        <v>0</v>
      </c>
      <c r="X16" s="92">
        <f>SUMIFS(Collection!$J:$J, Collection!$A:$A, $A16, Collection!$B:$B, X$2)</f>
        <v>0</v>
      </c>
      <c r="Y16" s="92">
        <f>SUMIFS(Collection!$J:$J, Collection!$A:$A, $A16, Collection!$B:$B, Y$2)</f>
        <v>0</v>
      </c>
    </row>
    <row r="17" spans="1:25" s="57" customFormat="1">
      <c r="A17" s="99">
        <v>42884</v>
      </c>
      <c r="B17" s="92"/>
      <c r="C17" s="92"/>
      <c r="D17" s="101"/>
      <c r="E17" s="92"/>
      <c r="F17" s="101"/>
      <c r="G17" s="92"/>
      <c r="H17" s="101"/>
      <c r="I17" s="101">
        <f>Collection!O98+Collection!O100</f>
        <v>53700</v>
      </c>
      <c r="J17" s="101">
        <f>Collection!O101</f>
        <v>0</v>
      </c>
      <c r="K17" s="101"/>
      <c r="L17" s="101"/>
      <c r="M17" s="101"/>
      <c r="N17" s="101"/>
      <c r="O17" s="92"/>
      <c r="P17" s="92"/>
      <c r="Q17" s="101"/>
      <c r="R17" s="101"/>
      <c r="S17" s="101"/>
      <c r="T17" s="101"/>
      <c r="U17" s="101"/>
      <c r="V17" s="101"/>
      <c r="W17" s="101"/>
      <c r="X17" s="92"/>
      <c r="Y17" s="92"/>
    </row>
    <row r="18" spans="1:25" s="57" customFormat="1">
      <c r="A18" s="99" t="s">
        <v>139</v>
      </c>
      <c r="B18" s="92">
        <f>SUMIFS(Collection!$J:$J, Collection!$A:$A, $A18, Collection!$B:$B, B$2)</f>
        <v>0</v>
      </c>
      <c r="C18" s="92">
        <f>SUMIFS(Collection!$J:$J, Collection!$A:$A, $A18, Collection!$B:$B, C$2)</f>
        <v>0</v>
      </c>
      <c r="D18" s="101">
        <f t="shared" ref="D18:Y18" si="1">SUM(D14:D17)</f>
        <v>76916.666666666657</v>
      </c>
      <c r="E18" s="92">
        <f t="shared" si="1"/>
        <v>0</v>
      </c>
      <c r="F18" s="101">
        <f t="shared" si="1"/>
        <v>112000</v>
      </c>
      <c r="G18" s="92">
        <f t="shared" si="1"/>
        <v>0</v>
      </c>
      <c r="H18" s="101">
        <f t="shared" si="1"/>
        <v>179400</v>
      </c>
      <c r="I18" s="101">
        <f t="shared" si="1"/>
        <v>92725</v>
      </c>
      <c r="J18" s="101">
        <f t="shared" si="1"/>
        <v>65883.333333333328</v>
      </c>
      <c r="K18" s="101">
        <f t="shared" si="1"/>
        <v>147875</v>
      </c>
      <c r="L18" s="101">
        <f t="shared" si="1"/>
        <v>118400</v>
      </c>
      <c r="M18" s="101">
        <f t="shared" si="1"/>
        <v>154400</v>
      </c>
      <c r="N18" s="101">
        <f t="shared" si="1"/>
        <v>247733.33333333334</v>
      </c>
      <c r="O18" s="92">
        <f t="shared" si="1"/>
        <v>0</v>
      </c>
      <c r="P18" s="92">
        <f t="shared" si="1"/>
        <v>0</v>
      </c>
      <c r="Q18" s="101">
        <f t="shared" si="1"/>
        <v>102516.66666666667</v>
      </c>
      <c r="R18" s="101">
        <f t="shared" si="1"/>
        <v>20666.666666666668</v>
      </c>
      <c r="S18" s="101">
        <f t="shared" si="1"/>
        <v>136516.66666666669</v>
      </c>
      <c r="T18" s="101">
        <f t="shared" si="1"/>
        <v>81466.666666666657</v>
      </c>
      <c r="U18" s="101">
        <f t="shared" si="1"/>
        <v>125766.66666666667</v>
      </c>
      <c r="V18" s="101">
        <f t="shared" si="1"/>
        <v>89300</v>
      </c>
      <c r="W18" s="101">
        <f t="shared" si="1"/>
        <v>86933.333333333343</v>
      </c>
      <c r="X18" s="92">
        <f t="shared" si="1"/>
        <v>0</v>
      </c>
      <c r="Y18" s="92">
        <f t="shared" si="1"/>
        <v>0</v>
      </c>
    </row>
    <row r="19" spans="1:25" s="58" customFormat="1" ht="16" thickBot="1">
      <c r="A19" s="100" t="s">
        <v>140</v>
      </c>
      <c r="B19" s="93" t="e">
        <f>SUM('Bucket Counts'!#REF!)/Stocking!B18</f>
        <v>#REF!</v>
      </c>
      <c r="C19" s="93" t="e">
        <f>SUM('Bucket Counts'!#REF!)/Stocking!C18</f>
        <v>#REF!</v>
      </c>
      <c r="D19" s="93">
        <f>SUM('Bucket Counts'!$P35:$P35)/Stocking!D18</f>
        <v>0.4507042253521128</v>
      </c>
      <c r="E19" s="93"/>
      <c r="F19" s="102"/>
      <c r="G19" s="93"/>
      <c r="H19" s="102"/>
      <c r="I19" s="102"/>
      <c r="J19" s="102"/>
      <c r="K19" s="102"/>
      <c r="L19" s="102"/>
      <c r="M19" s="102"/>
      <c r="N19" s="102"/>
      <c r="O19" s="93"/>
      <c r="P19" s="93"/>
      <c r="Q19" s="102"/>
      <c r="R19" s="102"/>
      <c r="S19" s="102"/>
      <c r="T19" s="102"/>
      <c r="U19" s="102"/>
      <c r="V19" s="102"/>
      <c r="W19" s="102"/>
      <c r="X19" s="93"/>
      <c r="Y19" s="93"/>
    </row>
    <row r="20" spans="1:25" s="57" customFormat="1">
      <c r="A20" s="99" t="s">
        <v>68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</row>
    <row r="21" spans="1:25" s="57" customFormat="1">
      <c r="A21" s="99">
        <v>42885</v>
      </c>
      <c r="B21" s="92">
        <f>SUMIFS(Collection!$J:$J, Collection!$A:$A, $A21, Collection!$B:$B, B$2)</f>
        <v>0</v>
      </c>
      <c r="C21" s="92">
        <f>SUMIFS(Collection!$J:$J, Collection!$A:$A, $A21, Collection!$B:$B, C$2)</f>
        <v>0</v>
      </c>
      <c r="D21" s="92">
        <f>SUMIFS(Collection!$J:$J, Collection!$A:$A, $A21, Collection!$B:$B, D$2)</f>
        <v>0</v>
      </c>
      <c r="E21" s="92">
        <f>SUMIFS(Collection!$J:$J, Collection!$A:$A, $A21, Collection!$B:$B, E$2)</f>
        <v>0</v>
      </c>
      <c r="F21" s="92">
        <f>SUMIFS(Collection!$J:$J, Collection!$A:$A, $A21, Collection!$B:$B, F$2)</f>
        <v>0</v>
      </c>
      <c r="G21" s="92">
        <f>SUMIFS(Collection!$J:$J, Collection!$A:$A, $A21, Collection!$B:$B, G$2)</f>
        <v>0</v>
      </c>
      <c r="H21" s="92">
        <f>SUMIFS(Collection!$J:$J, Collection!$A:$A, $A21, Collection!$B:$B, H$2)</f>
        <v>0</v>
      </c>
      <c r="I21" s="92">
        <f>SUMIFS(Collection!$J:$J, Collection!$A:$A, $A21, Collection!$B:$B, I$2)</f>
        <v>0</v>
      </c>
      <c r="J21" s="92">
        <f>SUMIFS(Collection!$J:$J, Collection!$A:$A, $A21, Collection!$B:$B, J$2)</f>
        <v>0</v>
      </c>
      <c r="K21" s="92">
        <f>SUMIFS(Collection!$J:$J, Collection!$A:$A, $A21, Collection!$B:$B, K$2)</f>
        <v>0</v>
      </c>
      <c r="L21" s="92">
        <f>SUMIFS(Collection!$J:$J, Collection!$A:$A, $A21, Collection!$B:$B, L$2)</f>
        <v>0</v>
      </c>
      <c r="M21" s="92">
        <f>SUMIFS(Collection!$J:$J, Collection!$A:$A, $A21, Collection!$B:$B, M$2)</f>
        <v>0</v>
      </c>
      <c r="N21" s="92">
        <f>SUMIFS(Collection!$J:$J, Collection!$A:$A, $A21, Collection!$B:$B, N$2)</f>
        <v>0</v>
      </c>
      <c r="O21" s="92">
        <f>SUMIFS(Collection!$J:$J, Collection!$A:$A, $A21, Collection!$B:$B, O$2)</f>
        <v>0</v>
      </c>
      <c r="P21" s="92">
        <f>SUMIFS(Collection!$J:$J, Collection!$A:$A, $A21, Collection!$B:$B, P$2)</f>
        <v>0</v>
      </c>
      <c r="Q21" s="92">
        <f>SUMIFS(Collection!$J:$J, Collection!$A:$A, $A21, Collection!$B:$B, Q$2)</f>
        <v>0</v>
      </c>
      <c r="R21" s="92">
        <f>SUMIFS(Collection!$J:$J, Collection!$A:$A, $A21, Collection!$B:$B, R$2)</f>
        <v>0</v>
      </c>
      <c r="S21" s="92">
        <f>SUMIFS(Collection!$J:$J, Collection!$A:$A, $A21, Collection!$B:$B, S$2)</f>
        <v>0</v>
      </c>
      <c r="T21" s="92">
        <f>SUMIFS(Collection!$J:$J, Collection!$A:$A, $A21, Collection!$B:$B, T$2)</f>
        <v>0</v>
      </c>
      <c r="U21" s="92">
        <f>SUMIFS(Collection!$J:$J, Collection!$A:$A, $A21, Collection!$B:$B, U$2)</f>
        <v>0</v>
      </c>
      <c r="V21" s="92">
        <f>SUMIFS(Collection!$J:$J, Collection!$A:$A, $A21, Collection!$B:$B, V$2)</f>
        <v>0</v>
      </c>
      <c r="W21" s="92">
        <f>SUMIFS(Collection!$J:$J, Collection!$A:$A, $A21, Collection!$B:$B, W$2)</f>
        <v>0</v>
      </c>
      <c r="X21" s="92">
        <f>SUMIFS(Collection!$J:$J, Collection!$A:$A, $A21, Collection!$B:$B, X$2)</f>
        <v>0</v>
      </c>
      <c r="Y21" s="92">
        <f>SUMIFS(Collection!$J:$J, Collection!$A:$A, $A21, Collection!$B:$B, Y$2)</f>
        <v>0</v>
      </c>
    </row>
    <row r="22" spans="1:25" s="57" customFormat="1">
      <c r="A22" s="99">
        <f t="shared" si="0"/>
        <v>42886</v>
      </c>
      <c r="B22" s="92">
        <f>SUMIFS(Collection!$J:$J, Collection!$A:$A, $A22, Collection!$B:$B, B$2)</f>
        <v>0</v>
      </c>
      <c r="C22" s="92">
        <f>SUMIFS(Collection!$J:$J, Collection!$A:$A, $A22, Collection!$B:$B, C$2)</f>
        <v>0</v>
      </c>
      <c r="D22" s="92">
        <f>SUMIFS(Collection!$J:$J, Collection!$A:$A, $A22, Collection!$B:$B, D$2)</f>
        <v>0</v>
      </c>
      <c r="E22" s="92">
        <f>SUMIFS(Collection!$J:$J, Collection!$A:$A, $A22, Collection!$B:$B, E$2)</f>
        <v>0</v>
      </c>
      <c r="F22" s="92">
        <f>SUMIFS(Collection!$J:$J, Collection!$A:$A, $A22, Collection!$B:$B, F$2)</f>
        <v>0</v>
      </c>
      <c r="G22" s="92">
        <f>SUMIFS(Collection!$J:$J, Collection!$A:$A, $A22, Collection!$B:$B, G$2)</f>
        <v>0</v>
      </c>
      <c r="H22" s="92">
        <f>SUMIFS(Collection!$J:$J, Collection!$A:$A, $A22, Collection!$B:$B, H$2)</f>
        <v>0</v>
      </c>
      <c r="I22" s="92">
        <f>SUMIFS(Collection!$J:$J, Collection!$A:$A, $A22, Collection!$B:$B, I$2)</f>
        <v>0</v>
      </c>
      <c r="J22" s="92">
        <f>SUMIFS(Collection!$J:$J, Collection!$A:$A, $A22, Collection!$B:$B, J$2)</f>
        <v>0</v>
      </c>
      <c r="K22" s="92">
        <f>SUMIFS(Collection!$J:$J, Collection!$A:$A, $A22, Collection!$B:$B, K$2)</f>
        <v>0</v>
      </c>
      <c r="L22" s="92">
        <f>SUMIFS(Collection!$J:$J, Collection!$A:$A, $A22, Collection!$B:$B, L$2)</f>
        <v>0</v>
      </c>
      <c r="M22" s="92">
        <f>SUMIFS(Collection!$J:$J, Collection!$A:$A, $A22, Collection!$B:$B, M$2)</f>
        <v>0</v>
      </c>
      <c r="N22" s="92">
        <f>SUMIFS(Collection!$J:$J, Collection!$A:$A, $A22, Collection!$B:$B, N$2)</f>
        <v>0</v>
      </c>
      <c r="O22" s="92">
        <f>SUMIFS(Collection!$J:$J, Collection!$A:$A, $A22, Collection!$B:$B, O$2)</f>
        <v>0</v>
      </c>
      <c r="P22" s="92">
        <f>SUMIFS(Collection!$J:$J, Collection!$A:$A, $A22, Collection!$B:$B, P$2)</f>
        <v>0</v>
      </c>
      <c r="Q22" s="92">
        <f>SUMIFS(Collection!$J:$J, Collection!$A:$A, $A22, Collection!$B:$B, Q$2)</f>
        <v>0</v>
      </c>
      <c r="R22" s="92">
        <f>SUMIFS(Collection!$J:$J, Collection!$A:$A, $A22, Collection!$B:$B, R$2)</f>
        <v>0</v>
      </c>
      <c r="S22" s="92">
        <f>SUMIFS(Collection!$J:$J, Collection!$A:$A, $A22, Collection!$B:$B, S$2)</f>
        <v>0</v>
      </c>
      <c r="T22" s="92">
        <f>SUMIFS(Collection!$J:$J, Collection!$A:$A, $A22, Collection!$B:$B, T$2)</f>
        <v>0</v>
      </c>
      <c r="U22" s="92">
        <f>SUMIFS(Collection!$J:$J, Collection!$A:$A, $A22, Collection!$B:$B, U$2)</f>
        <v>0</v>
      </c>
      <c r="V22" s="92">
        <f>SUMIFS(Collection!$J:$J, Collection!$A:$A, $A22, Collection!$B:$B, V$2)</f>
        <v>0</v>
      </c>
      <c r="W22" s="92">
        <f>SUMIFS(Collection!$J:$J, Collection!$A:$A, $A22, Collection!$B:$B, W$2)</f>
        <v>0</v>
      </c>
      <c r="X22" s="92">
        <f>SUMIFS(Collection!$J:$J, Collection!$A:$A, $A22, Collection!$B:$B, X$2)</f>
        <v>0</v>
      </c>
      <c r="Y22" s="92">
        <f>SUMIFS(Collection!$J:$J, Collection!$A:$A, $A22, Collection!$B:$B, Y$2)</f>
        <v>0</v>
      </c>
    </row>
    <row r="23" spans="1:25" s="57" customFormat="1">
      <c r="A23" s="99">
        <f t="shared" si="0"/>
        <v>42887</v>
      </c>
      <c r="B23" s="92">
        <f>SUMIFS(Collection!$J:$J, Collection!$A:$A, $A23, Collection!$B:$B, B$2)</f>
        <v>0</v>
      </c>
      <c r="C23" s="92">
        <f>SUMIFS(Collection!$J:$J, Collection!$A:$A, $A23, Collection!$B:$B, C$2)</f>
        <v>0</v>
      </c>
      <c r="D23" s="92">
        <f>SUMIFS(Collection!$J:$J, Collection!$A:$A, $A23, Collection!$B:$B, D$2)</f>
        <v>0</v>
      </c>
      <c r="E23" s="92">
        <f>SUMIFS(Collection!$J:$J, Collection!$A:$A, $A23, Collection!$B:$B, E$2)</f>
        <v>0</v>
      </c>
      <c r="F23" s="92">
        <f>SUMIFS(Collection!$J:$J, Collection!$A:$A, $A23, Collection!$B:$B, F$2)</f>
        <v>0</v>
      </c>
      <c r="G23" s="92">
        <f>SUMIFS(Collection!$J:$J, Collection!$A:$A, $A23, Collection!$B:$B, G$2)</f>
        <v>0</v>
      </c>
      <c r="H23" s="92">
        <f>SUMIFS(Collection!$J:$J, Collection!$A:$A, $A23, Collection!$B:$B, H$2)</f>
        <v>0</v>
      </c>
      <c r="I23" s="92">
        <f>SUMIFS(Collection!$J:$J, Collection!$A:$A, $A23, Collection!$B:$B, I$2)</f>
        <v>0</v>
      </c>
      <c r="J23" s="92">
        <f>SUMIFS(Collection!$J:$J, Collection!$A:$A, $A23, Collection!$B:$B, J$2)</f>
        <v>0</v>
      </c>
      <c r="K23" s="92">
        <f>SUMIFS(Collection!$J:$J, Collection!$A:$A, $A23, Collection!$B:$B, K$2)</f>
        <v>0</v>
      </c>
      <c r="L23" s="92">
        <f>SUMIFS(Collection!$J:$J, Collection!$A:$A, $A23, Collection!$B:$B, L$2)</f>
        <v>0</v>
      </c>
      <c r="M23" s="92">
        <f>SUMIFS(Collection!$J:$J, Collection!$A:$A, $A23, Collection!$B:$B, M$2)</f>
        <v>0</v>
      </c>
      <c r="N23" s="92">
        <f>SUMIFS(Collection!$J:$J, Collection!$A:$A, $A23, Collection!$B:$B, N$2)</f>
        <v>0</v>
      </c>
      <c r="O23" s="92">
        <f>SUMIFS(Collection!$J:$J, Collection!$A:$A, $A23, Collection!$B:$B, O$2)</f>
        <v>0</v>
      </c>
      <c r="P23" s="92">
        <f>SUMIFS(Collection!$J:$J, Collection!$A:$A, $A23, Collection!$B:$B, P$2)</f>
        <v>0</v>
      </c>
      <c r="Q23" s="92">
        <f>SUMIFS(Collection!$J:$J, Collection!$A:$A, $A23, Collection!$B:$B, Q$2)</f>
        <v>0</v>
      </c>
      <c r="R23" s="92">
        <f>SUMIFS(Collection!$J:$J, Collection!$A:$A, $A23, Collection!$B:$B, R$2)</f>
        <v>0</v>
      </c>
      <c r="S23" s="92">
        <f>SUMIFS(Collection!$J:$J, Collection!$A:$A, $A23, Collection!$B:$B, S$2)</f>
        <v>0</v>
      </c>
      <c r="T23" s="92">
        <f>SUMIFS(Collection!$J:$J, Collection!$A:$A, $A23, Collection!$B:$B, T$2)</f>
        <v>0</v>
      </c>
      <c r="U23" s="92">
        <f>SUMIFS(Collection!$J:$J, Collection!$A:$A, $A23, Collection!$B:$B, U$2)</f>
        <v>0</v>
      </c>
      <c r="V23" s="92">
        <f>SUMIFS(Collection!$J:$J, Collection!$A:$A, $A23, Collection!$B:$B, V$2)</f>
        <v>0</v>
      </c>
      <c r="W23" s="92">
        <f>SUMIFS(Collection!$J:$J, Collection!$A:$A, $A23, Collection!$B:$B, W$2)</f>
        <v>0</v>
      </c>
      <c r="X23" s="92">
        <f>SUMIFS(Collection!$J:$J, Collection!$A:$A, $A23, Collection!$B:$B, X$2)</f>
        <v>0</v>
      </c>
      <c r="Y23" s="92">
        <f>SUMIFS(Collection!$J:$J, Collection!$A:$A, $A23, Collection!$B:$B, Y$2)</f>
        <v>0</v>
      </c>
    </row>
    <row r="24" spans="1:25" s="58" customFormat="1" ht="16" thickBot="1">
      <c r="A24" s="100">
        <f t="shared" si="0"/>
        <v>42888</v>
      </c>
      <c r="B24" s="93">
        <f>SUMIFS(Collection!$J:$J, Collection!$A:$A, $A24, Collection!$B:$B, B$2)</f>
        <v>0</v>
      </c>
      <c r="C24" s="93">
        <f>SUMIFS(Collection!$J:$J, Collection!$A:$A, $A24, Collection!$B:$B, C$2)</f>
        <v>0</v>
      </c>
      <c r="D24" s="93">
        <f>SUMIFS(Collection!$J:$J, Collection!$A:$A, $A24, Collection!$B:$B, D$2)</f>
        <v>0</v>
      </c>
      <c r="E24" s="93">
        <f>SUMIFS(Collection!$J:$J, Collection!$A:$A, $A24, Collection!$B:$B, E$2)</f>
        <v>0</v>
      </c>
      <c r="F24" s="93">
        <f>SUMIFS(Collection!$J:$J, Collection!$A:$A, $A24, Collection!$B:$B, F$2)</f>
        <v>0</v>
      </c>
      <c r="G24" s="93">
        <f>SUMIFS(Collection!$J:$J, Collection!$A:$A, $A24, Collection!$B:$B, G$2)</f>
        <v>0</v>
      </c>
      <c r="H24" s="93">
        <f>SUMIFS(Collection!$J:$J, Collection!$A:$A, $A24, Collection!$B:$B, H$2)</f>
        <v>0</v>
      </c>
      <c r="I24" s="93">
        <f>SUMIFS(Collection!$J:$J, Collection!$A:$A, $A24, Collection!$B:$B, I$2)</f>
        <v>0</v>
      </c>
      <c r="J24" s="93">
        <f>SUMIFS(Collection!$J:$J, Collection!$A:$A, $A24, Collection!$B:$B, J$2)</f>
        <v>0</v>
      </c>
      <c r="K24" s="93">
        <f>SUMIFS(Collection!$J:$J, Collection!$A:$A, $A24, Collection!$B:$B, K$2)</f>
        <v>0</v>
      </c>
      <c r="L24" s="93">
        <f>SUMIFS(Collection!$J:$J, Collection!$A:$A, $A24, Collection!$B:$B, L$2)</f>
        <v>0</v>
      </c>
      <c r="M24" s="93">
        <f>SUMIFS(Collection!$J:$J, Collection!$A:$A, $A24, Collection!$B:$B, M$2)</f>
        <v>0</v>
      </c>
      <c r="N24" s="93">
        <f>SUMIFS(Collection!$J:$J, Collection!$A:$A, $A24, Collection!$B:$B, N$2)</f>
        <v>0</v>
      </c>
      <c r="O24" s="93">
        <f>SUMIFS(Collection!$J:$J, Collection!$A:$A, $A24, Collection!$B:$B, O$2)</f>
        <v>0</v>
      </c>
      <c r="P24" s="93">
        <f>SUMIFS(Collection!$J:$J, Collection!$A:$A, $A24, Collection!$B:$B, P$2)</f>
        <v>0</v>
      </c>
      <c r="Q24" s="93">
        <f>SUMIFS(Collection!$J:$J, Collection!$A:$A, $A24, Collection!$B:$B, Q$2)</f>
        <v>0</v>
      </c>
      <c r="R24" s="93">
        <f>SUMIFS(Collection!$J:$J, Collection!$A:$A, $A24, Collection!$B:$B, R$2)</f>
        <v>0</v>
      </c>
      <c r="S24" s="93">
        <f>SUMIFS(Collection!$J:$J, Collection!$A:$A, $A24, Collection!$B:$B, S$2)</f>
        <v>0</v>
      </c>
      <c r="T24" s="93">
        <f>SUMIFS(Collection!$J:$J, Collection!$A:$A, $A24, Collection!$B:$B, T$2)</f>
        <v>0</v>
      </c>
      <c r="U24" s="93">
        <f>SUMIFS(Collection!$J:$J, Collection!$A:$A, $A24, Collection!$B:$B, U$2)</f>
        <v>0</v>
      </c>
      <c r="V24" s="93">
        <f>SUMIFS(Collection!$J:$J, Collection!$A:$A, $A24, Collection!$B:$B, V$2)</f>
        <v>0</v>
      </c>
      <c r="W24" s="93">
        <f>SUMIFS(Collection!$J:$J, Collection!$A:$A, $A24, Collection!$B:$B, W$2)</f>
        <v>0</v>
      </c>
      <c r="X24" s="93">
        <f>SUMIFS(Collection!$J:$J, Collection!$A:$A, $A24, Collection!$B:$B, X$2)</f>
        <v>0</v>
      </c>
      <c r="Y24" s="93">
        <f>SUMIFS(Collection!$J:$J, Collection!$A:$A, $A24, Collection!$B:$B, Y$2)</f>
        <v>0</v>
      </c>
    </row>
    <row r="25" spans="1:25" s="57" customFormat="1">
      <c r="A25" s="99" t="s">
        <v>68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</row>
    <row r="26" spans="1:25" s="57" customFormat="1">
      <c r="A26" s="99">
        <f>1+A24</f>
        <v>42889</v>
      </c>
      <c r="B26" s="92">
        <f>SUMIFS(Collection!$J:$J, Collection!$A:$A, $A26, Collection!$B:$B, B$2)</f>
        <v>0</v>
      </c>
      <c r="C26" s="92">
        <f>SUMIFS(Collection!$J:$J, Collection!$A:$A, $A26, Collection!$B:$B, C$2)</f>
        <v>0</v>
      </c>
      <c r="D26" s="92">
        <f>SUMIFS(Collection!$J:$J, Collection!$A:$A, $A26, Collection!$B:$B, D$2)</f>
        <v>0</v>
      </c>
      <c r="E26" s="92">
        <f>SUMIFS(Collection!$J:$J, Collection!$A:$A, $A26, Collection!$B:$B, E$2)</f>
        <v>0</v>
      </c>
      <c r="F26" s="92">
        <f>SUMIFS(Collection!$J:$J, Collection!$A:$A, $A26, Collection!$B:$B, F$2)</f>
        <v>0</v>
      </c>
      <c r="G26" s="92">
        <f>SUMIFS(Collection!$J:$J, Collection!$A:$A, $A26, Collection!$B:$B, G$2)</f>
        <v>0</v>
      </c>
      <c r="H26" s="92">
        <f>SUMIFS(Collection!$J:$J, Collection!$A:$A, $A26, Collection!$B:$B, H$2)</f>
        <v>0</v>
      </c>
      <c r="I26" s="92">
        <f>SUMIFS(Collection!$J:$J, Collection!$A:$A, $A26, Collection!$B:$B, I$2)</f>
        <v>0</v>
      </c>
      <c r="J26" s="92">
        <f>SUMIFS(Collection!$J:$J, Collection!$A:$A, $A26, Collection!$B:$B, J$2)</f>
        <v>0</v>
      </c>
      <c r="K26" s="92">
        <f>SUMIFS(Collection!$J:$J, Collection!$A:$A, $A26, Collection!$B:$B, K$2)</f>
        <v>0</v>
      </c>
      <c r="L26" s="92">
        <f>SUMIFS(Collection!$J:$J, Collection!$A:$A, $A26, Collection!$B:$B, L$2)</f>
        <v>0</v>
      </c>
      <c r="M26" s="92">
        <f>SUMIFS(Collection!$J:$J, Collection!$A:$A, $A26, Collection!$B:$B, M$2)</f>
        <v>0</v>
      </c>
      <c r="N26" s="92">
        <f>SUMIFS(Collection!$J:$J, Collection!$A:$A, $A26, Collection!$B:$B, N$2)</f>
        <v>0</v>
      </c>
      <c r="O26" s="92">
        <f>SUMIFS(Collection!$J:$J, Collection!$A:$A, $A26, Collection!$B:$B, O$2)</f>
        <v>0</v>
      </c>
      <c r="P26" s="92">
        <f>SUMIFS(Collection!$J:$J, Collection!$A:$A, $A26, Collection!$B:$B, P$2)</f>
        <v>0</v>
      </c>
      <c r="Q26" s="92">
        <f>SUMIFS(Collection!$J:$J, Collection!$A:$A, $A26, Collection!$B:$B, Q$2)</f>
        <v>0</v>
      </c>
      <c r="R26" s="92">
        <f>SUMIFS(Collection!$J:$J, Collection!$A:$A, $A26, Collection!$B:$B, R$2)</f>
        <v>0</v>
      </c>
      <c r="S26" s="92">
        <f>SUMIFS(Collection!$J:$J, Collection!$A:$A, $A26, Collection!$B:$B, S$2)</f>
        <v>0</v>
      </c>
      <c r="T26" s="92">
        <f>SUMIFS(Collection!$J:$J, Collection!$A:$A, $A26, Collection!$B:$B, T$2)</f>
        <v>0</v>
      </c>
      <c r="U26" s="92">
        <f>SUMIFS(Collection!$J:$J, Collection!$A:$A, $A26, Collection!$B:$B, U$2)</f>
        <v>0</v>
      </c>
      <c r="V26" s="92">
        <f>SUMIFS(Collection!$J:$J, Collection!$A:$A, $A26, Collection!$B:$B, V$2)</f>
        <v>0</v>
      </c>
      <c r="W26" s="92">
        <f>SUMIFS(Collection!$J:$J, Collection!$A:$A, $A26, Collection!$B:$B, W$2)</f>
        <v>0</v>
      </c>
      <c r="X26" s="92">
        <f>SUMIFS(Collection!$J:$J, Collection!$A:$A, $A26, Collection!$B:$B, X$2)</f>
        <v>0</v>
      </c>
      <c r="Y26" s="92">
        <f>SUMIFS(Collection!$J:$J, Collection!$A:$A, $A26, Collection!$B:$B, Y$2)</f>
        <v>0</v>
      </c>
    </row>
    <row r="27" spans="1:25" s="57" customFormat="1">
      <c r="A27" s="99">
        <f t="shared" si="0"/>
        <v>42890</v>
      </c>
      <c r="B27" s="92">
        <f>SUMIFS(Collection!$J:$J, Collection!$A:$A, $A27, Collection!$B:$B, B$2)</f>
        <v>0</v>
      </c>
      <c r="C27" s="92">
        <f>SUMIFS(Collection!$J:$J, Collection!$A:$A, $A27, Collection!$B:$B, C$2)</f>
        <v>0</v>
      </c>
      <c r="D27" s="92">
        <f>SUMIFS(Collection!$J:$J, Collection!$A:$A, $A27, Collection!$B:$B, D$2)</f>
        <v>0</v>
      </c>
      <c r="E27" s="92">
        <f>SUMIFS(Collection!$J:$J, Collection!$A:$A, $A27, Collection!$B:$B, E$2)</f>
        <v>0</v>
      </c>
      <c r="F27" s="92">
        <f>SUMIFS(Collection!$J:$J, Collection!$A:$A, $A27, Collection!$B:$B, F$2)</f>
        <v>0</v>
      </c>
      <c r="G27" s="92">
        <f>SUMIFS(Collection!$J:$J, Collection!$A:$A, $A27, Collection!$B:$B, G$2)</f>
        <v>0</v>
      </c>
      <c r="H27" s="92">
        <f>SUMIFS(Collection!$J:$J, Collection!$A:$A, $A27, Collection!$B:$B, H$2)</f>
        <v>0</v>
      </c>
      <c r="I27" s="92">
        <f>SUMIFS(Collection!$J:$J, Collection!$A:$A, $A27, Collection!$B:$B, I$2)</f>
        <v>0</v>
      </c>
      <c r="J27" s="92">
        <f>SUMIFS(Collection!$J:$J, Collection!$A:$A, $A27, Collection!$B:$B, J$2)</f>
        <v>0</v>
      </c>
      <c r="K27" s="92">
        <f>SUMIFS(Collection!$J:$J, Collection!$A:$A, $A27, Collection!$B:$B, K$2)</f>
        <v>0</v>
      </c>
      <c r="L27" s="92">
        <f>SUMIFS(Collection!$J:$J, Collection!$A:$A, $A27, Collection!$B:$B, L$2)</f>
        <v>0</v>
      </c>
      <c r="M27" s="92">
        <f>SUMIFS(Collection!$J:$J, Collection!$A:$A, $A27, Collection!$B:$B, M$2)</f>
        <v>0</v>
      </c>
      <c r="N27" s="92">
        <f>SUMIFS(Collection!$J:$J, Collection!$A:$A, $A27, Collection!$B:$B, N$2)</f>
        <v>0</v>
      </c>
      <c r="O27" s="92">
        <f>SUMIFS(Collection!$J:$J, Collection!$A:$A, $A27, Collection!$B:$B, O$2)</f>
        <v>0</v>
      </c>
      <c r="P27" s="92">
        <f>SUMIFS(Collection!$J:$J, Collection!$A:$A, $A27, Collection!$B:$B, P$2)</f>
        <v>0</v>
      </c>
      <c r="Q27" s="92">
        <f>SUMIFS(Collection!$J:$J, Collection!$A:$A, $A27, Collection!$B:$B, Q$2)</f>
        <v>0</v>
      </c>
      <c r="R27" s="92">
        <f>SUMIFS(Collection!$J:$J, Collection!$A:$A, $A27, Collection!$B:$B, R$2)</f>
        <v>0</v>
      </c>
      <c r="S27" s="92">
        <f>SUMIFS(Collection!$J:$J, Collection!$A:$A, $A27, Collection!$B:$B, S$2)</f>
        <v>0</v>
      </c>
      <c r="T27" s="92">
        <f>SUMIFS(Collection!$J:$J, Collection!$A:$A, $A27, Collection!$B:$B, T$2)</f>
        <v>0</v>
      </c>
      <c r="U27" s="92">
        <f>SUMIFS(Collection!$J:$J, Collection!$A:$A, $A27, Collection!$B:$B, U$2)</f>
        <v>0</v>
      </c>
      <c r="V27" s="92">
        <f>SUMIFS(Collection!$J:$J, Collection!$A:$A, $A27, Collection!$B:$B, V$2)</f>
        <v>0</v>
      </c>
      <c r="W27" s="92">
        <f>SUMIFS(Collection!$J:$J, Collection!$A:$A, $A27, Collection!$B:$B, W$2)</f>
        <v>0</v>
      </c>
      <c r="X27" s="92">
        <f>SUMIFS(Collection!$J:$J, Collection!$A:$A, $A27, Collection!$B:$B, X$2)</f>
        <v>0</v>
      </c>
      <c r="Y27" s="92">
        <f>SUMIFS(Collection!$J:$J, Collection!$A:$A, $A27, Collection!$B:$B, Y$2)</f>
        <v>0</v>
      </c>
    </row>
    <row r="28" spans="1:25" s="58" customFormat="1" ht="16" thickBot="1">
      <c r="A28" s="100">
        <f t="shared" si="0"/>
        <v>42891</v>
      </c>
      <c r="B28" s="93">
        <f>SUMIFS(Collection!$J:$J, Collection!$A:$A, $A28, Collection!$B:$B, B$2)</f>
        <v>0</v>
      </c>
      <c r="C28" s="93">
        <f>SUMIFS(Collection!$J:$J, Collection!$A:$A, $A28, Collection!$B:$B, C$2)</f>
        <v>0</v>
      </c>
      <c r="D28" s="93">
        <f>SUMIFS(Collection!$J:$J, Collection!$A:$A, $A28, Collection!$B:$B, D$2)</f>
        <v>0</v>
      </c>
      <c r="E28" s="93">
        <f>SUMIFS(Collection!$J:$J, Collection!$A:$A, $A28, Collection!$B:$B, E$2)</f>
        <v>0</v>
      </c>
      <c r="F28" s="93">
        <f>SUMIFS(Collection!$J:$J, Collection!$A:$A, $A28, Collection!$B:$B, F$2)</f>
        <v>0</v>
      </c>
      <c r="G28" s="93">
        <f>SUMIFS(Collection!$J:$J, Collection!$A:$A, $A28, Collection!$B:$B, G$2)</f>
        <v>0</v>
      </c>
      <c r="H28" s="93">
        <f>SUMIFS(Collection!$J:$J, Collection!$A:$A, $A28, Collection!$B:$B, H$2)</f>
        <v>0</v>
      </c>
      <c r="I28" s="93">
        <f>SUMIFS(Collection!$J:$J, Collection!$A:$A, $A28, Collection!$B:$B, I$2)</f>
        <v>0</v>
      </c>
      <c r="J28" s="93">
        <f>SUMIFS(Collection!$J:$J, Collection!$A:$A, $A28, Collection!$B:$B, J$2)</f>
        <v>0</v>
      </c>
      <c r="K28" s="93">
        <f>SUMIFS(Collection!$J:$J, Collection!$A:$A, $A28, Collection!$B:$B, K$2)</f>
        <v>0</v>
      </c>
      <c r="L28" s="93">
        <f>SUMIFS(Collection!$J:$J, Collection!$A:$A, $A28, Collection!$B:$B, L$2)</f>
        <v>0</v>
      </c>
      <c r="M28" s="93">
        <f>SUMIFS(Collection!$J:$J, Collection!$A:$A, $A28, Collection!$B:$B, M$2)</f>
        <v>0</v>
      </c>
      <c r="N28" s="93">
        <f>SUMIFS(Collection!$J:$J, Collection!$A:$A, $A28, Collection!$B:$B, N$2)</f>
        <v>0</v>
      </c>
      <c r="O28" s="93">
        <f>SUMIFS(Collection!$J:$J, Collection!$A:$A, $A28, Collection!$B:$B, O$2)</f>
        <v>0</v>
      </c>
      <c r="P28" s="93">
        <f>SUMIFS(Collection!$J:$J, Collection!$A:$A, $A28, Collection!$B:$B, P$2)</f>
        <v>0</v>
      </c>
      <c r="Q28" s="93">
        <f>SUMIFS(Collection!$J:$J, Collection!$A:$A, $A28, Collection!$B:$B, Q$2)</f>
        <v>0</v>
      </c>
      <c r="R28" s="93">
        <f>SUMIFS(Collection!$J:$J, Collection!$A:$A, $A28, Collection!$B:$B, R$2)</f>
        <v>0</v>
      </c>
      <c r="S28" s="93">
        <f>SUMIFS(Collection!$J:$J, Collection!$A:$A, $A28, Collection!$B:$B, S$2)</f>
        <v>0</v>
      </c>
      <c r="T28" s="93">
        <f>SUMIFS(Collection!$J:$J, Collection!$A:$A, $A28, Collection!$B:$B, T$2)</f>
        <v>0</v>
      </c>
      <c r="U28" s="93">
        <f>SUMIFS(Collection!$J:$J, Collection!$A:$A, $A28, Collection!$B:$B, U$2)</f>
        <v>0</v>
      </c>
      <c r="V28" s="93">
        <f>SUMIFS(Collection!$J:$J, Collection!$A:$A, $A28, Collection!$B:$B, V$2)</f>
        <v>0</v>
      </c>
      <c r="W28" s="93">
        <f>SUMIFS(Collection!$J:$J, Collection!$A:$A, $A28, Collection!$B:$B, W$2)</f>
        <v>0</v>
      </c>
      <c r="X28" s="93">
        <f>SUMIFS(Collection!$J:$J, Collection!$A:$A, $A28, Collection!$B:$B, X$2)</f>
        <v>0</v>
      </c>
      <c r="Y28" s="93">
        <f>SUMIFS(Collection!$J:$J, Collection!$A:$A, $A28, Collection!$B:$B, Y$2)</f>
        <v>0</v>
      </c>
    </row>
    <row r="29" spans="1:25" s="57" customFormat="1">
      <c r="A29" s="99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</row>
    <row r="30" spans="1:25" s="57" customFormat="1">
      <c r="A30" s="99">
        <f>1+A28</f>
        <v>42892</v>
      </c>
      <c r="B30" s="92">
        <f>SUMIFS(Collection!$J:$J, Collection!$A:$A, $A30, Collection!$B:$B, B$2)</f>
        <v>0</v>
      </c>
      <c r="C30" s="92">
        <f>SUMIFS(Collection!$J:$J, Collection!$A:$A, $A30, Collection!$B:$B, C$2)</f>
        <v>0</v>
      </c>
      <c r="D30" s="92">
        <f>SUMIFS(Collection!$J:$J, Collection!$A:$A, $A30, Collection!$B:$B, D$2)</f>
        <v>0</v>
      </c>
      <c r="E30" s="92">
        <f>SUMIFS(Collection!$J:$J, Collection!$A:$A, $A30, Collection!$B:$B, E$2)</f>
        <v>0</v>
      </c>
      <c r="F30" s="92">
        <f>SUMIFS(Collection!$J:$J, Collection!$A:$A, $A30, Collection!$B:$B, F$2)</f>
        <v>0</v>
      </c>
      <c r="G30" s="92">
        <f>SUMIFS(Collection!$J:$J, Collection!$A:$A, $A30, Collection!$B:$B, G$2)</f>
        <v>0</v>
      </c>
      <c r="H30" s="92">
        <f>SUMIFS(Collection!$J:$J, Collection!$A:$A, $A30, Collection!$B:$B, H$2)</f>
        <v>0</v>
      </c>
      <c r="I30" s="92">
        <f>SUMIFS(Collection!$J:$J, Collection!$A:$A, $A30, Collection!$B:$B, I$2)</f>
        <v>0</v>
      </c>
      <c r="J30" s="92">
        <f>SUMIFS(Collection!$J:$J, Collection!$A:$A, $A30, Collection!$B:$B, J$2)</f>
        <v>0</v>
      </c>
      <c r="K30" s="92">
        <f>SUMIFS(Collection!$J:$J, Collection!$A:$A, $A30, Collection!$B:$B, K$2)</f>
        <v>0</v>
      </c>
      <c r="L30" s="92">
        <f>SUMIFS(Collection!$J:$J, Collection!$A:$A, $A30, Collection!$B:$B, L$2)</f>
        <v>0</v>
      </c>
      <c r="M30" s="92">
        <f>SUMIFS(Collection!$J:$J, Collection!$A:$A, $A30, Collection!$B:$B, M$2)</f>
        <v>0</v>
      </c>
      <c r="N30" s="92">
        <f>SUMIFS(Collection!$J:$J, Collection!$A:$A, $A30, Collection!$B:$B, N$2)</f>
        <v>0</v>
      </c>
      <c r="O30" s="92">
        <f>SUMIFS(Collection!$J:$J, Collection!$A:$A, $A30, Collection!$B:$B, O$2)</f>
        <v>0</v>
      </c>
      <c r="P30" s="92">
        <f>SUMIFS(Collection!$J:$J, Collection!$A:$A, $A30, Collection!$B:$B, P$2)</f>
        <v>0</v>
      </c>
      <c r="Q30" s="92">
        <f>SUMIFS(Collection!$J:$J, Collection!$A:$A, $A30, Collection!$B:$B, Q$2)</f>
        <v>0</v>
      </c>
      <c r="R30" s="92">
        <f>SUMIFS(Collection!$J:$J, Collection!$A:$A, $A30, Collection!$B:$B, R$2)</f>
        <v>0</v>
      </c>
      <c r="S30" s="92">
        <f>SUMIFS(Collection!$J:$J, Collection!$A:$A, $A30, Collection!$B:$B, S$2)</f>
        <v>0</v>
      </c>
      <c r="T30" s="92">
        <f>SUMIFS(Collection!$J:$J, Collection!$A:$A, $A30, Collection!$B:$B, T$2)</f>
        <v>0</v>
      </c>
      <c r="U30" s="92">
        <f>SUMIFS(Collection!$J:$J, Collection!$A:$A, $A30, Collection!$B:$B, U$2)</f>
        <v>0</v>
      </c>
      <c r="V30" s="92">
        <f>SUMIFS(Collection!$J:$J, Collection!$A:$A, $A30, Collection!$B:$B, V$2)</f>
        <v>0</v>
      </c>
      <c r="W30" s="92">
        <f>SUMIFS(Collection!$J:$J, Collection!$A:$A, $A30, Collection!$B:$B, W$2)</f>
        <v>0</v>
      </c>
      <c r="X30" s="92">
        <f>SUMIFS(Collection!$J:$J, Collection!$A:$A, $A30, Collection!$B:$B, X$2)</f>
        <v>0</v>
      </c>
      <c r="Y30" s="92">
        <f>SUMIFS(Collection!$J:$J, Collection!$A:$A, $A30, Collection!$B:$B, Y$2)</f>
        <v>0</v>
      </c>
    </row>
    <row r="31" spans="1:25" s="57" customFormat="1">
      <c r="A31" s="99">
        <f t="shared" si="0"/>
        <v>42893</v>
      </c>
      <c r="B31" s="92">
        <f>SUMIFS(Collection!$J:$J, Collection!$A:$A, $A31, Collection!$B:$B, B$2)</f>
        <v>0</v>
      </c>
      <c r="C31" s="92">
        <f>SUMIFS(Collection!$J:$J, Collection!$A:$A, $A31, Collection!$B:$B, C$2)</f>
        <v>0</v>
      </c>
      <c r="D31" s="92">
        <f>SUMIFS(Collection!$J:$J, Collection!$A:$A, $A31, Collection!$B:$B, D$2)</f>
        <v>0</v>
      </c>
      <c r="E31" s="92">
        <f>SUMIFS(Collection!$J:$J, Collection!$A:$A, $A31, Collection!$B:$B, E$2)</f>
        <v>0</v>
      </c>
      <c r="F31" s="92">
        <f>SUMIFS(Collection!$J:$J, Collection!$A:$A, $A31, Collection!$B:$B, F$2)</f>
        <v>0</v>
      </c>
      <c r="G31" s="92">
        <f>SUMIFS(Collection!$J:$J, Collection!$A:$A, $A31, Collection!$B:$B, G$2)</f>
        <v>0</v>
      </c>
      <c r="H31" s="92">
        <f>SUMIFS(Collection!$J:$J, Collection!$A:$A, $A31, Collection!$B:$B, H$2)</f>
        <v>0</v>
      </c>
      <c r="I31" s="92">
        <f>SUMIFS(Collection!$J:$J, Collection!$A:$A, $A31, Collection!$B:$B, I$2)</f>
        <v>0</v>
      </c>
      <c r="J31" s="92">
        <f>SUMIFS(Collection!$J:$J, Collection!$A:$A, $A31, Collection!$B:$B, J$2)</f>
        <v>0</v>
      </c>
      <c r="K31" s="92">
        <f>SUMIFS(Collection!$J:$J, Collection!$A:$A, $A31, Collection!$B:$B, K$2)</f>
        <v>0</v>
      </c>
      <c r="L31" s="92">
        <f>SUMIFS(Collection!$J:$J, Collection!$A:$A, $A31, Collection!$B:$B, L$2)</f>
        <v>0</v>
      </c>
      <c r="M31" s="92">
        <f>SUMIFS(Collection!$J:$J, Collection!$A:$A, $A31, Collection!$B:$B, M$2)</f>
        <v>0</v>
      </c>
      <c r="N31" s="92">
        <f>SUMIFS(Collection!$J:$J, Collection!$A:$A, $A31, Collection!$B:$B, N$2)</f>
        <v>0</v>
      </c>
      <c r="O31" s="92">
        <f>SUMIFS(Collection!$J:$J, Collection!$A:$A, $A31, Collection!$B:$B, O$2)</f>
        <v>0</v>
      </c>
      <c r="P31" s="92">
        <f>SUMIFS(Collection!$J:$J, Collection!$A:$A, $A31, Collection!$B:$B, P$2)</f>
        <v>0</v>
      </c>
      <c r="Q31" s="92">
        <f>SUMIFS(Collection!$J:$J, Collection!$A:$A, $A31, Collection!$B:$B, Q$2)</f>
        <v>0</v>
      </c>
      <c r="R31" s="92">
        <f>SUMIFS(Collection!$J:$J, Collection!$A:$A, $A31, Collection!$B:$B, R$2)</f>
        <v>0</v>
      </c>
      <c r="S31" s="92">
        <f>SUMIFS(Collection!$J:$J, Collection!$A:$A, $A31, Collection!$B:$B, S$2)</f>
        <v>0</v>
      </c>
      <c r="T31" s="92">
        <f>SUMIFS(Collection!$J:$J, Collection!$A:$A, $A31, Collection!$B:$B, T$2)</f>
        <v>0</v>
      </c>
      <c r="U31" s="92">
        <f>SUMIFS(Collection!$J:$J, Collection!$A:$A, $A31, Collection!$B:$B, U$2)</f>
        <v>0</v>
      </c>
      <c r="V31" s="92">
        <f>SUMIFS(Collection!$J:$J, Collection!$A:$A, $A31, Collection!$B:$B, V$2)</f>
        <v>0</v>
      </c>
      <c r="W31" s="92">
        <f>SUMIFS(Collection!$J:$J, Collection!$A:$A, $A31, Collection!$B:$B, W$2)</f>
        <v>0</v>
      </c>
      <c r="X31" s="92">
        <f>SUMIFS(Collection!$J:$J, Collection!$A:$A, $A31, Collection!$B:$B, X$2)</f>
        <v>0</v>
      </c>
      <c r="Y31" s="92">
        <f>SUMIFS(Collection!$J:$J, Collection!$A:$A, $A31, Collection!$B:$B, Y$2)</f>
        <v>0</v>
      </c>
    </row>
    <row r="32" spans="1:25" s="58" customFormat="1" ht="16" thickBot="1">
      <c r="A32" s="100">
        <f t="shared" si="0"/>
        <v>42894</v>
      </c>
      <c r="B32" s="93">
        <f>SUMIFS(Collection!$J:$J, Collection!$A:$A, $A32, Collection!$B:$B, B$2)</f>
        <v>0</v>
      </c>
      <c r="C32" s="93">
        <f>SUMIFS(Collection!$J:$J, Collection!$A:$A, $A32, Collection!$B:$B, C$2)</f>
        <v>0</v>
      </c>
      <c r="D32" s="93">
        <f>SUMIFS(Collection!$J:$J, Collection!$A:$A, $A32, Collection!$B:$B, D$2)</f>
        <v>0</v>
      </c>
      <c r="E32" s="93">
        <f>SUMIFS(Collection!$J:$J, Collection!$A:$A, $A32, Collection!$B:$B, E$2)</f>
        <v>0</v>
      </c>
      <c r="F32" s="93">
        <f>SUMIFS(Collection!$J:$J, Collection!$A:$A, $A32, Collection!$B:$B, F$2)</f>
        <v>0</v>
      </c>
      <c r="G32" s="93">
        <f>SUMIFS(Collection!$J:$J, Collection!$A:$A, $A32, Collection!$B:$B, G$2)</f>
        <v>0</v>
      </c>
      <c r="H32" s="93">
        <f>SUMIFS(Collection!$J:$J, Collection!$A:$A, $A32, Collection!$B:$B, H$2)</f>
        <v>0</v>
      </c>
      <c r="I32" s="93">
        <f>SUMIFS(Collection!$J:$J, Collection!$A:$A, $A32, Collection!$B:$B, I$2)</f>
        <v>0</v>
      </c>
      <c r="J32" s="93">
        <f>SUMIFS(Collection!$J:$J, Collection!$A:$A, $A32, Collection!$B:$B, J$2)</f>
        <v>0</v>
      </c>
      <c r="K32" s="93">
        <f>SUMIFS(Collection!$J:$J, Collection!$A:$A, $A32, Collection!$B:$B, K$2)</f>
        <v>0</v>
      </c>
      <c r="L32" s="93">
        <f>SUMIFS(Collection!$J:$J, Collection!$A:$A, $A32, Collection!$B:$B, L$2)</f>
        <v>0</v>
      </c>
      <c r="M32" s="93">
        <f>SUMIFS(Collection!$J:$J, Collection!$A:$A, $A32, Collection!$B:$B, M$2)</f>
        <v>0</v>
      </c>
      <c r="N32" s="93">
        <f>SUMIFS(Collection!$J:$J, Collection!$A:$A, $A32, Collection!$B:$B, N$2)</f>
        <v>0</v>
      </c>
      <c r="O32" s="93">
        <f>SUMIFS(Collection!$J:$J, Collection!$A:$A, $A32, Collection!$B:$B, O$2)</f>
        <v>0</v>
      </c>
      <c r="P32" s="93">
        <f>SUMIFS(Collection!$J:$J, Collection!$A:$A, $A32, Collection!$B:$B, P$2)</f>
        <v>0</v>
      </c>
      <c r="Q32" s="93">
        <f>SUMIFS(Collection!$J:$J, Collection!$A:$A, $A32, Collection!$B:$B, Q$2)</f>
        <v>0</v>
      </c>
      <c r="R32" s="93">
        <f>SUMIFS(Collection!$J:$J, Collection!$A:$A, $A32, Collection!$B:$B, R$2)</f>
        <v>0</v>
      </c>
      <c r="S32" s="93">
        <f>SUMIFS(Collection!$J:$J, Collection!$A:$A, $A32, Collection!$B:$B, S$2)</f>
        <v>0</v>
      </c>
      <c r="T32" s="93">
        <f>SUMIFS(Collection!$J:$J, Collection!$A:$A, $A32, Collection!$B:$B, T$2)</f>
        <v>0</v>
      </c>
      <c r="U32" s="93">
        <f>SUMIFS(Collection!$J:$J, Collection!$A:$A, $A32, Collection!$B:$B, U$2)</f>
        <v>0</v>
      </c>
      <c r="V32" s="93">
        <f>SUMIFS(Collection!$J:$J, Collection!$A:$A, $A32, Collection!$B:$B, V$2)</f>
        <v>0</v>
      </c>
      <c r="W32" s="93">
        <f>SUMIFS(Collection!$J:$J, Collection!$A:$A, $A32, Collection!$B:$B, W$2)</f>
        <v>0</v>
      </c>
      <c r="X32" s="93">
        <f>SUMIFS(Collection!$J:$J, Collection!$A:$A, $A32, Collection!$B:$B, X$2)</f>
        <v>0</v>
      </c>
      <c r="Y32" s="93">
        <f>SUMIFS(Collection!$J:$J, Collection!$A:$A, $A32, Collection!$B:$B, Y$2)</f>
        <v>0</v>
      </c>
    </row>
    <row r="33" spans="1:25" s="57" customFormat="1">
      <c r="A33" s="99" t="s">
        <v>68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</row>
    <row r="34" spans="1:25" s="57" customFormat="1">
      <c r="A34" s="99">
        <f>1+A32</f>
        <v>42895</v>
      </c>
      <c r="B34" s="92">
        <f>SUMIFS(Collection!$J:$J, Collection!$A:$A, $A34, Collection!$B:$B, B$2)</f>
        <v>0</v>
      </c>
      <c r="C34" s="92">
        <f>SUMIFS(Collection!$J:$J, Collection!$A:$A, $A34, Collection!$B:$B, C$2)</f>
        <v>0</v>
      </c>
      <c r="D34" s="92">
        <f>SUMIFS(Collection!$J:$J, Collection!$A:$A, $A34, Collection!$B:$B, D$2)</f>
        <v>0</v>
      </c>
      <c r="E34" s="92">
        <f>SUMIFS(Collection!$J:$J, Collection!$A:$A, $A34, Collection!$B:$B, E$2)</f>
        <v>0</v>
      </c>
      <c r="F34" s="92">
        <f>SUMIFS(Collection!$J:$J, Collection!$A:$A, $A34, Collection!$B:$B, F$2)</f>
        <v>0</v>
      </c>
      <c r="G34" s="92">
        <f>SUMIFS(Collection!$J:$J, Collection!$A:$A, $A34, Collection!$B:$B, G$2)</f>
        <v>0</v>
      </c>
      <c r="H34" s="92">
        <f>SUMIFS(Collection!$J:$J, Collection!$A:$A, $A34, Collection!$B:$B, H$2)</f>
        <v>0</v>
      </c>
      <c r="I34" s="92">
        <f>SUMIFS(Collection!$J:$J, Collection!$A:$A, $A34, Collection!$B:$B, I$2)</f>
        <v>0</v>
      </c>
      <c r="J34" s="92">
        <f>SUMIFS(Collection!$J:$J, Collection!$A:$A, $A34, Collection!$B:$B, J$2)</f>
        <v>0</v>
      </c>
      <c r="K34" s="92">
        <f>SUMIFS(Collection!$J:$J, Collection!$A:$A, $A34, Collection!$B:$B, K$2)</f>
        <v>0</v>
      </c>
      <c r="L34" s="92">
        <f>SUMIFS(Collection!$J:$J, Collection!$A:$A, $A34, Collection!$B:$B, L$2)</f>
        <v>0</v>
      </c>
      <c r="M34" s="92">
        <f>SUMIFS(Collection!$J:$J, Collection!$A:$A, $A34, Collection!$B:$B, M$2)</f>
        <v>0</v>
      </c>
      <c r="N34" s="92">
        <f>SUMIFS(Collection!$J:$J, Collection!$A:$A, $A34, Collection!$B:$B, N$2)</f>
        <v>0</v>
      </c>
      <c r="O34" s="92">
        <f>SUMIFS(Collection!$J:$J, Collection!$A:$A, $A34, Collection!$B:$B, O$2)</f>
        <v>0</v>
      </c>
      <c r="P34" s="92">
        <f>SUMIFS(Collection!$J:$J, Collection!$A:$A, $A34, Collection!$B:$B, P$2)</f>
        <v>0</v>
      </c>
      <c r="Q34" s="92">
        <f>SUMIFS(Collection!$J:$J, Collection!$A:$A, $A34, Collection!$B:$B, Q$2)</f>
        <v>0</v>
      </c>
      <c r="R34" s="92">
        <f>SUMIFS(Collection!$J:$J, Collection!$A:$A, $A34, Collection!$B:$B, R$2)</f>
        <v>0</v>
      </c>
      <c r="S34" s="92">
        <f>SUMIFS(Collection!$J:$J, Collection!$A:$A, $A34, Collection!$B:$B, S$2)</f>
        <v>0</v>
      </c>
      <c r="T34" s="92">
        <f>SUMIFS(Collection!$J:$J, Collection!$A:$A, $A34, Collection!$B:$B, T$2)</f>
        <v>0</v>
      </c>
      <c r="U34" s="92">
        <f>SUMIFS(Collection!$J:$J, Collection!$A:$A, $A34, Collection!$B:$B, U$2)</f>
        <v>0</v>
      </c>
      <c r="V34" s="92">
        <f>SUMIFS(Collection!$J:$J, Collection!$A:$A, $A34, Collection!$B:$B, V$2)</f>
        <v>0</v>
      </c>
      <c r="W34" s="92">
        <f>SUMIFS(Collection!$J:$J, Collection!$A:$A, $A34, Collection!$B:$B, W$2)</f>
        <v>0</v>
      </c>
      <c r="X34" s="92">
        <f>SUMIFS(Collection!$J:$J, Collection!$A:$A, $A34, Collection!$B:$B, X$2)</f>
        <v>0</v>
      </c>
      <c r="Y34" s="92">
        <f>SUMIFS(Collection!$J:$J, Collection!$A:$A, $A34, Collection!$B:$B, Y$2)</f>
        <v>0</v>
      </c>
    </row>
    <row r="35" spans="1:25" s="57" customFormat="1">
      <c r="A35" s="99">
        <f t="shared" si="0"/>
        <v>42896</v>
      </c>
      <c r="B35" s="92">
        <f>SUMIFS(Collection!$J:$J, Collection!$A:$A, $A35, Collection!$B:$B, B$2)</f>
        <v>0</v>
      </c>
      <c r="C35" s="92">
        <f>SUMIFS(Collection!$J:$J, Collection!$A:$A, $A35, Collection!$B:$B, C$2)</f>
        <v>0</v>
      </c>
      <c r="D35" s="92">
        <f>SUMIFS(Collection!$J:$J, Collection!$A:$A, $A35, Collection!$B:$B, D$2)</f>
        <v>0</v>
      </c>
      <c r="E35" s="94">
        <f>SUMIFS(Collection!$J:$J, Collection!$A:$A, $A35, Collection!$B:$B, E$2)</f>
        <v>0</v>
      </c>
      <c r="F35" s="92">
        <f>SUMIFS(Collection!$J:$J, Collection!$A:$A, $A35, Collection!$B:$B, F$2)</f>
        <v>0</v>
      </c>
      <c r="G35" s="92">
        <f>SUMIFS(Collection!$J:$J, Collection!$A:$A, $A35, Collection!$B:$B, G$2)</f>
        <v>0</v>
      </c>
      <c r="H35" s="92">
        <f>SUMIFS(Collection!$J:$J, Collection!$A:$A, $A35, Collection!$B:$B, H$2)</f>
        <v>0</v>
      </c>
      <c r="I35" s="92">
        <f>SUMIFS(Collection!$J:$J, Collection!$A:$A, $A35, Collection!$B:$B, I$2)</f>
        <v>0</v>
      </c>
      <c r="J35" s="92">
        <f>SUMIFS(Collection!$J:$J, Collection!$A:$A, $A35, Collection!$B:$B, J$2)</f>
        <v>0</v>
      </c>
      <c r="K35" s="92">
        <f>SUMIFS(Collection!$J:$J, Collection!$A:$A, $A35, Collection!$B:$B, K$2)</f>
        <v>0</v>
      </c>
      <c r="L35" s="92">
        <f>SUMIFS(Collection!$J:$J, Collection!$A:$A, $A35, Collection!$B:$B, L$2)</f>
        <v>0</v>
      </c>
      <c r="M35" s="92">
        <f>SUMIFS(Collection!$J:$J, Collection!$A:$A, $A35, Collection!$B:$B, M$2)</f>
        <v>0</v>
      </c>
      <c r="N35" s="92">
        <f>SUMIFS(Collection!$J:$J, Collection!$A:$A, $A35, Collection!$B:$B, N$2)</f>
        <v>0</v>
      </c>
      <c r="O35" s="92">
        <f>SUMIFS(Collection!$J:$J, Collection!$A:$A, $A35, Collection!$B:$B, O$2)</f>
        <v>0</v>
      </c>
      <c r="P35" s="92">
        <f>SUMIFS(Collection!$J:$J, Collection!$A:$A, $A35, Collection!$B:$B, P$2)</f>
        <v>0</v>
      </c>
      <c r="Q35" s="92">
        <f>SUMIFS(Collection!$J:$J, Collection!$A:$A, $A35, Collection!$B:$B, Q$2)</f>
        <v>0</v>
      </c>
      <c r="R35" s="92">
        <f>SUMIFS(Collection!$J:$J, Collection!$A:$A, $A35, Collection!$B:$B, R$2)</f>
        <v>0</v>
      </c>
      <c r="S35" s="92">
        <f>SUMIFS(Collection!$J:$J, Collection!$A:$A, $A35, Collection!$B:$B, S$2)</f>
        <v>0</v>
      </c>
      <c r="T35" s="92">
        <f>SUMIFS(Collection!$J:$J, Collection!$A:$A, $A35, Collection!$B:$B, T$2)</f>
        <v>0</v>
      </c>
      <c r="U35" s="92">
        <f>SUMIFS(Collection!$J:$J, Collection!$A:$A, $A35, Collection!$B:$B, U$2)</f>
        <v>0</v>
      </c>
      <c r="V35" s="92">
        <f>SUMIFS(Collection!$J:$J, Collection!$A:$A, $A35, Collection!$B:$B, V$2)</f>
        <v>0</v>
      </c>
      <c r="W35" s="92">
        <f>SUMIFS(Collection!$J:$J, Collection!$A:$A, $A35, Collection!$B:$B, W$2)</f>
        <v>0</v>
      </c>
      <c r="X35" s="92">
        <f>SUMIFS(Collection!$J:$J, Collection!$A:$A, $A35, Collection!$B:$B, X$2)</f>
        <v>0</v>
      </c>
      <c r="Y35" s="92">
        <f>SUMIFS(Collection!$J:$J, Collection!$A:$A, $A35, Collection!$B:$B, Y$2)</f>
        <v>0</v>
      </c>
    </row>
    <row r="36" spans="1:25" s="57" customFormat="1">
      <c r="A36" s="99">
        <f t="shared" si="0"/>
        <v>42897</v>
      </c>
      <c r="B36" s="92">
        <f>SUMIFS(Collection!$J:$J, Collection!$A:$A, $A36, Collection!$B:$B, B$2)</f>
        <v>0</v>
      </c>
      <c r="C36" s="92">
        <f>SUMIFS(Collection!$J:$J, Collection!$A:$A, $A36, Collection!$B:$B, C$2)</f>
        <v>0</v>
      </c>
      <c r="D36" s="92">
        <f>SUMIFS(Collection!$J:$J, Collection!$A:$A, $A36, Collection!$B:$B, D$2)</f>
        <v>0</v>
      </c>
      <c r="E36" s="92">
        <f>SUMIFS(Collection!$J:$J, Collection!$A:$A, $A36, Collection!$B:$B, E$2)</f>
        <v>0</v>
      </c>
      <c r="F36" s="92">
        <f>SUMIFS(Collection!$J:$J, Collection!$A:$A, $A36, Collection!$B:$B, F$2)</f>
        <v>0</v>
      </c>
      <c r="G36" s="92">
        <f>SUMIFS(Collection!$J:$J, Collection!$A:$A, $A36, Collection!$B:$B, G$2)</f>
        <v>0</v>
      </c>
      <c r="H36" s="92">
        <f>SUMIFS(Collection!$J:$J, Collection!$A:$A, $A36, Collection!$B:$B, H$2)</f>
        <v>0</v>
      </c>
      <c r="I36" s="92">
        <f>SUMIFS(Collection!$J:$J, Collection!$A:$A, $A36, Collection!$B:$B, I$2)</f>
        <v>0</v>
      </c>
      <c r="J36" s="92">
        <f>SUMIFS(Collection!$J:$J, Collection!$A:$A, $A36, Collection!$B:$B, J$2)</f>
        <v>0</v>
      </c>
      <c r="K36" s="92">
        <f>SUMIFS(Collection!$J:$J, Collection!$A:$A, $A36, Collection!$B:$B, K$2)</f>
        <v>0</v>
      </c>
      <c r="L36" s="92">
        <f>SUMIFS(Collection!$J:$J, Collection!$A:$A, $A36, Collection!$B:$B, L$2)</f>
        <v>0</v>
      </c>
      <c r="M36" s="92">
        <f>SUMIFS(Collection!$J:$J, Collection!$A:$A, $A36, Collection!$B:$B, M$2)</f>
        <v>0</v>
      </c>
      <c r="N36" s="92">
        <f>SUMIFS(Collection!$J:$J, Collection!$A:$A, $A36, Collection!$B:$B, N$2)</f>
        <v>0</v>
      </c>
      <c r="O36" s="92">
        <f>SUMIFS(Collection!$J:$J, Collection!$A:$A, $A36, Collection!$B:$B, O$2)</f>
        <v>0</v>
      </c>
      <c r="P36" s="92">
        <f>SUMIFS(Collection!$J:$J, Collection!$A:$A, $A36, Collection!$B:$B, P$2)</f>
        <v>0</v>
      </c>
      <c r="Q36" s="92">
        <f>SUMIFS(Collection!$J:$J, Collection!$A:$A, $A36, Collection!$B:$B, Q$2)</f>
        <v>0</v>
      </c>
      <c r="R36" s="92">
        <f>SUMIFS(Collection!$J:$J, Collection!$A:$A, $A36, Collection!$B:$B, R$2)</f>
        <v>0</v>
      </c>
      <c r="S36" s="92">
        <f>SUMIFS(Collection!$J:$J, Collection!$A:$A, $A36, Collection!$B:$B, S$2)</f>
        <v>0</v>
      </c>
      <c r="T36" s="92">
        <f>SUMIFS(Collection!$J:$J, Collection!$A:$A, $A36, Collection!$B:$B, T$2)</f>
        <v>0</v>
      </c>
      <c r="U36" s="92">
        <f>SUMIFS(Collection!$J:$J, Collection!$A:$A, $A36, Collection!$B:$B, U$2)</f>
        <v>0</v>
      </c>
      <c r="V36" s="92">
        <f>SUMIFS(Collection!$J:$J, Collection!$A:$A, $A36, Collection!$B:$B, V$2)</f>
        <v>0</v>
      </c>
      <c r="W36" s="92">
        <f>SUMIFS(Collection!$J:$J, Collection!$A:$A, $A36, Collection!$B:$B, W$2)</f>
        <v>0</v>
      </c>
      <c r="X36" s="92">
        <f>SUMIFS(Collection!$J:$J, Collection!$A:$A, $A36, Collection!$B:$B, X$2)</f>
        <v>0</v>
      </c>
      <c r="Y36" s="92">
        <f>SUMIFS(Collection!$J:$J, Collection!$A:$A, $A36, Collection!$B:$B, Y$2)</f>
        <v>0</v>
      </c>
    </row>
    <row r="37" spans="1:25" s="58" customFormat="1" ht="16" thickBot="1">
      <c r="A37" s="100">
        <f t="shared" si="0"/>
        <v>42898</v>
      </c>
      <c r="B37" s="93">
        <f>SUMIFS(Collection!$J:$J, Collection!$A:$A, $A37, Collection!$B:$B, B$2)</f>
        <v>0</v>
      </c>
      <c r="C37" s="93">
        <f>SUMIFS(Collection!$J:$J, Collection!$A:$A, $A37, Collection!$B:$B, C$2)</f>
        <v>0</v>
      </c>
      <c r="D37" s="93">
        <f>SUMIFS(Collection!$J:$J, Collection!$A:$A, $A37, Collection!$B:$B, D$2)</f>
        <v>0</v>
      </c>
      <c r="E37" s="93">
        <f>SUMIFS(Collection!$J:$J, Collection!$A:$A, $A37, Collection!$B:$B, E$2)</f>
        <v>0</v>
      </c>
      <c r="F37" s="93">
        <f>SUMIFS(Collection!$J:$J, Collection!$A:$A, $A37, Collection!$B:$B, F$2)</f>
        <v>0</v>
      </c>
      <c r="G37" s="93">
        <f>SUMIFS(Collection!$J:$J, Collection!$A:$A, $A37, Collection!$B:$B, G$2)</f>
        <v>0</v>
      </c>
      <c r="H37" s="93">
        <f>SUMIFS(Collection!$J:$J, Collection!$A:$A, $A37, Collection!$B:$B, H$2)</f>
        <v>0</v>
      </c>
      <c r="I37" s="93">
        <f>SUMIFS(Collection!$J:$J, Collection!$A:$A, $A37, Collection!$B:$B, I$2)</f>
        <v>0</v>
      </c>
      <c r="J37" s="93">
        <f>SUMIFS(Collection!$J:$J, Collection!$A:$A, $A37, Collection!$B:$B, J$2)</f>
        <v>0</v>
      </c>
      <c r="K37" s="93">
        <f>SUMIFS(Collection!$J:$J, Collection!$A:$A, $A37, Collection!$B:$B, K$2)</f>
        <v>0</v>
      </c>
      <c r="L37" s="93">
        <f>SUMIFS(Collection!$J:$J, Collection!$A:$A, $A37, Collection!$B:$B, L$2)</f>
        <v>0</v>
      </c>
      <c r="M37" s="93">
        <f>SUMIFS(Collection!$J:$J, Collection!$A:$A, $A37, Collection!$B:$B, M$2)</f>
        <v>0</v>
      </c>
      <c r="N37" s="93">
        <f>SUMIFS(Collection!$J:$J, Collection!$A:$A, $A37, Collection!$B:$B, N$2)</f>
        <v>0</v>
      </c>
      <c r="O37" s="93">
        <f>SUMIFS(Collection!$J:$J, Collection!$A:$A, $A37, Collection!$B:$B, O$2)</f>
        <v>0</v>
      </c>
      <c r="P37" s="93">
        <f>SUMIFS(Collection!$J:$J, Collection!$A:$A, $A37, Collection!$B:$B, P$2)</f>
        <v>0</v>
      </c>
      <c r="Q37" s="93">
        <f>SUMIFS(Collection!$J:$J, Collection!$A:$A, $A37, Collection!$B:$B, Q$2)</f>
        <v>0</v>
      </c>
      <c r="R37" s="93">
        <f>SUMIFS(Collection!$J:$J, Collection!$A:$A, $A37, Collection!$B:$B, R$2)</f>
        <v>0</v>
      </c>
      <c r="S37" s="93">
        <f>SUMIFS(Collection!$J:$J, Collection!$A:$A, $A37, Collection!$B:$B, S$2)</f>
        <v>0</v>
      </c>
      <c r="T37" s="93">
        <f>SUMIFS(Collection!$J:$J, Collection!$A:$A, $A37, Collection!$B:$B, T$2)</f>
        <v>0</v>
      </c>
      <c r="U37" s="93">
        <f>SUMIFS(Collection!$J:$J, Collection!$A:$A, $A37, Collection!$B:$B, U$2)</f>
        <v>0</v>
      </c>
      <c r="V37" s="93">
        <f>SUMIFS(Collection!$J:$J, Collection!$A:$A, $A37, Collection!$B:$B, V$2)</f>
        <v>0</v>
      </c>
      <c r="W37" s="93">
        <f>SUMIFS(Collection!$J:$J, Collection!$A:$A, $A37, Collection!$B:$B, W$2)</f>
        <v>0</v>
      </c>
      <c r="X37" s="93">
        <f>SUMIFS(Collection!$J:$J, Collection!$A:$A, $A37, Collection!$B:$B, X$2)</f>
        <v>0</v>
      </c>
      <c r="Y37" s="93">
        <f>SUMIFS(Collection!$J:$J, Collection!$A:$A, $A37, Collection!$B:$B, Y$2)</f>
        <v>0</v>
      </c>
    </row>
    <row r="38" spans="1:25" s="56" customFormat="1">
      <c r="A38" s="98" t="s">
        <v>1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</row>
    <row r="39" spans="1:25" s="57" customFormat="1">
      <c r="A39" s="99" t="s">
        <v>68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</row>
    <row r="40" spans="1:25" s="57" customFormat="1">
      <c r="A40" s="99">
        <f>1+A37</f>
        <v>42899</v>
      </c>
      <c r="B40" s="92">
        <f>SUMIFS(Collection!$J:$J, Collection!$A:$A, $A40, Collection!$B:$B, B$2)</f>
        <v>0</v>
      </c>
      <c r="C40" s="92">
        <f>SUMIFS(Collection!$J:$J, Collection!$A:$A, $A40, Collection!$B:$B, C$2)</f>
        <v>0</v>
      </c>
      <c r="D40" s="92">
        <f>SUMIFS(Collection!$J:$J, Collection!$A:$A, $A40, Collection!$B:$B, D$2)</f>
        <v>0</v>
      </c>
      <c r="E40" s="92">
        <f>SUMIFS(Collection!$J:$J, Collection!$A:$A, $A40, Collection!$B:$B, E$2)</f>
        <v>0</v>
      </c>
      <c r="F40" s="92">
        <f>SUMIFS(Collection!$J:$J, Collection!$A:$A, $A40, Collection!$B:$B, F$2)</f>
        <v>0</v>
      </c>
      <c r="G40" s="92">
        <f>SUMIFS(Collection!$J:$J, Collection!$A:$A, $A40, Collection!$B:$B, G$2)</f>
        <v>0</v>
      </c>
      <c r="H40" s="92">
        <f>SUMIFS(Collection!$J:$J, Collection!$A:$A, $A40, Collection!$B:$B, H$2)</f>
        <v>0</v>
      </c>
      <c r="I40" s="92">
        <f>SUMIFS(Collection!$J:$J, Collection!$A:$A, $A40, Collection!$B:$B, I$2)</f>
        <v>0</v>
      </c>
      <c r="J40" s="92">
        <f>SUMIFS(Collection!$J:$J, Collection!$A:$A, $A40, Collection!$B:$B, J$2)</f>
        <v>0</v>
      </c>
      <c r="K40" s="92">
        <f>SUMIFS(Collection!$J:$J, Collection!$A:$A, $A40, Collection!$B:$B, K$2)</f>
        <v>0</v>
      </c>
      <c r="L40" s="92">
        <f>SUMIFS(Collection!$J:$J, Collection!$A:$A, $A40, Collection!$B:$B, L$2)</f>
        <v>0</v>
      </c>
      <c r="M40" s="92">
        <f>SUMIFS(Collection!$J:$J, Collection!$A:$A, $A40, Collection!$B:$B, M$2)</f>
        <v>0</v>
      </c>
      <c r="N40" s="92">
        <f>SUMIFS(Collection!$J:$J, Collection!$A:$A, $A40, Collection!$B:$B, N$2)</f>
        <v>0</v>
      </c>
      <c r="O40" s="92">
        <f>SUMIFS(Collection!$J:$J, Collection!$A:$A, $A40, Collection!$B:$B, O$2)</f>
        <v>0</v>
      </c>
      <c r="P40" s="92">
        <f>SUMIFS(Collection!$J:$J, Collection!$A:$A, $A40, Collection!$B:$B, P$2)</f>
        <v>0</v>
      </c>
      <c r="Q40" s="92">
        <f>SUMIFS(Collection!$J:$J, Collection!$A:$A, $A40, Collection!$B:$B, Q$2)</f>
        <v>0</v>
      </c>
      <c r="R40" s="92">
        <f>SUMIFS(Collection!$J:$J, Collection!$A:$A, $A40, Collection!$B:$B, R$2)</f>
        <v>0</v>
      </c>
      <c r="S40" s="92">
        <f>SUMIFS(Collection!$J:$J, Collection!$A:$A, $A40, Collection!$B:$B, S$2)</f>
        <v>0</v>
      </c>
      <c r="T40" s="92">
        <f>SUMIFS(Collection!$J:$J, Collection!$A:$A, $A40, Collection!$B:$B, T$2)</f>
        <v>0</v>
      </c>
      <c r="U40" s="92">
        <f>SUMIFS(Collection!$J:$J, Collection!$A:$A, $A40, Collection!$B:$B, U$2)</f>
        <v>0</v>
      </c>
      <c r="V40" s="92">
        <f>SUMIFS(Collection!$J:$J, Collection!$A:$A, $A40, Collection!$B:$B, V$2)</f>
        <v>0</v>
      </c>
      <c r="W40" s="92">
        <f>SUMIFS(Collection!$J:$J, Collection!$A:$A, $A40, Collection!$B:$B, W$2)</f>
        <v>0</v>
      </c>
      <c r="X40" s="92">
        <f>SUMIFS(Collection!$J:$J, Collection!$A:$A, $A40, Collection!$B:$B, X$2)</f>
        <v>0</v>
      </c>
      <c r="Y40" s="92">
        <f>SUMIFS(Collection!$J:$J, Collection!$A:$A, $A40, Collection!$B:$B, Y$2)</f>
        <v>0</v>
      </c>
    </row>
    <row r="41" spans="1:25" s="57" customFormat="1">
      <c r="A41" s="99">
        <f t="shared" si="0"/>
        <v>42900</v>
      </c>
      <c r="B41" s="92">
        <f>SUMIFS(Collection!$J:$J, Collection!$A:$A, $A41, Collection!$B:$B, B$2)</f>
        <v>0</v>
      </c>
      <c r="C41" s="92">
        <f>SUMIFS(Collection!$J:$J, Collection!$A:$A, $A41, Collection!$B:$B, C$2)</f>
        <v>0</v>
      </c>
      <c r="D41" s="92">
        <f>SUMIFS(Collection!$J:$J, Collection!$A:$A, $A41, Collection!$B:$B, D$2)</f>
        <v>0</v>
      </c>
      <c r="E41" s="92">
        <f>SUMIFS(Collection!$J:$J, Collection!$A:$A, $A41, Collection!$B:$B, E$2)</f>
        <v>0</v>
      </c>
      <c r="F41" s="92">
        <f>SUMIFS(Collection!$J:$J, Collection!$A:$A, $A41, Collection!$B:$B, F$2)</f>
        <v>0</v>
      </c>
      <c r="G41" s="92">
        <f>SUMIFS(Collection!$J:$J, Collection!$A:$A, $A41, Collection!$B:$B, G$2)</f>
        <v>0</v>
      </c>
      <c r="H41" s="92">
        <f>SUMIFS(Collection!$J:$J, Collection!$A:$A, $A41, Collection!$B:$B, H$2)</f>
        <v>0</v>
      </c>
      <c r="I41" s="92">
        <f>SUMIFS(Collection!$J:$J, Collection!$A:$A, $A41, Collection!$B:$B, I$2)</f>
        <v>0</v>
      </c>
      <c r="J41" s="92">
        <f>SUMIFS(Collection!$J:$J, Collection!$A:$A, $A41, Collection!$B:$B, J$2)</f>
        <v>0</v>
      </c>
      <c r="K41" s="92">
        <f>SUMIFS(Collection!$J:$J, Collection!$A:$A, $A41, Collection!$B:$B, K$2)</f>
        <v>0</v>
      </c>
      <c r="L41" s="92">
        <f>SUMIFS(Collection!$J:$J, Collection!$A:$A, $A41, Collection!$B:$B, L$2)</f>
        <v>0</v>
      </c>
      <c r="M41" s="92">
        <f>SUMIFS(Collection!$J:$J, Collection!$A:$A, $A41, Collection!$B:$B, M$2)</f>
        <v>0</v>
      </c>
      <c r="N41" s="92">
        <f>SUMIFS(Collection!$J:$J, Collection!$A:$A, $A41, Collection!$B:$B, N$2)</f>
        <v>0</v>
      </c>
      <c r="O41" s="92">
        <f>SUMIFS(Collection!$J:$J, Collection!$A:$A, $A41, Collection!$B:$B, O$2)</f>
        <v>0</v>
      </c>
      <c r="P41" s="92">
        <f>SUMIFS(Collection!$J:$J, Collection!$A:$A, $A41, Collection!$B:$B, P$2)</f>
        <v>0</v>
      </c>
      <c r="Q41" s="92">
        <f>SUMIFS(Collection!$J:$J, Collection!$A:$A, $A41, Collection!$B:$B, Q$2)</f>
        <v>0</v>
      </c>
      <c r="R41" s="92">
        <f>SUMIFS(Collection!$J:$J, Collection!$A:$A, $A41, Collection!$B:$B, R$2)</f>
        <v>0</v>
      </c>
      <c r="S41" s="92">
        <f>SUMIFS(Collection!$J:$J, Collection!$A:$A, $A41, Collection!$B:$B, S$2)</f>
        <v>0</v>
      </c>
      <c r="T41" s="92">
        <f>SUMIFS(Collection!$J:$J, Collection!$A:$A, $A41, Collection!$B:$B, T$2)</f>
        <v>0</v>
      </c>
      <c r="U41" s="92">
        <f>SUMIFS(Collection!$J:$J, Collection!$A:$A, $A41, Collection!$B:$B, U$2)</f>
        <v>0</v>
      </c>
      <c r="V41" s="92">
        <f>SUMIFS(Collection!$J:$J, Collection!$A:$A, $A41, Collection!$B:$B, V$2)</f>
        <v>0</v>
      </c>
      <c r="W41" s="92">
        <f>SUMIFS(Collection!$J:$J, Collection!$A:$A, $A41, Collection!$B:$B, W$2)</f>
        <v>0</v>
      </c>
      <c r="X41" s="92">
        <f>SUMIFS(Collection!$J:$J, Collection!$A:$A, $A41, Collection!$B:$B, X$2)</f>
        <v>0</v>
      </c>
      <c r="Y41" s="92">
        <f>SUMIFS(Collection!$J:$J, Collection!$A:$A, $A41, Collection!$B:$B, Y$2)</f>
        <v>0</v>
      </c>
    </row>
    <row r="42" spans="1:25" s="58" customFormat="1" ht="16" thickBot="1">
      <c r="A42" s="100">
        <f t="shared" si="0"/>
        <v>42901</v>
      </c>
      <c r="B42" s="93">
        <f>SUMIFS(Collection!$J:$J, Collection!$A:$A, $A42, Collection!$B:$B, B$2)</f>
        <v>0</v>
      </c>
      <c r="C42" s="93">
        <f>SUMIFS(Collection!$J:$J, Collection!$A:$A, $A42, Collection!$B:$B, C$2)</f>
        <v>0</v>
      </c>
      <c r="D42" s="93">
        <f>SUMIFS(Collection!$J:$J, Collection!$A:$A, $A42, Collection!$B:$B, D$2)</f>
        <v>0</v>
      </c>
      <c r="E42" s="93">
        <f>SUMIFS(Collection!$J:$J, Collection!$A:$A, $A42, Collection!$B:$B, E$2)</f>
        <v>0</v>
      </c>
      <c r="F42" s="93">
        <f>SUMIFS(Collection!$J:$J, Collection!$A:$A, $A42, Collection!$B:$B, F$2)</f>
        <v>0</v>
      </c>
      <c r="G42" s="93">
        <f>SUMIFS(Collection!$J:$J, Collection!$A:$A, $A42, Collection!$B:$B, G$2)</f>
        <v>0</v>
      </c>
      <c r="H42" s="93">
        <f>SUMIFS(Collection!$J:$J, Collection!$A:$A, $A42, Collection!$B:$B, H$2)</f>
        <v>0</v>
      </c>
      <c r="I42" s="93">
        <f>SUMIFS(Collection!$J:$J, Collection!$A:$A, $A42, Collection!$B:$B, I$2)</f>
        <v>0</v>
      </c>
      <c r="J42" s="93">
        <f>SUMIFS(Collection!$J:$J, Collection!$A:$A, $A42, Collection!$B:$B, J$2)</f>
        <v>0</v>
      </c>
      <c r="K42" s="93">
        <f>SUMIFS(Collection!$J:$J, Collection!$A:$A, $A42, Collection!$B:$B, K$2)</f>
        <v>0</v>
      </c>
      <c r="L42" s="93">
        <f>SUMIFS(Collection!$J:$J, Collection!$A:$A, $A42, Collection!$B:$B, L$2)</f>
        <v>0</v>
      </c>
      <c r="M42" s="93">
        <f>SUMIFS(Collection!$J:$J, Collection!$A:$A, $A42, Collection!$B:$B, M$2)</f>
        <v>0</v>
      </c>
      <c r="N42" s="93">
        <f>SUMIFS(Collection!$J:$J, Collection!$A:$A, $A42, Collection!$B:$B, N$2)</f>
        <v>0</v>
      </c>
      <c r="O42" s="93">
        <f>SUMIFS(Collection!$J:$J, Collection!$A:$A, $A42, Collection!$B:$B, O$2)</f>
        <v>0</v>
      </c>
      <c r="P42" s="93">
        <f>SUMIFS(Collection!$J:$J, Collection!$A:$A, $A42, Collection!$B:$B, P$2)</f>
        <v>0</v>
      </c>
      <c r="Q42" s="93">
        <f>SUMIFS(Collection!$J:$J, Collection!$A:$A, $A42, Collection!$B:$B, Q$2)</f>
        <v>0</v>
      </c>
      <c r="R42" s="93">
        <f>SUMIFS(Collection!$J:$J, Collection!$A:$A, $A42, Collection!$B:$B, R$2)</f>
        <v>0</v>
      </c>
      <c r="S42" s="93">
        <f>SUMIFS(Collection!$J:$J, Collection!$A:$A, $A42, Collection!$B:$B, S$2)</f>
        <v>0</v>
      </c>
      <c r="T42" s="93">
        <f>SUMIFS(Collection!$J:$J, Collection!$A:$A, $A42, Collection!$B:$B, T$2)</f>
        <v>0</v>
      </c>
      <c r="U42" s="93">
        <f>SUMIFS(Collection!$J:$J, Collection!$A:$A, $A42, Collection!$B:$B, U$2)</f>
        <v>0</v>
      </c>
      <c r="V42" s="93">
        <f>SUMIFS(Collection!$J:$J, Collection!$A:$A, $A42, Collection!$B:$B, V$2)</f>
        <v>0</v>
      </c>
      <c r="W42" s="93">
        <f>SUMIFS(Collection!$J:$J, Collection!$A:$A, $A42, Collection!$B:$B, W$2)</f>
        <v>0</v>
      </c>
      <c r="X42" s="93">
        <f>SUMIFS(Collection!$J:$J, Collection!$A:$A, $A42, Collection!$B:$B, X$2)</f>
        <v>0</v>
      </c>
      <c r="Y42" s="93">
        <f>SUMIFS(Collection!$J:$J, Collection!$A:$A, $A42, Collection!$B:$B, Y$2)</f>
        <v>0</v>
      </c>
    </row>
    <row r="43" spans="1:25" s="57" customFormat="1">
      <c r="A43" s="99" t="s">
        <v>68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</row>
    <row r="44" spans="1:25" s="57" customFormat="1">
      <c r="A44" s="99">
        <f>1+A42</f>
        <v>42902</v>
      </c>
      <c r="B44" s="92">
        <f>SUMIFS(Collection!$J:$J, Collection!$A:$A, $A44, Collection!$B:$B, B$2)</f>
        <v>0</v>
      </c>
      <c r="C44" s="92">
        <f>SUMIFS(Collection!$J:$J, Collection!$A:$A, $A44, Collection!$B:$B, C$2)</f>
        <v>0</v>
      </c>
      <c r="D44" s="92">
        <f>SUMIFS(Collection!$J:$J, Collection!$A:$A, $A44, Collection!$B:$B, D$2)</f>
        <v>0</v>
      </c>
      <c r="E44" s="92">
        <f>SUMIFS(Collection!$J:$J, Collection!$A:$A, $A44, Collection!$B:$B, E$2)</f>
        <v>0</v>
      </c>
      <c r="F44" s="92">
        <f>SUMIFS(Collection!$J:$J, Collection!$A:$A, $A44, Collection!$B:$B, F$2)</f>
        <v>0</v>
      </c>
      <c r="G44" s="92">
        <f>SUMIFS(Collection!$J:$J, Collection!$A:$A, $A44, Collection!$B:$B, G$2)</f>
        <v>0</v>
      </c>
      <c r="H44" s="92">
        <f>SUMIFS(Collection!$J:$J, Collection!$A:$A, $A44, Collection!$B:$B, H$2)</f>
        <v>0</v>
      </c>
      <c r="I44" s="92">
        <f>SUMIFS(Collection!$J:$J, Collection!$A:$A, $A44, Collection!$B:$B, I$2)</f>
        <v>0</v>
      </c>
      <c r="J44" s="92">
        <f>SUMIFS(Collection!$J:$J, Collection!$A:$A, $A44, Collection!$B:$B, J$2)</f>
        <v>0</v>
      </c>
      <c r="K44" s="92">
        <f>SUMIFS(Collection!$J:$J, Collection!$A:$A, $A44, Collection!$B:$B, K$2)</f>
        <v>0</v>
      </c>
      <c r="L44" s="92">
        <f>SUMIFS(Collection!$J:$J, Collection!$A:$A, $A44, Collection!$B:$B, L$2)</f>
        <v>0</v>
      </c>
      <c r="M44" s="92">
        <f>SUMIFS(Collection!$J:$J, Collection!$A:$A, $A44, Collection!$B:$B, M$2)</f>
        <v>0</v>
      </c>
      <c r="N44" s="92">
        <f>SUMIFS(Collection!$J:$J, Collection!$A:$A, $A44, Collection!$B:$B, N$2)</f>
        <v>0</v>
      </c>
      <c r="O44" s="92">
        <f>SUMIFS(Collection!$J:$J, Collection!$A:$A, $A44, Collection!$B:$B, O$2)</f>
        <v>0</v>
      </c>
      <c r="P44" s="92">
        <f>SUMIFS(Collection!$J:$J, Collection!$A:$A, $A44, Collection!$B:$B, P$2)</f>
        <v>0</v>
      </c>
      <c r="Q44" s="92">
        <f>SUMIFS(Collection!$J:$J, Collection!$A:$A, $A44, Collection!$B:$B, Q$2)</f>
        <v>0</v>
      </c>
      <c r="R44" s="92">
        <f>SUMIFS(Collection!$J:$J, Collection!$A:$A, $A44, Collection!$B:$B, R$2)</f>
        <v>0</v>
      </c>
      <c r="S44" s="92">
        <f>SUMIFS(Collection!$J:$J, Collection!$A:$A, $A44, Collection!$B:$B, S$2)</f>
        <v>0</v>
      </c>
      <c r="T44" s="92">
        <f>SUMIFS(Collection!$J:$J, Collection!$A:$A, $A44, Collection!$B:$B, T$2)</f>
        <v>0</v>
      </c>
      <c r="U44" s="92">
        <f>SUMIFS(Collection!$J:$J, Collection!$A:$A, $A44, Collection!$B:$B, U$2)</f>
        <v>0</v>
      </c>
      <c r="V44" s="92">
        <f>SUMIFS(Collection!$J:$J, Collection!$A:$A, $A44, Collection!$B:$B, V$2)</f>
        <v>0</v>
      </c>
      <c r="W44" s="92">
        <f>SUMIFS(Collection!$J:$J, Collection!$A:$A, $A44, Collection!$B:$B, W$2)</f>
        <v>0</v>
      </c>
      <c r="X44" s="92">
        <f>SUMIFS(Collection!$J:$J, Collection!$A:$A, $A44, Collection!$B:$B, X$2)</f>
        <v>0</v>
      </c>
      <c r="Y44" s="92">
        <f>SUMIFS(Collection!$J:$J, Collection!$A:$A, $A44, Collection!$B:$B, Y$2)</f>
        <v>0</v>
      </c>
    </row>
    <row r="45" spans="1:25" s="57" customFormat="1">
      <c r="A45" s="99">
        <f t="shared" si="0"/>
        <v>42903</v>
      </c>
      <c r="B45" s="92">
        <f>SUMIFS(Collection!$J:$J, Collection!$A:$A, $A45, Collection!$B:$B, B$2)</f>
        <v>0</v>
      </c>
      <c r="C45" s="92">
        <f>SUMIFS(Collection!$J:$J, Collection!$A:$A, $A45, Collection!$B:$B, C$2)</f>
        <v>0</v>
      </c>
      <c r="D45" s="92">
        <f>SUMIFS(Collection!$J:$J, Collection!$A:$A, $A45, Collection!$B:$B, D$2)</f>
        <v>0</v>
      </c>
      <c r="E45" s="92">
        <f>SUMIFS(Collection!$J:$J, Collection!$A:$A, $A45, Collection!$B:$B, E$2)</f>
        <v>0</v>
      </c>
      <c r="F45" s="92">
        <f>SUMIFS(Collection!$J:$J, Collection!$A:$A, $A45, Collection!$B:$B, F$2)</f>
        <v>0</v>
      </c>
      <c r="G45" s="92">
        <f>SUMIFS(Collection!$J:$J, Collection!$A:$A, $A45, Collection!$B:$B, G$2)</f>
        <v>0</v>
      </c>
      <c r="H45" s="92">
        <f>SUMIFS(Collection!$J:$J, Collection!$A:$A, $A45, Collection!$B:$B, H$2)</f>
        <v>0</v>
      </c>
      <c r="I45" s="92">
        <f>SUMIFS(Collection!$J:$J, Collection!$A:$A, $A45, Collection!$B:$B, I$2)</f>
        <v>0</v>
      </c>
      <c r="J45" s="92">
        <f>SUMIFS(Collection!$J:$J, Collection!$A:$A, $A45, Collection!$B:$B, J$2)</f>
        <v>0</v>
      </c>
      <c r="K45" s="92">
        <f>SUMIFS(Collection!$J:$J, Collection!$A:$A, $A45, Collection!$B:$B, K$2)</f>
        <v>0</v>
      </c>
      <c r="L45" s="92">
        <f>SUMIFS(Collection!$J:$J, Collection!$A:$A, $A45, Collection!$B:$B, L$2)</f>
        <v>0</v>
      </c>
      <c r="M45" s="92">
        <f>SUMIFS(Collection!$J:$J, Collection!$A:$A, $A45, Collection!$B:$B, M$2)</f>
        <v>0</v>
      </c>
      <c r="N45" s="92">
        <f>SUMIFS(Collection!$J:$J, Collection!$A:$A, $A45, Collection!$B:$B, N$2)</f>
        <v>0</v>
      </c>
      <c r="O45" s="92">
        <f>SUMIFS(Collection!$J:$J, Collection!$A:$A, $A45, Collection!$B:$B, O$2)</f>
        <v>0</v>
      </c>
      <c r="P45" s="92">
        <f>SUMIFS(Collection!$J:$J, Collection!$A:$A, $A45, Collection!$B:$B, P$2)</f>
        <v>0</v>
      </c>
      <c r="Q45" s="92">
        <f>SUMIFS(Collection!$J:$J, Collection!$A:$A, $A45, Collection!$B:$B, Q$2)</f>
        <v>0</v>
      </c>
      <c r="R45" s="92">
        <f>SUMIFS(Collection!$J:$J, Collection!$A:$A, $A45, Collection!$B:$B, R$2)</f>
        <v>0</v>
      </c>
      <c r="S45" s="92">
        <f>SUMIFS(Collection!$J:$J, Collection!$A:$A, $A45, Collection!$B:$B, S$2)</f>
        <v>0</v>
      </c>
      <c r="T45" s="92">
        <f>SUMIFS(Collection!$J:$J, Collection!$A:$A, $A45, Collection!$B:$B, T$2)</f>
        <v>0</v>
      </c>
      <c r="U45" s="92">
        <f>SUMIFS(Collection!$J:$J, Collection!$A:$A, $A45, Collection!$B:$B, U$2)</f>
        <v>0</v>
      </c>
      <c r="V45" s="92">
        <f>SUMIFS(Collection!$J:$J, Collection!$A:$A, $A45, Collection!$B:$B, V$2)</f>
        <v>0</v>
      </c>
      <c r="W45" s="92">
        <f>SUMIFS(Collection!$J:$J, Collection!$A:$A, $A45, Collection!$B:$B, W$2)</f>
        <v>0</v>
      </c>
      <c r="X45" s="92">
        <f>SUMIFS(Collection!$J:$J, Collection!$A:$A, $A45, Collection!$B:$B, X$2)</f>
        <v>0</v>
      </c>
      <c r="Y45" s="92">
        <f>SUMIFS(Collection!$J:$J, Collection!$A:$A, $A45, Collection!$B:$B, Y$2)</f>
        <v>0</v>
      </c>
    </row>
    <row r="46" spans="1:25" s="57" customFormat="1">
      <c r="A46" s="99">
        <f t="shared" si="0"/>
        <v>42904</v>
      </c>
      <c r="B46" s="92">
        <f>SUMIFS(Collection!$J:$J, Collection!$A:$A, $A46, Collection!$B:$B, B$2)</f>
        <v>0</v>
      </c>
      <c r="C46" s="92">
        <f>SUMIFS(Collection!$J:$J, Collection!$A:$A, $A46, Collection!$B:$B, C$2)</f>
        <v>0</v>
      </c>
      <c r="D46" s="92">
        <f>SUMIFS(Collection!$J:$J, Collection!$A:$A, $A46, Collection!$B:$B, D$2)</f>
        <v>0</v>
      </c>
      <c r="E46" s="92">
        <f>SUMIFS(Collection!$J:$J, Collection!$A:$A, $A46, Collection!$B:$B, E$2)</f>
        <v>0</v>
      </c>
      <c r="F46" s="92">
        <f>SUMIFS(Collection!$J:$J, Collection!$A:$A, $A46, Collection!$B:$B, F$2)</f>
        <v>0</v>
      </c>
      <c r="G46" s="92">
        <f>SUMIFS(Collection!$J:$J, Collection!$A:$A, $A46, Collection!$B:$B, G$2)</f>
        <v>0</v>
      </c>
      <c r="H46" s="92">
        <f>SUMIFS(Collection!$J:$J, Collection!$A:$A, $A46, Collection!$B:$B, H$2)</f>
        <v>0</v>
      </c>
      <c r="I46" s="92">
        <f>SUMIFS(Collection!$J:$J, Collection!$A:$A, $A46, Collection!$B:$B, I$2)</f>
        <v>0</v>
      </c>
      <c r="J46" s="92">
        <f>SUMIFS(Collection!$J:$J, Collection!$A:$A, $A46, Collection!$B:$B, J$2)</f>
        <v>0</v>
      </c>
      <c r="K46" s="92">
        <f>SUMIFS(Collection!$J:$J, Collection!$A:$A, $A46, Collection!$B:$B, K$2)</f>
        <v>0</v>
      </c>
      <c r="L46" s="92">
        <f>SUMIFS(Collection!$J:$J, Collection!$A:$A, $A46, Collection!$B:$B, L$2)</f>
        <v>0</v>
      </c>
      <c r="M46" s="92">
        <f>SUMIFS(Collection!$J:$J, Collection!$A:$A, $A46, Collection!$B:$B, M$2)</f>
        <v>0</v>
      </c>
      <c r="N46" s="92">
        <f>SUMIFS(Collection!$J:$J, Collection!$A:$A, $A46, Collection!$B:$B, N$2)</f>
        <v>0</v>
      </c>
      <c r="O46" s="92">
        <f>SUMIFS(Collection!$J:$J, Collection!$A:$A, $A46, Collection!$B:$B, O$2)</f>
        <v>0</v>
      </c>
      <c r="P46" s="92">
        <f>SUMIFS(Collection!$J:$J, Collection!$A:$A, $A46, Collection!$B:$B, P$2)</f>
        <v>0</v>
      </c>
      <c r="Q46" s="92">
        <f>SUMIFS(Collection!$J:$J, Collection!$A:$A, $A46, Collection!$B:$B, Q$2)</f>
        <v>0</v>
      </c>
      <c r="R46" s="92">
        <f>SUMIFS(Collection!$J:$J, Collection!$A:$A, $A46, Collection!$B:$B, R$2)</f>
        <v>0</v>
      </c>
      <c r="S46" s="92">
        <f>SUMIFS(Collection!$J:$J, Collection!$A:$A, $A46, Collection!$B:$B, S$2)</f>
        <v>0</v>
      </c>
      <c r="T46" s="92">
        <f>SUMIFS(Collection!$J:$J, Collection!$A:$A, $A46, Collection!$B:$B, T$2)</f>
        <v>0</v>
      </c>
      <c r="U46" s="92">
        <f>SUMIFS(Collection!$J:$J, Collection!$A:$A, $A46, Collection!$B:$B, U$2)</f>
        <v>0</v>
      </c>
      <c r="V46" s="92">
        <f>SUMIFS(Collection!$J:$J, Collection!$A:$A, $A46, Collection!$B:$B, V$2)</f>
        <v>0</v>
      </c>
      <c r="W46" s="92">
        <f>SUMIFS(Collection!$J:$J, Collection!$A:$A, $A46, Collection!$B:$B, W$2)</f>
        <v>0</v>
      </c>
      <c r="X46" s="92">
        <f>SUMIFS(Collection!$J:$J, Collection!$A:$A, $A46, Collection!$B:$B, X$2)</f>
        <v>0</v>
      </c>
      <c r="Y46" s="92">
        <f>SUMIFS(Collection!$J:$J, Collection!$A:$A, $A46, Collection!$B:$B, Y$2)</f>
        <v>0</v>
      </c>
    </row>
    <row r="47" spans="1:25" s="58" customFormat="1" ht="16" thickBot="1">
      <c r="A47" s="100">
        <f t="shared" si="0"/>
        <v>42905</v>
      </c>
      <c r="B47" s="93">
        <f>SUMIFS(Collection!$J:$J, Collection!$A:$A, $A47, Collection!$B:$B, B$2)</f>
        <v>0</v>
      </c>
      <c r="C47" s="93">
        <f>SUMIFS(Collection!$J:$J, Collection!$A:$A, $A47, Collection!$B:$B, C$2)</f>
        <v>0</v>
      </c>
      <c r="D47" s="93">
        <f>SUMIFS(Collection!$J:$J, Collection!$A:$A, $A47, Collection!$B:$B, D$2)</f>
        <v>0</v>
      </c>
      <c r="E47" s="93">
        <f>SUMIFS(Collection!$J:$J, Collection!$A:$A, $A47, Collection!$B:$B, E$2)</f>
        <v>0</v>
      </c>
      <c r="F47" s="93">
        <f>SUMIFS(Collection!$J:$J, Collection!$A:$A, $A47, Collection!$B:$B, F$2)</f>
        <v>0</v>
      </c>
      <c r="G47" s="93">
        <f>SUMIFS(Collection!$J:$J, Collection!$A:$A, $A47, Collection!$B:$B, G$2)</f>
        <v>0</v>
      </c>
      <c r="H47" s="93">
        <f>SUMIFS(Collection!$J:$J, Collection!$A:$A, $A47, Collection!$B:$B, H$2)</f>
        <v>0</v>
      </c>
      <c r="I47" s="93">
        <f>SUMIFS(Collection!$J:$J, Collection!$A:$A, $A47, Collection!$B:$B, I$2)</f>
        <v>0</v>
      </c>
      <c r="J47" s="93">
        <f>SUMIFS(Collection!$J:$J, Collection!$A:$A, $A47, Collection!$B:$B, J$2)</f>
        <v>0</v>
      </c>
      <c r="K47" s="93">
        <f>SUMIFS(Collection!$J:$J, Collection!$A:$A, $A47, Collection!$B:$B, K$2)</f>
        <v>0</v>
      </c>
      <c r="L47" s="93">
        <f>SUMIFS(Collection!$J:$J, Collection!$A:$A, $A47, Collection!$B:$B, L$2)</f>
        <v>0</v>
      </c>
      <c r="M47" s="93">
        <f>SUMIFS(Collection!$J:$J, Collection!$A:$A, $A47, Collection!$B:$B, M$2)</f>
        <v>0</v>
      </c>
      <c r="N47" s="93">
        <f>SUMIFS(Collection!$J:$J, Collection!$A:$A, $A47, Collection!$B:$B, N$2)</f>
        <v>0</v>
      </c>
      <c r="O47" s="93">
        <f>SUMIFS(Collection!$J:$J, Collection!$A:$A, $A47, Collection!$B:$B, O$2)</f>
        <v>0</v>
      </c>
      <c r="P47" s="93">
        <f>SUMIFS(Collection!$J:$J, Collection!$A:$A, $A47, Collection!$B:$B, P$2)</f>
        <v>0</v>
      </c>
      <c r="Q47" s="93">
        <f>SUMIFS(Collection!$J:$J, Collection!$A:$A, $A47, Collection!$B:$B, Q$2)</f>
        <v>0</v>
      </c>
      <c r="R47" s="93">
        <f>SUMIFS(Collection!$J:$J, Collection!$A:$A, $A47, Collection!$B:$B, R$2)</f>
        <v>0</v>
      </c>
      <c r="S47" s="93">
        <f>SUMIFS(Collection!$J:$J, Collection!$A:$A, $A47, Collection!$B:$B, S$2)</f>
        <v>0</v>
      </c>
      <c r="T47" s="93">
        <f>SUMIFS(Collection!$J:$J, Collection!$A:$A, $A47, Collection!$B:$B, T$2)</f>
        <v>0</v>
      </c>
      <c r="U47" s="93">
        <f>SUMIFS(Collection!$J:$J, Collection!$A:$A, $A47, Collection!$B:$B, U$2)</f>
        <v>0</v>
      </c>
      <c r="V47" s="93">
        <f>SUMIFS(Collection!$J:$J, Collection!$A:$A, $A47, Collection!$B:$B, V$2)</f>
        <v>0</v>
      </c>
      <c r="W47" s="93">
        <f>SUMIFS(Collection!$J:$J, Collection!$A:$A, $A47, Collection!$B:$B, W$2)</f>
        <v>0</v>
      </c>
      <c r="X47" s="93">
        <f>SUMIFS(Collection!$J:$J, Collection!$A:$A, $A47, Collection!$B:$B, X$2)</f>
        <v>0</v>
      </c>
      <c r="Y47" s="93">
        <f>SUMIFS(Collection!$J:$J, Collection!$A:$A, $A47, Collection!$B:$B, Y$2)</f>
        <v>0</v>
      </c>
    </row>
    <row r="48" spans="1:25" s="57" customFormat="1">
      <c r="A48" s="99" t="s">
        <v>68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</row>
    <row r="49" spans="1:25" s="57" customFormat="1">
      <c r="A49" s="99">
        <f>1+A47</f>
        <v>42906</v>
      </c>
      <c r="B49" s="92">
        <f>SUMIFS(Collection!$J:$J, Collection!$A:$A, $A49, Collection!$B:$B, B$2)</f>
        <v>0</v>
      </c>
      <c r="C49" s="92">
        <f>SUMIFS(Collection!$J:$J, Collection!$A:$A, $A49, Collection!$B:$B, C$2)</f>
        <v>0</v>
      </c>
      <c r="D49" s="92">
        <f>SUMIFS(Collection!$J:$J, Collection!$A:$A, $A49, Collection!$B:$B, D$2)</f>
        <v>0</v>
      </c>
      <c r="E49" s="92">
        <f>SUMIFS(Collection!$J:$J, Collection!$A:$A, $A49, Collection!$B:$B, E$2)</f>
        <v>0</v>
      </c>
      <c r="F49" s="92">
        <f>SUMIFS(Collection!$J:$J, Collection!$A:$A, $A49, Collection!$B:$B, F$2)</f>
        <v>0</v>
      </c>
      <c r="G49" s="92">
        <f>SUMIFS(Collection!$J:$J, Collection!$A:$A, $A49, Collection!$B:$B, G$2)</f>
        <v>0</v>
      </c>
      <c r="H49" s="92">
        <f>SUMIFS(Collection!$J:$J, Collection!$A:$A, $A49, Collection!$B:$B, H$2)</f>
        <v>0</v>
      </c>
      <c r="I49" s="92">
        <f>SUMIFS(Collection!$J:$J, Collection!$A:$A, $A49, Collection!$B:$B, I$2)</f>
        <v>0</v>
      </c>
      <c r="J49" s="92">
        <f>SUMIFS(Collection!$J:$J, Collection!$A:$A, $A49, Collection!$B:$B, J$2)</f>
        <v>0</v>
      </c>
      <c r="K49" s="92">
        <f>SUMIFS(Collection!$J:$J, Collection!$A:$A, $A49, Collection!$B:$B, K$2)</f>
        <v>0</v>
      </c>
      <c r="L49" s="92">
        <f>SUMIFS(Collection!$J:$J, Collection!$A:$A, $A49, Collection!$B:$B, L$2)</f>
        <v>0</v>
      </c>
      <c r="M49" s="92">
        <f>SUMIFS(Collection!$J:$J, Collection!$A:$A, $A49, Collection!$B:$B, M$2)</f>
        <v>0</v>
      </c>
      <c r="N49" s="92">
        <f>SUMIFS(Collection!$J:$J, Collection!$A:$A, $A49, Collection!$B:$B, N$2)</f>
        <v>0</v>
      </c>
      <c r="O49" s="92">
        <f>SUMIFS(Collection!$J:$J, Collection!$A:$A, $A49, Collection!$B:$B, O$2)</f>
        <v>0</v>
      </c>
      <c r="P49" s="92">
        <f>SUMIFS(Collection!$J:$J, Collection!$A:$A, $A49, Collection!$B:$B, P$2)</f>
        <v>0</v>
      </c>
      <c r="Q49" s="92">
        <f>SUMIFS(Collection!$J:$J, Collection!$A:$A, $A49, Collection!$B:$B, Q$2)</f>
        <v>0</v>
      </c>
      <c r="R49" s="92">
        <f>SUMIFS(Collection!$J:$J, Collection!$A:$A, $A49, Collection!$B:$B, R$2)</f>
        <v>0</v>
      </c>
      <c r="S49" s="92">
        <f>SUMIFS(Collection!$J:$J, Collection!$A:$A, $A49, Collection!$B:$B, S$2)</f>
        <v>0</v>
      </c>
      <c r="T49" s="92">
        <f>SUMIFS(Collection!$J:$J, Collection!$A:$A, $A49, Collection!$B:$B, T$2)</f>
        <v>0</v>
      </c>
      <c r="U49" s="92">
        <f>SUMIFS(Collection!$J:$J, Collection!$A:$A, $A49, Collection!$B:$B, U$2)</f>
        <v>0</v>
      </c>
      <c r="V49" s="92">
        <f>SUMIFS(Collection!$J:$J, Collection!$A:$A, $A49, Collection!$B:$B, V$2)</f>
        <v>0</v>
      </c>
      <c r="W49" s="92">
        <f>SUMIFS(Collection!$J:$J, Collection!$A:$A, $A49, Collection!$B:$B, W$2)</f>
        <v>0</v>
      </c>
      <c r="X49" s="92">
        <f>SUMIFS(Collection!$J:$J, Collection!$A:$A, $A49, Collection!$B:$B, X$2)</f>
        <v>0</v>
      </c>
      <c r="Y49" s="92">
        <f>SUMIFS(Collection!$J:$J, Collection!$A:$A, $A49, Collection!$B:$B, Y$2)</f>
        <v>0</v>
      </c>
    </row>
    <row r="50" spans="1:25" s="57" customFormat="1">
      <c r="A50" s="99">
        <f t="shared" si="0"/>
        <v>42907</v>
      </c>
      <c r="B50" s="92">
        <f>SUMIFS(Collection!$J:$J, Collection!$A:$A, $A50, Collection!$B:$B, B$2)</f>
        <v>0</v>
      </c>
      <c r="C50" s="92">
        <f>SUMIFS(Collection!$J:$J, Collection!$A:$A, $A50, Collection!$B:$B, C$2)</f>
        <v>0</v>
      </c>
      <c r="D50" s="92">
        <f>SUMIFS(Collection!$J:$J, Collection!$A:$A, $A50, Collection!$B:$B, D$2)</f>
        <v>0</v>
      </c>
      <c r="E50" s="92">
        <f>SUMIFS(Collection!$J:$J, Collection!$A:$A, $A50, Collection!$B:$B, E$2)</f>
        <v>0</v>
      </c>
      <c r="F50" s="92">
        <f>SUMIFS(Collection!$J:$J, Collection!$A:$A, $A50, Collection!$B:$B, F$2)</f>
        <v>0</v>
      </c>
      <c r="G50" s="92">
        <f>SUMIFS(Collection!$J:$J, Collection!$A:$A, $A50, Collection!$B:$B, G$2)</f>
        <v>0</v>
      </c>
      <c r="H50" s="92">
        <f>SUMIFS(Collection!$J:$J, Collection!$A:$A, $A50, Collection!$B:$B, H$2)</f>
        <v>0</v>
      </c>
      <c r="I50" s="92">
        <f>SUMIFS(Collection!$J:$J, Collection!$A:$A, $A50, Collection!$B:$B, I$2)</f>
        <v>0</v>
      </c>
      <c r="J50" s="92">
        <f>SUMIFS(Collection!$J:$J, Collection!$A:$A, $A50, Collection!$B:$B, J$2)</f>
        <v>0</v>
      </c>
      <c r="K50" s="92">
        <f>SUMIFS(Collection!$J:$J, Collection!$A:$A, $A50, Collection!$B:$B, K$2)</f>
        <v>0</v>
      </c>
      <c r="L50" s="92">
        <f>SUMIFS(Collection!$J:$J, Collection!$A:$A, $A50, Collection!$B:$B, L$2)</f>
        <v>0</v>
      </c>
      <c r="M50" s="92">
        <f>SUMIFS(Collection!$J:$J, Collection!$A:$A, $A50, Collection!$B:$B, M$2)</f>
        <v>0</v>
      </c>
      <c r="N50" s="92">
        <f>SUMIFS(Collection!$J:$J, Collection!$A:$A, $A50, Collection!$B:$B, N$2)</f>
        <v>0</v>
      </c>
      <c r="O50" s="92">
        <f>SUMIFS(Collection!$J:$J, Collection!$A:$A, $A50, Collection!$B:$B, O$2)</f>
        <v>0</v>
      </c>
      <c r="P50" s="92">
        <f>SUMIFS(Collection!$J:$J, Collection!$A:$A, $A50, Collection!$B:$B, P$2)</f>
        <v>0</v>
      </c>
      <c r="Q50" s="92">
        <f>SUMIFS(Collection!$J:$J, Collection!$A:$A, $A50, Collection!$B:$B, Q$2)</f>
        <v>0</v>
      </c>
      <c r="R50" s="92">
        <f>SUMIFS(Collection!$J:$J, Collection!$A:$A, $A50, Collection!$B:$B, R$2)</f>
        <v>0</v>
      </c>
      <c r="S50" s="92">
        <f>SUMIFS(Collection!$J:$J, Collection!$A:$A, $A50, Collection!$B:$B, S$2)</f>
        <v>0</v>
      </c>
      <c r="T50" s="92">
        <f>SUMIFS(Collection!$J:$J, Collection!$A:$A, $A50, Collection!$B:$B, T$2)</f>
        <v>0</v>
      </c>
      <c r="U50" s="92">
        <f>SUMIFS(Collection!$J:$J, Collection!$A:$A, $A50, Collection!$B:$B, U$2)</f>
        <v>0</v>
      </c>
      <c r="V50" s="92">
        <f>SUMIFS(Collection!$J:$J, Collection!$A:$A, $A50, Collection!$B:$B, V$2)</f>
        <v>0</v>
      </c>
      <c r="W50" s="92">
        <f>SUMIFS(Collection!$J:$J, Collection!$A:$A, $A50, Collection!$B:$B, W$2)</f>
        <v>0</v>
      </c>
      <c r="X50" s="92">
        <f>SUMIFS(Collection!$J:$J, Collection!$A:$A, $A50, Collection!$B:$B, X$2)</f>
        <v>0</v>
      </c>
      <c r="Y50" s="92">
        <f>SUMIFS(Collection!$J:$J, Collection!$A:$A, $A50, Collection!$B:$B, Y$2)</f>
        <v>0</v>
      </c>
    </row>
    <row r="51" spans="1:25" s="58" customFormat="1" ht="16" thickBot="1">
      <c r="A51" s="100">
        <f t="shared" si="0"/>
        <v>42908</v>
      </c>
      <c r="B51" s="93">
        <f>SUMIFS(Collection!$J:$J, Collection!$A:$A, $A51, Collection!$B:$B, B$2)</f>
        <v>0</v>
      </c>
      <c r="C51" s="93">
        <f>SUMIFS(Collection!$J:$J, Collection!$A:$A, $A51, Collection!$B:$B, C$2)</f>
        <v>0</v>
      </c>
      <c r="D51" s="93">
        <f>SUMIFS(Collection!$J:$J, Collection!$A:$A, $A51, Collection!$B:$B, D$2)</f>
        <v>0</v>
      </c>
      <c r="E51" s="93">
        <f>SUMIFS(Collection!$J:$J, Collection!$A:$A, $A51, Collection!$B:$B, E$2)</f>
        <v>0</v>
      </c>
      <c r="F51" s="93">
        <f>SUMIFS(Collection!$J:$J, Collection!$A:$A, $A51, Collection!$B:$B, F$2)</f>
        <v>0</v>
      </c>
      <c r="G51" s="93">
        <f>SUMIFS(Collection!$J:$J, Collection!$A:$A, $A51, Collection!$B:$B, G$2)</f>
        <v>0</v>
      </c>
      <c r="H51" s="93">
        <f>SUMIFS(Collection!$J:$J, Collection!$A:$A, $A51, Collection!$B:$B, H$2)</f>
        <v>0</v>
      </c>
      <c r="I51" s="93">
        <f>SUMIFS(Collection!$J:$J, Collection!$A:$A, $A51, Collection!$B:$B, I$2)</f>
        <v>0</v>
      </c>
      <c r="J51" s="93">
        <f>SUMIFS(Collection!$J:$J, Collection!$A:$A, $A51, Collection!$B:$B, J$2)</f>
        <v>0</v>
      </c>
      <c r="K51" s="93">
        <f>SUMIFS(Collection!$J:$J, Collection!$A:$A, $A51, Collection!$B:$B, K$2)</f>
        <v>0</v>
      </c>
      <c r="L51" s="93">
        <f>SUMIFS(Collection!$J:$J, Collection!$A:$A, $A51, Collection!$B:$B, L$2)</f>
        <v>0</v>
      </c>
      <c r="M51" s="93">
        <f>SUMIFS(Collection!$J:$J, Collection!$A:$A, $A51, Collection!$B:$B, M$2)</f>
        <v>0</v>
      </c>
      <c r="N51" s="93">
        <f>SUMIFS(Collection!$J:$J, Collection!$A:$A, $A51, Collection!$B:$B, N$2)</f>
        <v>0</v>
      </c>
      <c r="O51" s="93">
        <f>SUMIFS(Collection!$J:$J, Collection!$A:$A, $A51, Collection!$B:$B, O$2)</f>
        <v>0</v>
      </c>
      <c r="P51" s="93">
        <f>SUMIFS(Collection!$J:$J, Collection!$A:$A, $A51, Collection!$B:$B, P$2)</f>
        <v>0</v>
      </c>
      <c r="Q51" s="93">
        <f>SUMIFS(Collection!$J:$J, Collection!$A:$A, $A51, Collection!$B:$B, Q$2)</f>
        <v>0</v>
      </c>
      <c r="R51" s="93">
        <f>SUMIFS(Collection!$J:$J, Collection!$A:$A, $A51, Collection!$B:$B, R$2)</f>
        <v>0</v>
      </c>
      <c r="S51" s="93">
        <f>SUMIFS(Collection!$J:$J, Collection!$A:$A, $A51, Collection!$B:$B, S$2)</f>
        <v>0</v>
      </c>
      <c r="T51" s="93">
        <f>SUMIFS(Collection!$J:$J, Collection!$A:$A, $A51, Collection!$B:$B, T$2)</f>
        <v>0</v>
      </c>
      <c r="U51" s="93">
        <f>SUMIFS(Collection!$J:$J, Collection!$A:$A, $A51, Collection!$B:$B, U$2)</f>
        <v>0</v>
      </c>
      <c r="V51" s="93">
        <f>SUMIFS(Collection!$J:$J, Collection!$A:$A, $A51, Collection!$B:$B, V$2)</f>
        <v>0</v>
      </c>
      <c r="W51" s="93">
        <f>SUMIFS(Collection!$J:$J, Collection!$A:$A, $A51, Collection!$B:$B, W$2)</f>
        <v>0</v>
      </c>
      <c r="X51" s="93">
        <f>SUMIFS(Collection!$J:$J, Collection!$A:$A, $A51, Collection!$B:$B, X$2)</f>
        <v>0</v>
      </c>
      <c r="Y51" s="93">
        <f>SUMIFS(Collection!$J:$J, Collection!$A:$A, $A51, Collection!$B:$B, Y$2)</f>
        <v>0</v>
      </c>
    </row>
    <row r="52" spans="1:25" s="57" customFormat="1">
      <c r="A52" s="99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</row>
    <row r="53" spans="1:25" s="57" customFormat="1">
      <c r="A53" s="99">
        <f>1+A51</f>
        <v>42909</v>
      </c>
      <c r="B53" s="92">
        <f>SUMIFS(Collection!$J:$J, Collection!$A:$A, $A53, Collection!$B:$B, B$2)</f>
        <v>0</v>
      </c>
      <c r="C53" s="92">
        <f>SUMIFS(Collection!$J:$J, Collection!$A:$A, $A53, Collection!$B:$B, C$2)</f>
        <v>0</v>
      </c>
      <c r="D53" s="92">
        <f>SUMIFS(Collection!$J:$J, Collection!$A:$A, $A53, Collection!$B:$B, D$2)</f>
        <v>0</v>
      </c>
      <c r="E53" s="92">
        <f>SUMIFS(Collection!$J:$J, Collection!$A:$A, $A53, Collection!$B:$B, E$2)</f>
        <v>0</v>
      </c>
      <c r="F53" s="92">
        <f>SUMIFS(Collection!$J:$J, Collection!$A:$A, $A53, Collection!$B:$B, F$2)</f>
        <v>0</v>
      </c>
      <c r="G53" s="92">
        <f>SUMIFS(Collection!$J:$J, Collection!$A:$A, $A53, Collection!$B:$B, G$2)</f>
        <v>0</v>
      </c>
      <c r="H53" s="92">
        <f>SUMIFS(Collection!$J:$J, Collection!$A:$A, $A53, Collection!$B:$B, H$2)</f>
        <v>0</v>
      </c>
      <c r="I53" s="92">
        <f>SUMIFS(Collection!$J:$J, Collection!$A:$A, $A53, Collection!$B:$B, I$2)</f>
        <v>0</v>
      </c>
      <c r="J53" s="92">
        <f>SUMIFS(Collection!$J:$J, Collection!$A:$A, $A53, Collection!$B:$B, J$2)</f>
        <v>0</v>
      </c>
      <c r="K53" s="92">
        <f>SUMIFS(Collection!$J:$J, Collection!$A:$A, $A53, Collection!$B:$B, K$2)</f>
        <v>0</v>
      </c>
      <c r="L53" s="92">
        <f>SUMIFS(Collection!$J:$J, Collection!$A:$A, $A53, Collection!$B:$B, L$2)</f>
        <v>0</v>
      </c>
      <c r="M53" s="92">
        <f>SUMIFS(Collection!$J:$J, Collection!$A:$A, $A53, Collection!$B:$B, M$2)</f>
        <v>0</v>
      </c>
      <c r="N53" s="92">
        <f>SUMIFS(Collection!$J:$J, Collection!$A:$A, $A53, Collection!$B:$B, N$2)</f>
        <v>0</v>
      </c>
      <c r="O53" s="92">
        <f>SUMIFS(Collection!$J:$J, Collection!$A:$A, $A53, Collection!$B:$B, O$2)</f>
        <v>0</v>
      </c>
      <c r="P53" s="92">
        <f>SUMIFS(Collection!$J:$J, Collection!$A:$A, $A53, Collection!$B:$B, P$2)</f>
        <v>0</v>
      </c>
      <c r="Q53" s="92">
        <f>SUMIFS(Collection!$J:$J, Collection!$A:$A, $A53, Collection!$B:$B, Q$2)</f>
        <v>0</v>
      </c>
      <c r="R53" s="92">
        <f>SUMIFS(Collection!$J:$J, Collection!$A:$A, $A53, Collection!$B:$B, R$2)</f>
        <v>0</v>
      </c>
      <c r="S53" s="92">
        <f>SUMIFS(Collection!$J:$J, Collection!$A:$A, $A53, Collection!$B:$B, S$2)</f>
        <v>0</v>
      </c>
      <c r="T53" s="92">
        <f>SUMIFS(Collection!$J:$J, Collection!$A:$A, $A53, Collection!$B:$B, T$2)</f>
        <v>0</v>
      </c>
      <c r="U53" s="92">
        <f>SUMIFS(Collection!$J:$J, Collection!$A:$A, $A53, Collection!$B:$B, U$2)</f>
        <v>0</v>
      </c>
      <c r="V53" s="92">
        <f>SUMIFS(Collection!$J:$J, Collection!$A:$A, $A53, Collection!$B:$B, V$2)</f>
        <v>0</v>
      </c>
      <c r="W53" s="92">
        <f>SUMIFS(Collection!$J:$J, Collection!$A:$A, $A53, Collection!$B:$B, W$2)</f>
        <v>0</v>
      </c>
      <c r="X53" s="92">
        <f>SUMIFS(Collection!$J:$J, Collection!$A:$A, $A53, Collection!$B:$B, X$2)</f>
        <v>0</v>
      </c>
      <c r="Y53" s="92">
        <f>SUMIFS(Collection!$J:$J, Collection!$A:$A, $A53, Collection!$B:$B, Y$2)</f>
        <v>0</v>
      </c>
    </row>
    <row r="54" spans="1:25" s="57" customFormat="1">
      <c r="A54" s="99">
        <f t="shared" si="0"/>
        <v>42910</v>
      </c>
      <c r="B54" s="92">
        <f>SUMIFS(Collection!$J:$J, Collection!$A:$A, $A54, Collection!$B:$B, B$2)</f>
        <v>0</v>
      </c>
      <c r="C54" s="92">
        <f>SUMIFS(Collection!$J:$J, Collection!$A:$A, $A54, Collection!$B:$B, C$2)</f>
        <v>0</v>
      </c>
      <c r="D54" s="92">
        <f>SUMIFS(Collection!$J:$J, Collection!$A:$A, $A54, Collection!$B:$B, D$2)</f>
        <v>0</v>
      </c>
      <c r="E54" s="92">
        <f>SUMIFS(Collection!$J:$J, Collection!$A:$A, $A54, Collection!$B:$B, E$2)</f>
        <v>0</v>
      </c>
      <c r="F54" s="92">
        <f>SUMIFS(Collection!$J:$J, Collection!$A:$A, $A54, Collection!$B:$B, F$2)</f>
        <v>0</v>
      </c>
      <c r="G54" s="92">
        <f>SUMIFS(Collection!$J:$J, Collection!$A:$A, $A54, Collection!$B:$B, G$2)</f>
        <v>0</v>
      </c>
      <c r="H54" s="92">
        <f>SUMIFS(Collection!$J:$J, Collection!$A:$A, $A54, Collection!$B:$B, H$2)</f>
        <v>0</v>
      </c>
      <c r="I54" s="92">
        <f>SUMIFS(Collection!$J:$J, Collection!$A:$A, $A54, Collection!$B:$B, I$2)</f>
        <v>0</v>
      </c>
      <c r="J54" s="92">
        <f>SUMIFS(Collection!$J:$J, Collection!$A:$A, $A54, Collection!$B:$B, J$2)</f>
        <v>0</v>
      </c>
      <c r="K54" s="92">
        <f>SUMIFS(Collection!$J:$J, Collection!$A:$A, $A54, Collection!$B:$B, K$2)</f>
        <v>0</v>
      </c>
      <c r="L54" s="92">
        <f>SUMIFS(Collection!$J:$J, Collection!$A:$A, $A54, Collection!$B:$B, L$2)</f>
        <v>0</v>
      </c>
      <c r="M54" s="92">
        <f>SUMIFS(Collection!$J:$J, Collection!$A:$A, $A54, Collection!$B:$B, M$2)</f>
        <v>0</v>
      </c>
      <c r="N54" s="92">
        <f>SUMIFS(Collection!$J:$J, Collection!$A:$A, $A54, Collection!$B:$B, N$2)</f>
        <v>0</v>
      </c>
      <c r="O54" s="92">
        <f>SUMIFS(Collection!$J:$J, Collection!$A:$A, $A54, Collection!$B:$B, O$2)</f>
        <v>0</v>
      </c>
      <c r="P54" s="92">
        <f>SUMIFS(Collection!$J:$J, Collection!$A:$A, $A54, Collection!$B:$B, P$2)</f>
        <v>0</v>
      </c>
      <c r="Q54" s="92">
        <f>SUMIFS(Collection!$J:$J, Collection!$A:$A, $A54, Collection!$B:$B, Q$2)</f>
        <v>0</v>
      </c>
      <c r="R54" s="92">
        <f>SUMIFS(Collection!$J:$J, Collection!$A:$A, $A54, Collection!$B:$B, R$2)</f>
        <v>0</v>
      </c>
      <c r="S54" s="92">
        <f>SUMIFS(Collection!$J:$J, Collection!$A:$A, $A54, Collection!$B:$B, S$2)</f>
        <v>0</v>
      </c>
      <c r="T54" s="92">
        <f>SUMIFS(Collection!$J:$J, Collection!$A:$A, $A54, Collection!$B:$B, T$2)</f>
        <v>0</v>
      </c>
      <c r="U54" s="92">
        <f>SUMIFS(Collection!$J:$J, Collection!$A:$A, $A54, Collection!$B:$B, U$2)</f>
        <v>0</v>
      </c>
      <c r="V54" s="92">
        <f>SUMIFS(Collection!$J:$J, Collection!$A:$A, $A54, Collection!$B:$B, V$2)</f>
        <v>0</v>
      </c>
      <c r="W54" s="92">
        <f>SUMIFS(Collection!$J:$J, Collection!$A:$A, $A54, Collection!$B:$B, W$2)</f>
        <v>0</v>
      </c>
      <c r="X54" s="92">
        <f>SUMIFS(Collection!$J:$J, Collection!$A:$A, $A54, Collection!$B:$B, X$2)</f>
        <v>0</v>
      </c>
      <c r="Y54" s="92">
        <f>SUMIFS(Collection!$J:$J, Collection!$A:$A, $A54, Collection!$B:$B, Y$2)</f>
        <v>0</v>
      </c>
    </row>
    <row r="55" spans="1:25" s="57" customFormat="1">
      <c r="A55" s="99">
        <f t="shared" si="0"/>
        <v>42911</v>
      </c>
      <c r="B55" s="92">
        <f>SUMIFS(Collection!$J:$J, Collection!$A:$A, $A55, Collection!$B:$B, B$2)</f>
        <v>0</v>
      </c>
      <c r="C55" s="92">
        <f>SUMIFS(Collection!$J:$J, Collection!$A:$A, $A55, Collection!$B:$B, C$2)</f>
        <v>0</v>
      </c>
      <c r="D55" s="92">
        <f>SUMIFS(Collection!$J:$J, Collection!$A:$A, $A55, Collection!$B:$B, D$2)</f>
        <v>0</v>
      </c>
      <c r="E55" s="92">
        <f>SUMIFS(Collection!$J:$J, Collection!$A:$A, $A55, Collection!$B:$B, E$2)</f>
        <v>0</v>
      </c>
      <c r="F55" s="92">
        <f>SUMIFS(Collection!$J:$J, Collection!$A:$A, $A55, Collection!$B:$B, F$2)</f>
        <v>0</v>
      </c>
      <c r="G55" s="92">
        <f>SUMIFS(Collection!$J:$J, Collection!$A:$A, $A55, Collection!$B:$B, G$2)</f>
        <v>0</v>
      </c>
      <c r="H55" s="92">
        <f>SUMIFS(Collection!$J:$J, Collection!$A:$A, $A55, Collection!$B:$B, H$2)</f>
        <v>0</v>
      </c>
      <c r="I55" s="92">
        <f>SUMIFS(Collection!$J:$J, Collection!$A:$A, $A55, Collection!$B:$B, I$2)</f>
        <v>0</v>
      </c>
      <c r="J55" s="92">
        <f>SUMIFS(Collection!$J:$J, Collection!$A:$A, $A55, Collection!$B:$B, J$2)</f>
        <v>0</v>
      </c>
      <c r="K55" s="92">
        <f>SUMIFS(Collection!$J:$J, Collection!$A:$A, $A55, Collection!$B:$B, K$2)</f>
        <v>0</v>
      </c>
      <c r="L55" s="92">
        <f>SUMIFS(Collection!$J:$J, Collection!$A:$A, $A55, Collection!$B:$B, L$2)</f>
        <v>0</v>
      </c>
      <c r="M55" s="92">
        <f>SUMIFS(Collection!$J:$J, Collection!$A:$A, $A55, Collection!$B:$B, M$2)</f>
        <v>0</v>
      </c>
      <c r="N55" s="92">
        <f>SUMIFS(Collection!$J:$J, Collection!$A:$A, $A55, Collection!$B:$B, N$2)</f>
        <v>0</v>
      </c>
      <c r="O55" s="92">
        <f>SUMIFS(Collection!$J:$J, Collection!$A:$A, $A55, Collection!$B:$B, O$2)</f>
        <v>0</v>
      </c>
      <c r="P55" s="92">
        <f>SUMIFS(Collection!$J:$J, Collection!$A:$A, $A55, Collection!$B:$B, P$2)</f>
        <v>0</v>
      </c>
      <c r="Q55" s="92">
        <f>SUMIFS(Collection!$J:$J, Collection!$A:$A, $A55, Collection!$B:$B, Q$2)</f>
        <v>0</v>
      </c>
      <c r="R55" s="92">
        <f>SUMIFS(Collection!$J:$J, Collection!$A:$A, $A55, Collection!$B:$B, R$2)</f>
        <v>0</v>
      </c>
      <c r="S55" s="92">
        <f>SUMIFS(Collection!$J:$J, Collection!$A:$A, $A55, Collection!$B:$B, S$2)</f>
        <v>0</v>
      </c>
      <c r="T55" s="92">
        <f>SUMIFS(Collection!$J:$J, Collection!$A:$A, $A55, Collection!$B:$B, T$2)</f>
        <v>0</v>
      </c>
      <c r="U55" s="92">
        <f>SUMIFS(Collection!$J:$J, Collection!$A:$A, $A55, Collection!$B:$B, U$2)</f>
        <v>0</v>
      </c>
      <c r="V55" s="92">
        <f>SUMIFS(Collection!$J:$J, Collection!$A:$A, $A55, Collection!$B:$B, V$2)</f>
        <v>0</v>
      </c>
      <c r="W55" s="92">
        <f>SUMIFS(Collection!$J:$J, Collection!$A:$A, $A55, Collection!$B:$B, W$2)</f>
        <v>0</v>
      </c>
      <c r="X55" s="92">
        <f>SUMIFS(Collection!$J:$J, Collection!$A:$A, $A55, Collection!$B:$B, X$2)</f>
        <v>0</v>
      </c>
      <c r="Y55" s="92">
        <f>SUMIFS(Collection!$J:$J, Collection!$A:$A, $A55, Collection!$B:$B, Y$2)</f>
        <v>0</v>
      </c>
    </row>
    <row r="56" spans="1:25" s="58" customFormat="1" ht="16" thickBot="1">
      <c r="A56" s="100">
        <f t="shared" si="0"/>
        <v>42912</v>
      </c>
      <c r="B56" s="93">
        <f>SUMIFS(Collection!$J:$J, Collection!$A:$A, $A56, Collection!$B:$B, B$2)</f>
        <v>0</v>
      </c>
      <c r="C56" s="93">
        <f>SUMIFS(Collection!$J:$J, Collection!$A:$A, $A56, Collection!$B:$B, C$2)</f>
        <v>0</v>
      </c>
      <c r="D56" s="93">
        <f>SUMIFS(Collection!$J:$J, Collection!$A:$A, $A56, Collection!$B:$B, D$2)</f>
        <v>0</v>
      </c>
      <c r="E56" s="93">
        <f>SUMIFS(Collection!$J:$J, Collection!$A:$A, $A56, Collection!$B:$B, E$2)</f>
        <v>0</v>
      </c>
      <c r="F56" s="93">
        <f>SUMIFS(Collection!$J:$J, Collection!$A:$A, $A56, Collection!$B:$B, F$2)</f>
        <v>0</v>
      </c>
      <c r="G56" s="93">
        <f>SUMIFS(Collection!$J:$J, Collection!$A:$A, $A56, Collection!$B:$B, G$2)</f>
        <v>0</v>
      </c>
      <c r="H56" s="93">
        <f>SUMIFS(Collection!$J:$J, Collection!$A:$A, $A56, Collection!$B:$B, H$2)</f>
        <v>0</v>
      </c>
      <c r="I56" s="93">
        <f>SUMIFS(Collection!$J:$J, Collection!$A:$A, $A56, Collection!$B:$B, I$2)</f>
        <v>0</v>
      </c>
      <c r="J56" s="93">
        <f>SUMIFS(Collection!$J:$J, Collection!$A:$A, $A56, Collection!$B:$B, J$2)</f>
        <v>0</v>
      </c>
      <c r="K56" s="93">
        <f>SUMIFS(Collection!$J:$J, Collection!$A:$A, $A56, Collection!$B:$B, K$2)</f>
        <v>0</v>
      </c>
      <c r="L56" s="93">
        <f>SUMIFS(Collection!$J:$J, Collection!$A:$A, $A56, Collection!$B:$B, L$2)</f>
        <v>0</v>
      </c>
      <c r="M56" s="93">
        <f>SUMIFS(Collection!$J:$J, Collection!$A:$A, $A56, Collection!$B:$B, M$2)</f>
        <v>0</v>
      </c>
      <c r="N56" s="93">
        <f>SUMIFS(Collection!$J:$J, Collection!$A:$A, $A56, Collection!$B:$B, N$2)</f>
        <v>0</v>
      </c>
      <c r="O56" s="93">
        <f>SUMIFS(Collection!$J:$J, Collection!$A:$A, $A56, Collection!$B:$B, O$2)</f>
        <v>0</v>
      </c>
      <c r="P56" s="93">
        <f>SUMIFS(Collection!$J:$J, Collection!$A:$A, $A56, Collection!$B:$B, P$2)</f>
        <v>0</v>
      </c>
      <c r="Q56" s="93">
        <f>SUMIFS(Collection!$J:$J, Collection!$A:$A, $A56, Collection!$B:$B, Q$2)</f>
        <v>0</v>
      </c>
      <c r="R56" s="93">
        <f>SUMIFS(Collection!$J:$J, Collection!$A:$A, $A56, Collection!$B:$B, R$2)</f>
        <v>0</v>
      </c>
      <c r="S56" s="93">
        <f>SUMIFS(Collection!$J:$J, Collection!$A:$A, $A56, Collection!$B:$B, S$2)</f>
        <v>0</v>
      </c>
      <c r="T56" s="93">
        <f>SUMIFS(Collection!$J:$J, Collection!$A:$A, $A56, Collection!$B:$B, T$2)</f>
        <v>0</v>
      </c>
      <c r="U56" s="93">
        <f>SUMIFS(Collection!$J:$J, Collection!$A:$A, $A56, Collection!$B:$B, U$2)</f>
        <v>0</v>
      </c>
      <c r="V56" s="93">
        <f>SUMIFS(Collection!$J:$J, Collection!$A:$A, $A56, Collection!$B:$B, V$2)</f>
        <v>0</v>
      </c>
      <c r="W56" s="93">
        <f>SUMIFS(Collection!$J:$J, Collection!$A:$A, $A56, Collection!$B:$B, W$2)</f>
        <v>0</v>
      </c>
      <c r="X56" s="93">
        <f>SUMIFS(Collection!$J:$J, Collection!$A:$A, $A56, Collection!$B:$B, X$2)</f>
        <v>0</v>
      </c>
      <c r="Y56" s="93">
        <f>SUMIFS(Collection!$J:$J, Collection!$A:$A, $A56, Collection!$B:$B, Y$2)</f>
        <v>0</v>
      </c>
    </row>
    <row r="57" spans="1:25" s="57" customFormat="1">
      <c r="A57" s="99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</row>
    <row r="58" spans="1:25" s="57" customFormat="1">
      <c r="A58" s="99">
        <f>1+A56</f>
        <v>42913</v>
      </c>
      <c r="B58" s="92">
        <f>SUMIFS(Collection!$J:$J, Collection!$A:$A, $A58, Collection!$B:$B, B$2)</f>
        <v>0</v>
      </c>
      <c r="C58" s="92">
        <f>SUMIFS(Collection!$J:$J, Collection!$A:$A, $A58, Collection!$B:$B, C$2)</f>
        <v>0</v>
      </c>
      <c r="D58" s="92">
        <f>SUMIFS(Collection!$J:$J, Collection!$A:$A, $A58, Collection!$B:$B, D$2)</f>
        <v>0</v>
      </c>
      <c r="E58" s="92">
        <f>SUMIFS(Collection!$J:$J, Collection!$A:$A, $A58, Collection!$B:$B, E$2)</f>
        <v>0</v>
      </c>
      <c r="F58" s="92">
        <f>SUMIFS(Collection!$J:$J, Collection!$A:$A, $A58, Collection!$B:$B, F$2)</f>
        <v>0</v>
      </c>
      <c r="G58" s="92">
        <f>SUMIFS(Collection!$J:$J, Collection!$A:$A, $A58, Collection!$B:$B, G$2)</f>
        <v>0</v>
      </c>
      <c r="H58" s="92">
        <f>SUMIFS(Collection!$J:$J, Collection!$A:$A, $A58, Collection!$B:$B, H$2)</f>
        <v>0</v>
      </c>
      <c r="I58" s="92">
        <f>SUMIFS(Collection!$J:$J, Collection!$A:$A, $A58, Collection!$B:$B, I$2)</f>
        <v>0</v>
      </c>
      <c r="J58" s="92">
        <f>SUMIFS(Collection!$J:$J, Collection!$A:$A, $A58, Collection!$B:$B, J$2)</f>
        <v>0</v>
      </c>
      <c r="K58" s="92">
        <f>SUMIFS(Collection!$J:$J, Collection!$A:$A, $A58, Collection!$B:$B, K$2)</f>
        <v>0</v>
      </c>
      <c r="L58" s="92">
        <f>SUMIFS(Collection!$J:$J, Collection!$A:$A, $A58, Collection!$B:$B, L$2)</f>
        <v>0</v>
      </c>
      <c r="M58" s="92">
        <f>SUMIFS(Collection!$J:$J, Collection!$A:$A, $A58, Collection!$B:$B, M$2)</f>
        <v>0</v>
      </c>
      <c r="N58" s="92">
        <f>SUMIFS(Collection!$J:$J, Collection!$A:$A, $A58, Collection!$B:$B, N$2)</f>
        <v>0</v>
      </c>
      <c r="O58" s="92">
        <f>SUMIFS(Collection!$J:$J, Collection!$A:$A, $A58, Collection!$B:$B, O$2)</f>
        <v>0</v>
      </c>
      <c r="P58" s="92">
        <f>SUMIFS(Collection!$J:$J, Collection!$A:$A, $A58, Collection!$B:$B, P$2)</f>
        <v>0</v>
      </c>
      <c r="Q58" s="92">
        <f>SUMIFS(Collection!$J:$J, Collection!$A:$A, $A58, Collection!$B:$B, Q$2)</f>
        <v>0</v>
      </c>
      <c r="R58" s="92">
        <f>SUMIFS(Collection!$J:$J, Collection!$A:$A, $A58, Collection!$B:$B, R$2)</f>
        <v>0</v>
      </c>
      <c r="S58" s="92">
        <f>SUMIFS(Collection!$J:$J, Collection!$A:$A, $A58, Collection!$B:$B, S$2)</f>
        <v>0</v>
      </c>
      <c r="T58" s="92">
        <f>SUMIFS(Collection!$J:$J, Collection!$A:$A, $A58, Collection!$B:$B, T$2)</f>
        <v>0</v>
      </c>
      <c r="U58" s="92">
        <f>SUMIFS(Collection!$J:$J, Collection!$A:$A, $A58, Collection!$B:$B, U$2)</f>
        <v>0</v>
      </c>
      <c r="V58" s="92">
        <f>SUMIFS(Collection!$J:$J, Collection!$A:$A, $A58, Collection!$B:$B, V$2)</f>
        <v>0</v>
      </c>
      <c r="W58" s="92">
        <f>SUMIFS(Collection!$J:$J, Collection!$A:$A, $A58, Collection!$B:$B, W$2)</f>
        <v>0</v>
      </c>
      <c r="X58" s="92">
        <f>SUMIFS(Collection!$J:$J, Collection!$A:$A, $A58, Collection!$B:$B, X$2)</f>
        <v>0</v>
      </c>
      <c r="Y58" s="92">
        <f>SUMIFS(Collection!$J:$J, Collection!$A:$A, $A58, Collection!$B:$B, Y$2)</f>
        <v>0</v>
      </c>
    </row>
    <row r="59" spans="1:25" s="57" customFormat="1">
      <c r="A59" s="99">
        <f t="shared" si="0"/>
        <v>42914</v>
      </c>
      <c r="B59" s="92">
        <f>SUMIFS(Collection!$J:$J, Collection!$A:$A, $A59, Collection!$B:$B, B$2)</f>
        <v>0</v>
      </c>
      <c r="C59" s="92">
        <f>SUMIFS(Collection!$J:$J, Collection!$A:$A, $A59, Collection!$B:$B, C$2)</f>
        <v>0</v>
      </c>
      <c r="D59" s="92">
        <f>SUMIFS(Collection!$J:$J, Collection!$A:$A, $A59, Collection!$B:$B, D$2)</f>
        <v>0</v>
      </c>
      <c r="E59" s="92">
        <f>SUMIFS(Collection!$J:$J, Collection!$A:$A, $A59, Collection!$B:$B, E$2)</f>
        <v>0</v>
      </c>
      <c r="F59" s="92">
        <f>SUMIFS(Collection!$J:$J, Collection!$A:$A, $A59, Collection!$B:$B, F$2)</f>
        <v>0</v>
      </c>
      <c r="G59" s="92">
        <f>SUMIFS(Collection!$J:$J, Collection!$A:$A, $A59, Collection!$B:$B, G$2)</f>
        <v>0</v>
      </c>
      <c r="H59" s="92">
        <f>SUMIFS(Collection!$J:$J, Collection!$A:$A, $A59, Collection!$B:$B, H$2)</f>
        <v>0</v>
      </c>
      <c r="I59" s="92">
        <f>SUMIFS(Collection!$J:$J, Collection!$A:$A, $A59, Collection!$B:$B, I$2)</f>
        <v>0</v>
      </c>
      <c r="J59" s="92">
        <f>SUMIFS(Collection!$J:$J, Collection!$A:$A, $A59, Collection!$B:$B, J$2)</f>
        <v>0</v>
      </c>
      <c r="K59" s="92">
        <f>SUMIFS(Collection!$J:$J, Collection!$A:$A, $A59, Collection!$B:$B, K$2)</f>
        <v>0</v>
      </c>
      <c r="L59" s="92">
        <f>SUMIFS(Collection!$J:$J, Collection!$A:$A, $A59, Collection!$B:$B, L$2)</f>
        <v>0</v>
      </c>
      <c r="M59" s="92">
        <f>SUMIFS(Collection!$J:$J, Collection!$A:$A, $A59, Collection!$B:$B, M$2)</f>
        <v>0</v>
      </c>
      <c r="N59" s="92">
        <f>SUMIFS(Collection!$J:$J, Collection!$A:$A, $A59, Collection!$B:$B, N$2)</f>
        <v>0</v>
      </c>
      <c r="O59" s="92">
        <f>SUMIFS(Collection!$J:$J, Collection!$A:$A, $A59, Collection!$B:$B, O$2)</f>
        <v>0</v>
      </c>
      <c r="P59" s="92">
        <f>SUMIFS(Collection!$J:$J, Collection!$A:$A, $A59, Collection!$B:$B, P$2)</f>
        <v>0</v>
      </c>
      <c r="Q59" s="92">
        <f>SUMIFS(Collection!$J:$J, Collection!$A:$A, $A59, Collection!$B:$B, Q$2)</f>
        <v>0</v>
      </c>
      <c r="R59" s="92">
        <f>SUMIFS(Collection!$J:$J, Collection!$A:$A, $A59, Collection!$B:$B, R$2)</f>
        <v>0</v>
      </c>
      <c r="S59" s="92">
        <f>SUMIFS(Collection!$J:$J, Collection!$A:$A, $A59, Collection!$B:$B, S$2)</f>
        <v>0</v>
      </c>
      <c r="T59" s="92">
        <f>SUMIFS(Collection!$J:$J, Collection!$A:$A, $A59, Collection!$B:$B, T$2)</f>
        <v>0</v>
      </c>
      <c r="U59" s="92">
        <f>SUMIFS(Collection!$J:$J, Collection!$A:$A, $A59, Collection!$B:$B, U$2)</f>
        <v>0</v>
      </c>
      <c r="V59" s="92">
        <f>SUMIFS(Collection!$J:$J, Collection!$A:$A, $A59, Collection!$B:$B, V$2)</f>
        <v>0</v>
      </c>
      <c r="W59" s="92">
        <f>SUMIFS(Collection!$J:$J, Collection!$A:$A, $A59, Collection!$B:$B, W$2)</f>
        <v>0</v>
      </c>
      <c r="X59" s="92">
        <f>SUMIFS(Collection!$J:$J, Collection!$A:$A, $A59, Collection!$B:$B, X$2)</f>
        <v>0</v>
      </c>
      <c r="Y59" s="92">
        <f>SUMIFS(Collection!$J:$J, Collection!$A:$A, $A59, Collection!$B:$B, Y$2)</f>
        <v>0</v>
      </c>
    </row>
    <row r="60" spans="1:25" s="58" customFormat="1" ht="16" thickBot="1">
      <c r="A60" s="100">
        <f t="shared" si="0"/>
        <v>42915</v>
      </c>
      <c r="B60" s="93">
        <f>SUMIFS(Collection!$J:$J, Collection!$A:$A, $A60, Collection!$B:$B, B$2)</f>
        <v>0</v>
      </c>
      <c r="C60" s="93">
        <f>SUMIFS(Collection!$J:$J, Collection!$A:$A, $A60, Collection!$B:$B, C$2)</f>
        <v>0</v>
      </c>
      <c r="D60" s="93">
        <f>SUMIFS(Collection!$J:$J, Collection!$A:$A, $A60, Collection!$B:$B, D$2)</f>
        <v>0</v>
      </c>
      <c r="E60" s="93">
        <f>SUMIFS(Collection!$J:$J, Collection!$A:$A, $A60, Collection!$B:$B, E$2)</f>
        <v>0</v>
      </c>
      <c r="F60" s="93">
        <f>SUMIFS(Collection!$J:$J, Collection!$A:$A, $A60, Collection!$B:$B, F$2)</f>
        <v>0</v>
      </c>
      <c r="G60" s="93">
        <f>SUMIFS(Collection!$J:$J, Collection!$A:$A, $A60, Collection!$B:$B, G$2)</f>
        <v>0</v>
      </c>
      <c r="H60" s="93">
        <f>SUMIFS(Collection!$J:$J, Collection!$A:$A, $A60, Collection!$B:$B, H$2)</f>
        <v>0</v>
      </c>
      <c r="I60" s="93">
        <f>SUMIFS(Collection!$J:$J, Collection!$A:$A, $A60, Collection!$B:$B, I$2)</f>
        <v>0</v>
      </c>
      <c r="J60" s="93">
        <f>SUMIFS(Collection!$J:$J, Collection!$A:$A, $A60, Collection!$B:$B, J$2)</f>
        <v>0</v>
      </c>
      <c r="K60" s="93">
        <f>SUMIFS(Collection!$J:$J, Collection!$A:$A, $A60, Collection!$B:$B, K$2)</f>
        <v>0</v>
      </c>
      <c r="L60" s="93">
        <f>SUMIFS(Collection!$J:$J, Collection!$A:$A, $A60, Collection!$B:$B, L$2)</f>
        <v>0</v>
      </c>
      <c r="M60" s="93">
        <f>SUMIFS(Collection!$J:$J, Collection!$A:$A, $A60, Collection!$B:$B, M$2)</f>
        <v>0</v>
      </c>
      <c r="N60" s="93">
        <f>SUMIFS(Collection!$J:$J, Collection!$A:$A, $A60, Collection!$B:$B, N$2)</f>
        <v>0</v>
      </c>
      <c r="O60" s="93">
        <f>SUMIFS(Collection!$J:$J, Collection!$A:$A, $A60, Collection!$B:$B, O$2)</f>
        <v>0</v>
      </c>
      <c r="P60" s="93">
        <f>SUMIFS(Collection!$J:$J, Collection!$A:$A, $A60, Collection!$B:$B, P$2)</f>
        <v>0</v>
      </c>
      <c r="Q60" s="93">
        <f>SUMIFS(Collection!$J:$J, Collection!$A:$A, $A60, Collection!$B:$B, Q$2)</f>
        <v>0</v>
      </c>
      <c r="R60" s="93">
        <f>SUMIFS(Collection!$J:$J, Collection!$A:$A, $A60, Collection!$B:$B, R$2)</f>
        <v>0</v>
      </c>
      <c r="S60" s="93">
        <f>SUMIFS(Collection!$J:$J, Collection!$A:$A, $A60, Collection!$B:$B, S$2)</f>
        <v>0</v>
      </c>
      <c r="T60" s="93">
        <f>SUMIFS(Collection!$J:$J, Collection!$A:$A, $A60, Collection!$B:$B, T$2)</f>
        <v>0</v>
      </c>
      <c r="U60" s="93">
        <f>SUMIFS(Collection!$J:$J, Collection!$A:$A, $A60, Collection!$B:$B, U$2)</f>
        <v>0</v>
      </c>
      <c r="V60" s="93">
        <f>SUMIFS(Collection!$J:$J, Collection!$A:$A, $A60, Collection!$B:$B, V$2)</f>
        <v>0</v>
      </c>
      <c r="W60" s="93">
        <f>SUMIFS(Collection!$J:$J, Collection!$A:$A, $A60, Collection!$B:$B, W$2)</f>
        <v>0</v>
      </c>
      <c r="X60" s="93">
        <f>SUMIFS(Collection!$J:$J, Collection!$A:$A, $A60, Collection!$B:$B, X$2)</f>
        <v>0</v>
      </c>
      <c r="Y60" s="93">
        <f>SUMIFS(Collection!$J:$J, Collection!$A:$A, $A60, Collection!$B:$B, Y$2)</f>
        <v>0</v>
      </c>
    </row>
    <row r="61" spans="1:25" s="57" customFormat="1">
      <c r="A61" s="99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 spans="1:25" s="57" customFormat="1">
      <c r="A62" s="99">
        <f>1+A60</f>
        <v>42916</v>
      </c>
      <c r="B62" s="92">
        <f>SUMIFS(Collection!$J:$J, Collection!$A:$A, $A62, Collection!$B:$B, B$2)</f>
        <v>0</v>
      </c>
      <c r="C62" s="92">
        <f>SUMIFS(Collection!$J:$J, Collection!$A:$A, $A62, Collection!$B:$B, C$2)</f>
        <v>0</v>
      </c>
      <c r="D62" s="92">
        <f>SUMIFS(Collection!$J:$J, Collection!$A:$A, $A62, Collection!$B:$B, D$2)</f>
        <v>0</v>
      </c>
      <c r="E62" s="92">
        <f>SUMIFS(Collection!$J:$J, Collection!$A:$A, $A62, Collection!$B:$B, E$2)</f>
        <v>0</v>
      </c>
      <c r="F62" s="92">
        <f>SUMIFS(Collection!$J:$J, Collection!$A:$A, $A62, Collection!$B:$B, F$2)</f>
        <v>0</v>
      </c>
      <c r="G62" s="92">
        <f>SUMIFS(Collection!$J:$J, Collection!$A:$A, $A62, Collection!$B:$B, G$2)</f>
        <v>0</v>
      </c>
      <c r="H62" s="92">
        <f>SUMIFS(Collection!$J:$J, Collection!$A:$A, $A62, Collection!$B:$B, H$2)</f>
        <v>0</v>
      </c>
      <c r="I62" s="92">
        <f>SUMIFS(Collection!$J:$J, Collection!$A:$A, $A62, Collection!$B:$B, I$2)</f>
        <v>0</v>
      </c>
      <c r="J62" s="92">
        <f>SUMIFS(Collection!$J:$J, Collection!$A:$A, $A62, Collection!$B:$B, J$2)</f>
        <v>0</v>
      </c>
      <c r="K62" s="92">
        <f>SUMIFS(Collection!$J:$J, Collection!$A:$A, $A62, Collection!$B:$B, K$2)</f>
        <v>0</v>
      </c>
      <c r="L62" s="92">
        <f>SUMIFS(Collection!$J:$J, Collection!$A:$A, $A62, Collection!$B:$B, L$2)</f>
        <v>0</v>
      </c>
      <c r="M62" s="92">
        <f>SUMIFS(Collection!$J:$J, Collection!$A:$A, $A62, Collection!$B:$B, M$2)</f>
        <v>0</v>
      </c>
      <c r="N62" s="92">
        <f>SUMIFS(Collection!$J:$J, Collection!$A:$A, $A62, Collection!$B:$B, N$2)</f>
        <v>0</v>
      </c>
      <c r="O62" s="92">
        <f>SUMIFS(Collection!$J:$J, Collection!$A:$A, $A62, Collection!$B:$B, O$2)</f>
        <v>0</v>
      </c>
      <c r="P62" s="92">
        <f>SUMIFS(Collection!$J:$J, Collection!$A:$A, $A62, Collection!$B:$B, P$2)</f>
        <v>0</v>
      </c>
      <c r="Q62" s="92">
        <f>SUMIFS(Collection!$J:$J, Collection!$A:$A, $A62, Collection!$B:$B, Q$2)</f>
        <v>0</v>
      </c>
      <c r="R62" s="92">
        <f>SUMIFS(Collection!$J:$J, Collection!$A:$A, $A62, Collection!$B:$B, R$2)</f>
        <v>0</v>
      </c>
      <c r="S62" s="92">
        <f>SUMIFS(Collection!$J:$J, Collection!$A:$A, $A62, Collection!$B:$B, S$2)</f>
        <v>0</v>
      </c>
      <c r="T62" s="92">
        <f>SUMIFS(Collection!$J:$J, Collection!$A:$A, $A62, Collection!$B:$B, T$2)</f>
        <v>0</v>
      </c>
      <c r="U62" s="92">
        <f>SUMIFS(Collection!$J:$J, Collection!$A:$A, $A62, Collection!$B:$B, U$2)</f>
        <v>0</v>
      </c>
      <c r="V62" s="92">
        <f>SUMIFS(Collection!$J:$J, Collection!$A:$A, $A62, Collection!$B:$B, V$2)</f>
        <v>0</v>
      </c>
      <c r="W62" s="92">
        <f>SUMIFS(Collection!$J:$J, Collection!$A:$A, $A62, Collection!$B:$B, W$2)</f>
        <v>0</v>
      </c>
      <c r="X62" s="92">
        <f>SUMIFS(Collection!$J:$J, Collection!$A:$A, $A62, Collection!$B:$B, X$2)</f>
        <v>0</v>
      </c>
      <c r="Y62" s="92">
        <f>SUMIFS(Collection!$J:$J, Collection!$A:$A, $A62, Collection!$B:$B, Y$2)</f>
        <v>0</v>
      </c>
    </row>
    <row r="63" spans="1:25" s="57" customFormat="1">
      <c r="A63" s="99">
        <f t="shared" si="0"/>
        <v>42917</v>
      </c>
      <c r="B63" s="92">
        <f>SUMIFS(Collection!$J:$J, Collection!$A:$A, $A63, Collection!$B:$B, B$2)</f>
        <v>0</v>
      </c>
      <c r="C63" s="92">
        <f>SUMIFS(Collection!$J:$J, Collection!$A:$A, $A63, Collection!$B:$B, C$2)</f>
        <v>0</v>
      </c>
      <c r="D63" s="92">
        <f>SUMIFS(Collection!$J:$J, Collection!$A:$A, $A63, Collection!$B:$B, D$2)</f>
        <v>0</v>
      </c>
      <c r="E63" s="92">
        <f>SUMIFS(Collection!$J:$J, Collection!$A:$A, $A63, Collection!$B:$B, E$2)</f>
        <v>0</v>
      </c>
      <c r="F63" s="92">
        <f>SUMIFS(Collection!$J:$J, Collection!$A:$A, $A63, Collection!$B:$B, F$2)</f>
        <v>0</v>
      </c>
      <c r="G63" s="92">
        <f>SUMIFS(Collection!$J:$J, Collection!$A:$A, $A63, Collection!$B:$B, G$2)</f>
        <v>0</v>
      </c>
      <c r="H63" s="92">
        <f>SUMIFS(Collection!$J:$J, Collection!$A:$A, $A63, Collection!$B:$B, H$2)</f>
        <v>0</v>
      </c>
      <c r="I63" s="92">
        <f>SUMIFS(Collection!$J:$J, Collection!$A:$A, $A63, Collection!$B:$B, I$2)</f>
        <v>0</v>
      </c>
      <c r="J63" s="92">
        <f>SUMIFS(Collection!$J:$J, Collection!$A:$A, $A63, Collection!$B:$B, J$2)</f>
        <v>0</v>
      </c>
      <c r="K63" s="92">
        <f>SUMIFS(Collection!$J:$J, Collection!$A:$A, $A63, Collection!$B:$B, K$2)</f>
        <v>0</v>
      </c>
      <c r="L63" s="92">
        <f>SUMIFS(Collection!$J:$J, Collection!$A:$A, $A63, Collection!$B:$B, L$2)</f>
        <v>0</v>
      </c>
      <c r="M63" s="92">
        <f>SUMIFS(Collection!$J:$J, Collection!$A:$A, $A63, Collection!$B:$B, M$2)</f>
        <v>0</v>
      </c>
      <c r="N63" s="92">
        <f>SUMIFS(Collection!$J:$J, Collection!$A:$A, $A63, Collection!$B:$B, N$2)</f>
        <v>0</v>
      </c>
      <c r="O63" s="92">
        <f>SUMIFS(Collection!$J:$J, Collection!$A:$A, $A63, Collection!$B:$B, O$2)</f>
        <v>0</v>
      </c>
      <c r="P63" s="92">
        <f>SUMIFS(Collection!$J:$J, Collection!$A:$A, $A63, Collection!$B:$B, P$2)</f>
        <v>0</v>
      </c>
      <c r="Q63" s="92">
        <f>SUMIFS(Collection!$J:$J, Collection!$A:$A, $A63, Collection!$B:$B, Q$2)</f>
        <v>0</v>
      </c>
      <c r="R63" s="92">
        <f>SUMIFS(Collection!$J:$J, Collection!$A:$A, $A63, Collection!$B:$B, R$2)</f>
        <v>0</v>
      </c>
      <c r="S63" s="92">
        <f>SUMIFS(Collection!$J:$J, Collection!$A:$A, $A63, Collection!$B:$B, S$2)</f>
        <v>0</v>
      </c>
      <c r="T63" s="92">
        <f>SUMIFS(Collection!$J:$J, Collection!$A:$A, $A63, Collection!$B:$B, T$2)</f>
        <v>0</v>
      </c>
      <c r="U63" s="92">
        <f>SUMIFS(Collection!$J:$J, Collection!$A:$A, $A63, Collection!$B:$B, U$2)</f>
        <v>0</v>
      </c>
      <c r="V63" s="92">
        <f>SUMIFS(Collection!$J:$J, Collection!$A:$A, $A63, Collection!$B:$B, V$2)</f>
        <v>0</v>
      </c>
      <c r="W63" s="92">
        <f>SUMIFS(Collection!$J:$J, Collection!$A:$A, $A63, Collection!$B:$B, W$2)</f>
        <v>0</v>
      </c>
      <c r="X63" s="92">
        <f>SUMIFS(Collection!$J:$J, Collection!$A:$A, $A63, Collection!$B:$B, X$2)</f>
        <v>0</v>
      </c>
      <c r="Y63" s="92">
        <f>SUMIFS(Collection!$J:$J, Collection!$A:$A, $A63, Collection!$B:$B, Y$2)</f>
        <v>0</v>
      </c>
    </row>
    <row r="64" spans="1:25" s="58" customFormat="1" ht="16" thickBot="1">
      <c r="A64" s="100">
        <f t="shared" si="0"/>
        <v>42918</v>
      </c>
      <c r="B64" s="93">
        <f>SUMIFS(Collection!$J:$J, Collection!$A:$A, $A64, Collection!$B:$B, B$2)</f>
        <v>0</v>
      </c>
      <c r="C64" s="93">
        <f>SUMIFS(Collection!$J:$J, Collection!$A:$A, $A64, Collection!$B:$B, C$2)</f>
        <v>0</v>
      </c>
      <c r="D64" s="93">
        <f>SUMIFS(Collection!$J:$J, Collection!$A:$A, $A64, Collection!$B:$B, D$2)</f>
        <v>0</v>
      </c>
      <c r="E64" s="93">
        <f>SUMIFS(Collection!$J:$J, Collection!$A:$A, $A64, Collection!$B:$B, E$2)</f>
        <v>0</v>
      </c>
      <c r="F64" s="93">
        <f>SUMIFS(Collection!$J:$J, Collection!$A:$A, $A64, Collection!$B:$B, F$2)</f>
        <v>0</v>
      </c>
      <c r="G64" s="93">
        <f>SUMIFS(Collection!$J:$J, Collection!$A:$A, $A64, Collection!$B:$B, G$2)</f>
        <v>0</v>
      </c>
      <c r="H64" s="93">
        <f>SUMIFS(Collection!$J:$J, Collection!$A:$A, $A64, Collection!$B:$B, H$2)</f>
        <v>0</v>
      </c>
      <c r="I64" s="93">
        <f>SUMIFS(Collection!$J:$J, Collection!$A:$A, $A64, Collection!$B:$B, I$2)</f>
        <v>0</v>
      </c>
      <c r="J64" s="93">
        <f>SUMIFS(Collection!$J:$J, Collection!$A:$A, $A64, Collection!$B:$B, J$2)</f>
        <v>0</v>
      </c>
      <c r="K64" s="93">
        <f>SUMIFS(Collection!$J:$J, Collection!$A:$A, $A64, Collection!$B:$B, K$2)</f>
        <v>0</v>
      </c>
      <c r="L64" s="93">
        <f>SUMIFS(Collection!$J:$J, Collection!$A:$A, $A64, Collection!$B:$B, L$2)</f>
        <v>0</v>
      </c>
      <c r="M64" s="93">
        <f>SUMIFS(Collection!$J:$J, Collection!$A:$A, $A64, Collection!$B:$B, M$2)</f>
        <v>0</v>
      </c>
      <c r="N64" s="93">
        <f>SUMIFS(Collection!$J:$J, Collection!$A:$A, $A64, Collection!$B:$B, N$2)</f>
        <v>0</v>
      </c>
      <c r="O64" s="93">
        <f>SUMIFS(Collection!$J:$J, Collection!$A:$A, $A64, Collection!$B:$B, O$2)</f>
        <v>0</v>
      </c>
      <c r="P64" s="93">
        <f>SUMIFS(Collection!$J:$J, Collection!$A:$A, $A64, Collection!$B:$B, P$2)</f>
        <v>0</v>
      </c>
      <c r="Q64" s="93">
        <f>SUMIFS(Collection!$J:$J, Collection!$A:$A, $A64, Collection!$B:$B, Q$2)</f>
        <v>0</v>
      </c>
      <c r="R64" s="93">
        <f>SUMIFS(Collection!$J:$J, Collection!$A:$A, $A64, Collection!$B:$B, R$2)</f>
        <v>0</v>
      </c>
      <c r="S64" s="93">
        <f>SUMIFS(Collection!$J:$J, Collection!$A:$A, $A64, Collection!$B:$B, S$2)</f>
        <v>0</v>
      </c>
      <c r="T64" s="93">
        <f>SUMIFS(Collection!$J:$J, Collection!$A:$A, $A64, Collection!$B:$B, T$2)</f>
        <v>0</v>
      </c>
      <c r="U64" s="93">
        <f>SUMIFS(Collection!$J:$J, Collection!$A:$A, $A64, Collection!$B:$B, U$2)</f>
        <v>0</v>
      </c>
      <c r="V64" s="93">
        <f>SUMIFS(Collection!$J:$J, Collection!$A:$A, $A64, Collection!$B:$B, V$2)</f>
        <v>0</v>
      </c>
      <c r="W64" s="93">
        <f>SUMIFS(Collection!$J:$J, Collection!$A:$A, $A64, Collection!$B:$B, W$2)</f>
        <v>0</v>
      </c>
      <c r="X64" s="93">
        <f>SUMIFS(Collection!$J:$J, Collection!$A:$A, $A64, Collection!$B:$B, X$2)</f>
        <v>0</v>
      </c>
      <c r="Y64" s="93">
        <f>SUMIFS(Collection!$J:$J, Collection!$A:$A, $A64, Collection!$B:$B, Y$2)</f>
        <v>0</v>
      </c>
    </row>
    <row r="65" spans="1:25" s="57" customFormat="1">
      <c r="A65" s="99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</row>
    <row r="66" spans="1:25" s="57" customFormat="1">
      <c r="A66" s="99">
        <f>1+A64</f>
        <v>42919</v>
      </c>
      <c r="B66" s="92">
        <f>SUMIFS(Collection!$J:$J, Collection!$A:$A, $A66, Collection!$B:$B, B$2)</f>
        <v>0</v>
      </c>
      <c r="C66" s="92">
        <f>SUMIFS(Collection!$J:$J, Collection!$A:$A, $A66, Collection!$B:$B, C$2)</f>
        <v>0</v>
      </c>
      <c r="D66" s="92">
        <f>SUMIFS(Collection!$J:$J, Collection!$A:$A, $A66, Collection!$B:$B, D$2)</f>
        <v>0</v>
      </c>
      <c r="E66" s="92">
        <f>SUMIFS(Collection!$J:$J, Collection!$A:$A, $A66, Collection!$B:$B, E$2)</f>
        <v>0</v>
      </c>
      <c r="F66" s="92">
        <f>SUMIFS(Collection!$J:$J, Collection!$A:$A, $A66, Collection!$B:$B, F$2)</f>
        <v>0</v>
      </c>
      <c r="G66" s="92">
        <f>SUMIFS(Collection!$J:$J, Collection!$A:$A, $A66, Collection!$B:$B, G$2)</f>
        <v>0</v>
      </c>
      <c r="H66" s="92">
        <f>SUMIFS(Collection!$J:$J, Collection!$A:$A, $A66, Collection!$B:$B, H$2)</f>
        <v>0</v>
      </c>
      <c r="I66" s="92">
        <f>SUMIFS(Collection!$J:$J, Collection!$A:$A, $A66, Collection!$B:$B, I$2)</f>
        <v>0</v>
      </c>
      <c r="J66" s="92">
        <f>SUMIFS(Collection!$J:$J, Collection!$A:$A, $A66, Collection!$B:$B, J$2)</f>
        <v>0</v>
      </c>
      <c r="K66" s="92">
        <f>SUMIFS(Collection!$J:$J, Collection!$A:$A, $A66, Collection!$B:$B, K$2)</f>
        <v>0</v>
      </c>
      <c r="L66" s="92">
        <f>SUMIFS(Collection!$J:$J, Collection!$A:$A, $A66, Collection!$B:$B, L$2)</f>
        <v>0</v>
      </c>
      <c r="M66" s="92">
        <f>SUMIFS(Collection!$J:$J, Collection!$A:$A, $A66, Collection!$B:$B, M$2)</f>
        <v>0</v>
      </c>
      <c r="N66" s="92">
        <f>SUMIFS(Collection!$J:$J, Collection!$A:$A, $A66, Collection!$B:$B, N$2)</f>
        <v>0</v>
      </c>
      <c r="O66" s="92">
        <f>SUMIFS(Collection!$J:$J, Collection!$A:$A, $A66, Collection!$B:$B, O$2)</f>
        <v>0</v>
      </c>
      <c r="P66" s="92">
        <f>SUMIFS(Collection!$J:$J, Collection!$A:$A, $A66, Collection!$B:$B, P$2)</f>
        <v>0</v>
      </c>
      <c r="Q66" s="92">
        <f>SUMIFS(Collection!$J:$J, Collection!$A:$A, $A66, Collection!$B:$B, Q$2)</f>
        <v>0</v>
      </c>
      <c r="R66" s="92">
        <f>SUMIFS(Collection!$J:$J, Collection!$A:$A, $A66, Collection!$B:$B, R$2)</f>
        <v>0</v>
      </c>
      <c r="S66" s="92">
        <f>SUMIFS(Collection!$J:$J, Collection!$A:$A, $A66, Collection!$B:$B, S$2)</f>
        <v>0</v>
      </c>
      <c r="T66" s="92">
        <f>SUMIFS(Collection!$J:$J, Collection!$A:$A, $A66, Collection!$B:$B, T$2)</f>
        <v>0</v>
      </c>
      <c r="U66" s="92">
        <f>SUMIFS(Collection!$J:$J, Collection!$A:$A, $A66, Collection!$B:$B, U$2)</f>
        <v>0</v>
      </c>
      <c r="V66" s="92">
        <f>SUMIFS(Collection!$J:$J, Collection!$A:$A, $A66, Collection!$B:$B, V$2)</f>
        <v>0</v>
      </c>
      <c r="W66" s="92">
        <f>SUMIFS(Collection!$J:$J, Collection!$A:$A, $A66, Collection!$B:$B, W$2)</f>
        <v>0</v>
      </c>
      <c r="X66" s="92">
        <f>SUMIFS(Collection!$J:$J, Collection!$A:$A, $A66, Collection!$B:$B, X$2)</f>
        <v>0</v>
      </c>
      <c r="Y66" s="92">
        <f>SUMIFS(Collection!$J:$J, Collection!$A:$A, $A66, Collection!$B:$B, Y$2)</f>
        <v>0</v>
      </c>
    </row>
    <row r="67" spans="1:25" s="57" customFormat="1">
      <c r="A67" s="99">
        <f t="shared" si="0"/>
        <v>42920</v>
      </c>
      <c r="B67" s="92">
        <f>SUMIFS(Collection!$J:$J, Collection!$A:$A, $A67, Collection!$B:$B, B$2)</f>
        <v>0</v>
      </c>
      <c r="C67" s="92">
        <f>SUMIFS(Collection!$J:$J, Collection!$A:$A, $A67, Collection!$B:$B, C$2)</f>
        <v>0</v>
      </c>
      <c r="D67" s="92">
        <f>SUMIFS(Collection!$J:$J, Collection!$A:$A, $A67, Collection!$B:$B, D$2)</f>
        <v>0</v>
      </c>
      <c r="E67" s="92">
        <f>SUMIFS(Collection!$J:$J, Collection!$A:$A, $A67, Collection!$B:$B, E$2)</f>
        <v>0</v>
      </c>
      <c r="F67" s="92">
        <f>SUMIFS(Collection!$J:$J, Collection!$A:$A, $A67, Collection!$B:$B, F$2)</f>
        <v>0</v>
      </c>
      <c r="G67" s="92">
        <f>SUMIFS(Collection!$J:$J, Collection!$A:$A, $A67, Collection!$B:$B, G$2)</f>
        <v>0</v>
      </c>
      <c r="H67" s="92">
        <f>SUMIFS(Collection!$J:$J, Collection!$A:$A, $A67, Collection!$B:$B, H$2)</f>
        <v>0</v>
      </c>
      <c r="I67" s="92">
        <f>SUMIFS(Collection!$J:$J, Collection!$A:$A, $A67, Collection!$B:$B, I$2)</f>
        <v>0</v>
      </c>
      <c r="J67" s="92">
        <f>SUMIFS(Collection!$J:$J, Collection!$A:$A, $A67, Collection!$B:$B, J$2)</f>
        <v>0</v>
      </c>
      <c r="K67" s="92">
        <f>SUMIFS(Collection!$J:$J, Collection!$A:$A, $A67, Collection!$B:$B, K$2)</f>
        <v>0</v>
      </c>
      <c r="L67" s="92">
        <f>SUMIFS(Collection!$J:$J, Collection!$A:$A, $A67, Collection!$B:$B, L$2)</f>
        <v>0</v>
      </c>
      <c r="M67" s="92">
        <f>SUMIFS(Collection!$J:$J, Collection!$A:$A, $A67, Collection!$B:$B, M$2)</f>
        <v>0</v>
      </c>
      <c r="N67" s="92">
        <f>SUMIFS(Collection!$J:$J, Collection!$A:$A, $A67, Collection!$B:$B, N$2)</f>
        <v>0</v>
      </c>
      <c r="O67" s="92">
        <f>SUMIFS(Collection!$J:$J, Collection!$A:$A, $A67, Collection!$B:$B, O$2)</f>
        <v>0</v>
      </c>
      <c r="P67" s="92">
        <f>SUMIFS(Collection!$J:$J, Collection!$A:$A, $A67, Collection!$B:$B, P$2)</f>
        <v>0</v>
      </c>
      <c r="Q67" s="92">
        <f>SUMIFS(Collection!$J:$J, Collection!$A:$A, $A67, Collection!$B:$B, Q$2)</f>
        <v>0</v>
      </c>
      <c r="R67" s="92">
        <f>SUMIFS(Collection!$J:$J, Collection!$A:$A, $A67, Collection!$B:$B, R$2)</f>
        <v>0</v>
      </c>
      <c r="S67" s="92">
        <f>SUMIFS(Collection!$J:$J, Collection!$A:$A, $A67, Collection!$B:$B, S$2)</f>
        <v>0</v>
      </c>
      <c r="T67" s="92">
        <f>SUMIFS(Collection!$J:$J, Collection!$A:$A, $A67, Collection!$B:$B, T$2)</f>
        <v>0</v>
      </c>
      <c r="U67" s="92">
        <f>SUMIFS(Collection!$J:$J, Collection!$A:$A, $A67, Collection!$B:$B, U$2)</f>
        <v>0</v>
      </c>
      <c r="V67" s="92">
        <f>SUMIFS(Collection!$J:$J, Collection!$A:$A, $A67, Collection!$B:$B, V$2)</f>
        <v>0</v>
      </c>
      <c r="W67" s="92">
        <f>SUMIFS(Collection!$J:$J, Collection!$A:$A, $A67, Collection!$B:$B, W$2)</f>
        <v>0</v>
      </c>
      <c r="X67" s="92">
        <f>SUMIFS(Collection!$J:$J, Collection!$A:$A, $A67, Collection!$B:$B, X$2)</f>
        <v>0</v>
      </c>
      <c r="Y67" s="92">
        <f>SUMIFS(Collection!$J:$J, Collection!$A:$A, $A67, Collection!$B:$B, Y$2)</f>
        <v>0</v>
      </c>
    </row>
    <row r="68" spans="1:25" s="57" customFormat="1">
      <c r="A68" s="99">
        <f t="shared" si="0"/>
        <v>42921</v>
      </c>
      <c r="B68" s="92">
        <f>SUMIFS(Collection!$J:$J, Collection!$A:$A, $A68, Collection!$B:$B, B$2)</f>
        <v>0</v>
      </c>
      <c r="C68" s="92">
        <f>SUMIFS(Collection!$J:$J, Collection!$A:$A, $A68, Collection!$B:$B, C$2)</f>
        <v>0</v>
      </c>
      <c r="D68" s="92">
        <f>SUMIFS(Collection!$J:$J, Collection!$A:$A, $A68, Collection!$B:$B, D$2)</f>
        <v>0</v>
      </c>
      <c r="E68" s="92">
        <f>SUMIFS(Collection!$J:$J, Collection!$A:$A, $A68, Collection!$B:$B, E$2)</f>
        <v>0</v>
      </c>
      <c r="F68" s="92">
        <f>SUMIFS(Collection!$J:$J, Collection!$A:$A, $A68, Collection!$B:$B, F$2)</f>
        <v>0</v>
      </c>
      <c r="G68" s="92">
        <f>SUMIFS(Collection!$J:$J, Collection!$A:$A, $A68, Collection!$B:$B, G$2)</f>
        <v>0</v>
      </c>
      <c r="H68" s="92">
        <f>SUMIFS(Collection!$J:$J, Collection!$A:$A, $A68, Collection!$B:$B, H$2)</f>
        <v>0</v>
      </c>
      <c r="I68" s="92">
        <f>SUMIFS(Collection!$J:$J, Collection!$A:$A, $A68, Collection!$B:$B, I$2)</f>
        <v>0</v>
      </c>
      <c r="J68" s="92">
        <f>SUMIFS(Collection!$J:$J, Collection!$A:$A, $A68, Collection!$B:$B, J$2)</f>
        <v>0</v>
      </c>
      <c r="K68" s="92">
        <f>SUMIFS(Collection!$J:$J, Collection!$A:$A, $A68, Collection!$B:$B, K$2)</f>
        <v>0</v>
      </c>
      <c r="L68" s="92">
        <f>SUMIFS(Collection!$J:$J, Collection!$A:$A, $A68, Collection!$B:$B, L$2)</f>
        <v>0</v>
      </c>
      <c r="M68" s="92">
        <f>SUMIFS(Collection!$J:$J, Collection!$A:$A, $A68, Collection!$B:$B, M$2)</f>
        <v>0</v>
      </c>
      <c r="N68" s="92">
        <f>SUMIFS(Collection!$J:$J, Collection!$A:$A, $A68, Collection!$B:$B, N$2)</f>
        <v>0</v>
      </c>
      <c r="O68" s="92">
        <f>SUMIFS(Collection!$J:$J, Collection!$A:$A, $A68, Collection!$B:$B, O$2)</f>
        <v>0</v>
      </c>
      <c r="P68" s="92">
        <f>SUMIFS(Collection!$J:$J, Collection!$A:$A, $A68, Collection!$B:$B, P$2)</f>
        <v>0</v>
      </c>
      <c r="Q68" s="92">
        <f>SUMIFS(Collection!$J:$J, Collection!$A:$A, $A68, Collection!$B:$B, Q$2)</f>
        <v>0</v>
      </c>
      <c r="R68" s="92">
        <f>SUMIFS(Collection!$J:$J, Collection!$A:$A, $A68, Collection!$B:$B, R$2)</f>
        <v>0</v>
      </c>
      <c r="S68" s="92">
        <f>SUMIFS(Collection!$J:$J, Collection!$A:$A, $A68, Collection!$B:$B, S$2)</f>
        <v>0</v>
      </c>
      <c r="T68" s="92">
        <f>SUMIFS(Collection!$J:$J, Collection!$A:$A, $A68, Collection!$B:$B, T$2)</f>
        <v>0</v>
      </c>
      <c r="U68" s="92">
        <f>SUMIFS(Collection!$J:$J, Collection!$A:$A, $A68, Collection!$B:$B, U$2)</f>
        <v>0</v>
      </c>
      <c r="V68" s="92">
        <f>SUMIFS(Collection!$J:$J, Collection!$A:$A, $A68, Collection!$B:$B, V$2)</f>
        <v>0</v>
      </c>
      <c r="W68" s="92">
        <f>SUMIFS(Collection!$J:$J, Collection!$A:$A, $A68, Collection!$B:$B, W$2)</f>
        <v>0</v>
      </c>
      <c r="X68" s="92">
        <f>SUMIFS(Collection!$J:$J, Collection!$A:$A, $A68, Collection!$B:$B, X$2)</f>
        <v>0</v>
      </c>
      <c r="Y68" s="92">
        <f>SUMIFS(Collection!$J:$J, Collection!$A:$A, $A68, Collection!$B:$B, Y$2)</f>
        <v>0</v>
      </c>
    </row>
    <row r="69" spans="1:25" s="58" customFormat="1" ht="16" thickBot="1">
      <c r="A69" s="100">
        <f t="shared" si="0"/>
        <v>42922</v>
      </c>
      <c r="B69" s="93">
        <f>SUMIFS(Collection!$J:$J, Collection!$A:$A, $A69, Collection!$B:$B, B$2)</f>
        <v>0</v>
      </c>
      <c r="C69" s="93">
        <f>SUMIFS(Collection!$J:$J, Collection!$A:$A, $A69, Collection!$B:$B, C$2)</f>
        <v>0</v>
      </c>
      <c r="D69" s="93">
        <f>SUMIFS(Collection!$J:$J, Collection!$A:$A, $A69, Collection!$B:$B, D$2)</f>
        <v>0</v>
      </c>
      <c r="E69" s="93">
        <f>SUMIFS(Collection!$J:$J, Collection!$A:$A, $A69, Collection!$B:$B, E$2)</f>
        <v>0</v>
      </c>
      <c r="F69" s="93">
        <f>SUMIFS(Collection!$J:$J, Collection!$A:$A, $A69, Collection!$B:$B, F$2)</f>
        <v>0</v>
      </c>
      <c r="G69" s="93">
        <f>SUMIFS(Collection!$J:$J, Collection!$A:$A, $A69, Collection!$B:$B, G$2)</f>
        <v>0</v>
      </c>
      <c r="H69" s="93">
        <f>SUMIFS(Collection!$J:$J, Collection!$A:$A, $A69, Collection!$B:$B, H$2)</f>
        <v>0</v>
      </c>
      <c r="I69" s="93">
        <f>SUMIFS(Collection!$J:$J, Collection!$A:$A, $A69, Collection!$B:$B, I$2)</f>
        <v>0</v>
      </c>
      <c r="J69" s="93">
        <f>SUMIFS(Collection!$J:$J, Collection!$A:$A, $A69, Collection!$B:$B, J$2)</f>
        <v>0</v>
      </c>
      <c r="K69" s="93">
        <f>SUMIFS(Collection!$J:$J, Collection!$A:$A, $A69, Collection!$B:$B, K$2)</f>
        <v>0</v>
      </c>
      <c r="L69" s="93">
        <f>SUMIFS(Collection!$J:$J, Collection!$A:$A, $A69, Collection!$B:$B, L$2)</f>
        <v>0</v>
      </c>
      <c r="M69" s="93">
        <f>SUMIFS(Collection!$J:$J, Collection!$A:$A, $A69, Collection!$B:$B, M$2)</f>
        <v>0</v>
      </c>
      <c r="N69" s="93">
        <f>SUMIFS(Collection!$J:$J, Collection!$A:$A, $A69, Collection!$B:$B, N$2)</f>
        <v>0</v>
      </c>
      <c r="O69" s="93">
        <f>SUMIFS(Collection!$J:$J, Collection!$A:$A, $A69, Collection!$B:$B, O$2)</f>
        <v>0</v>
      </c>
      <c r="P69" s="93">
        <f>SUMIFS(Collection!$J:$J, Collection!$A:$A, $A69, Collection!$B:$B, P$2)</f>
        <v>0</v>
      </c>
      <c r="Q69" s="93">
        <f>SUMIFS(Collection!$J:$J, Collection!$A:$A, $A69, Collection!$B:$B, Q$2)</f>
        <v>0</v>
      </c>
      <c r="R69" s="93">
        <f>SUMIFS(Collection!$J:$J, Collection!$A:$A, $A69, Collection!$B:$B, R$2)</f>
        <v>0</v>
      </c>
      <c r="S69" s="93">
        <f>SUMIFS(Collection!$J:$J, Collection!$A:$A, $A69, Collection!$B:$B, S$2)</f>
        <v>0</v>
      </c>
      <c r="T69" s="93">
        <f>SUMIFS(Collection!$J:$J, Collection!$A:$A, $A69, Collection!$B:$B, T$2)</f>
        <v>0</v>
      </c>
      <c r="U69" s="93">
        <f>SUMIFS(Collection!$J:$J, Collection!$A:$A, $A69, Collection!$B:$B, U$2)</f>
        <v>0</v>
      </c>
      <c r="V69" s="93">
        <f>SUMIFS(Collection!$J:$J, Collection!$A:$A, $A69, Collection!$B:$B, V$2)</f>
        <v>0</v>
      </c>
      <c r="W69" s="93">
        <f>SUMIFS(Collection!$J:$J, Collection!$A:$A, $A69, Collection!$B:$B, W$2)</f>
        <v>0</v>
      </c>
      <c r="X69" s="93">
        <f>SUMIFS(Collection!$J:$J, Collection!$A:$A, $A69, Collection!$B:$B, X$2)</f>
        <v>0</v>
      </c>
      <c r="Y69" s="93">
        <f>SUMIFS(Collection!$J:$J, Collection!$A:$A, $A69, Collection!$B:$B, Y$2)</f>
        <v>0</v>
      </c>
    </row>
    <row r="70" spans="1:25" s="57" customFormat="1">
      <c r="A70" s="99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</row>
    <row r="71" spans="1:25" s="57" customFormat="1">
      <c r="A71" s="99">
        <f>1+A69</f>
        <v>42923</v>
      </c>
      <c r="B71" s="92">
        <f>SUMIFS(Collection!$J:$J, Collection!$A:$A, $A71, Collection!$B:$B, B$2)</f>
        <v>0</v>
      </c>
      <c r="C71" s="92">
        <f>SUMIFS(Collection!$J:$J, Collection!$A:$A, $A71, Collection!$B:$B, C$2)</f>
        <v>0</v>
      </c>
      <c r="D71" s="92">
        <f>SUMIFS(Collection!$J:$J, Collection!$A:$A, $A71, Collection!$B:$B, D$2)</f>
        <v>0</v>
      </c>
      <c r="E71" s="92">
        <f>SUMIFS(Collection!$J:$J, Collection!$A:$A, $A71, Collection!$B:$B, E$2)</f>
        <v>0</v>
      </c>
      <c r="F71" s="92">
        <f>SUMIFS(Collection!$J:$J, Collection!$A:$A, $A71, Collection!$B:$B, F$2)</f>
        <v>0</v>
      </c>
      <c r="G71" s="92">
        <f>SUMIFS(Collection!$J:$J, Collection!$A:$A, $A71, Collection!$B:$B, G$2)</f>
        <v>0</v>
      </c>
      <c r="H71" s="92">
        <f>SUMIFS(Collection!$J:$J, Collection!$A:$A, $A71, Collection!$B:$B, H$2)</f>
        <v>0</v>
      </c>
      <c r="I71" s="92">
        <f>SUMIFS(Collection!$J:$J, Collection!$A:$A, $A71, Collection!$B:$B, I$2)</f>
        <v>0</v>
      </c>
      <c r="J71" s="92">
        <f>SUMIFS(Collection!$J:$J, Collection!$A:$A, $A71, Collection!$B:$B, J$2)</f>
        <v>0</v>
      </c>
      <c r="K71" s="92">
        <f>SUMIFS(Collection!$J:$J, Collection!$A:$A, $A71, Collection!$B:$B, K$2)</f>
        <v>0</v>
      </c>
      <c r="L71" s="92">
        <f>SUMIFS(Collection!$J:$J, Collection!$A:$A, $A71, Collection!$B:$B, L$2)</f>
        <v>0</v>
      </c>
      <c r="M71" s="92">
        <f>SUMIFS(Collection!$J:$J, Collection!$A:$A, $A71, Collection!$B:$B, M$2)</f>
        <v>0</v>
      </c>
      <c r="N71" s="92">
        <f>SUMIFS(Collection!$J:$J, Collection!$A:$A, $A71, Collection!$B:$B, N$2)</f>
        <v>0</v>
      </c>
      <c r="O71" s="92">
        <f>SUMIFS(Collection!$J:$J, Collection!$A:$A, $A71, Collection!$B:$B, O$2)</f>
        <v>0</v>
      </c>
      <c r="P71" s="92">
        <f>SUMIFS(Collection!$J:$J, Collection!$A:$A, $A71, Collection!$B:$B, P$2)</f>
        <v>0</v>
      </c>
      <c r="Q71" s="92">
        <f>SUMIFS(Collection!$J:$J, Collection!$A:$A, $A71, Collection!$B:$B, Q$2)</f>
        <v>0</v>
      </c>
      <c r="R71" s="92">
        <f>SUMIFS(Collection!$J:$J, Collection!$A:$A, $A71, Collection!$B:$B, R$2)</f>
        <v>0</v>
      </c>
      <c r="S71" s="92">
        <f>SUMIFS(Collection!$J:$J, Collection!$A:$A, $A71, Collection!$B:$B, S$2)</f>
        <v>0</v>
      </c>
      <c r="T71" s="92">
        <f>SUMIFS(Collection!$J:$J, Collection!$A:$A, $A71, Collection!$B:$B, T$2)</f>
        <v>0</v>
      </c>
      <c r="U71" s="92">
        <f>SUMIFS(Collection!$J:$J, Collection!$A:$A, $A71, Collection!$B:$B, U$2)</f>
        <v>0</v>
      </c>
      <c r="V71" s="92">
        <f>SUMIFS(Collection!$J:$J, Collection!$A:$A, $A71, Collection!$B:$B, V$2)</f>
        <v>0</v>
      </c>
      <c r="W71" s="92">
        <f>SUMIFS(Collection!$J:$J, Collection!$A:$A, $A71, Collection!$B:$B, W$2)</f>
        <v>0</v>
      </c>
      <c r="X71" s="92">
        <f>SUMIFS(Collection!$J:$J, Collection!$A:$A, $A71, Collection!$B:$B, X$2)</f>
        <v>0</v>
      </c>
      <c r="Y71" s="92">
        <f>SUMIFS(Collection!$J:$J, Collection!$A:$A, $A71, Collection!$B:$B, Y$2)</f>
        <v>0</v>
      </c>
    </row>
    <row r="72" spans="1:25" s="57" customFormat="1">
      <c r="A72" s="99">
        <f t="shared" si="0"/>
        <v>42924</v>
      </c>
      <c r="B72" s="92">
        <f>SUMIFS(Collection!$J:$J, Collection!$A:$A, $A72, Collection!$B:$B, B$2)</f>
        <v>0</v>
      </c>
      <c r="C72" s="92">
        <f>SUMIFS(Collection!$J:$J, Collection!$A:$A, $A72, Collection!$B:$B, C$2)</f>
        <v>0</v>
      </c>
      <c r="D72" s="92">
        <f>SUMIFS(Collection!$J:$J, Collection!$A:$A, $A72, Collection!$B:$B, D$2)</f>
        <v>0</v>
      </c>
      <c r="E72" s="92">
        <f>SUMIFS(Collection!$J:$J, Collection!$A:$A, $A72, Collection!$B:$B, E$2)</f>
        <v>0</v>
      </c>
      <c r="F72" s="92">
        <f>SUMIFS(Collection!$J:$J, Collection!$A:$A, $A72, Collection!$B:$B, F$2)</f>
        <v>0</v>
      </c>
      <c r="G72" s="92">
        <f>SUMIFS(Collection!$J:$J, Collection!$A:$A, $A72, Collection!$B:$B, G$2)</f>
        <v>0</v>
      </c>
      <c r="H72" s="92">
        <f>SUMIFS(Collection!$J:$J, Collection!$A:$A, $A72, Collection!$B:$B, H$2)</f>
        <v>0</v>
      </c>
      <c r="I72" s="92">
        <f>SUMIFS(Collection!$J:$J, Collection!$A:$A, $A72, Collection!$B:$B, I$2)</f>
        <v>0</v>
      </c>
      <c r="J72" s="92">
        <f>SUMIFS(Collection!$J:$J, Collection!$A:$A, $A72, Collection!$B:$B, J$2)</f>
        <v>0</v>
      </c>
      <c r="K72" s="92">
        <f>SUMIFS(Collection!$J:$J, Collection!$A:$A, $A72, Collection!$B:$B, K$2)</f>
        <v>0</v>
      </c>
      <c r="L72" s="92">
        <f>SUMIFS(Collection!$J:$J, Collection!$A:$A, $A72, Collection!$B:$B, L$2)</f>
        <v>0</v>
      </c>
      <c r="M72" s="92">
        <f>SUMIFS(Collection!$J:$J, Collection!$A:$A, $A72, Collection!$B:$B, M$2)</f>
        <v>0</v>
      </c>
      <c r="N72" s="92">
        <f>SUMIFS(Collection!$J:$J, Collection!$A:$A, $A72, Collection!$B:$B, N$2)</f>
        <v>0</v>
      </c>
      <c r="O72" s="92">
        <f>SUMIFS(Collection!$J:$J, Collection!$A:$A, $A72, Collection!$B:$B, O$2)</f>
        <v>0</v>
      </c>
      <c r="P72" s="92">
        <f>SUMIFS(Collection!$J:$J, Collection!$A:$A, $A72, Collection!$B:$B, P$2)</f>
        <v>0</v>
      </c>
      <c r="Q72" s="92">
        <f>SUMIFS(Collection!$J:$J, Collection!$A:$A, $A72, Collection!$B:$B, Q$2)</f>
        <v>0</v>
      </c>
      <c r="R72" s="92">
        <f>SUMIFS(Collection!$J:$J, Collection!$A:$A, $A72, Collection!$B:$B, R$2)</f>
        <v>0</v>
      </c>
      <c r="S72" s="92">
        <f>SUMIFS(Collection!$J:$J, Collection!$A:$A, $A72, Collection!$B:$B, S$2)</f>
        <v>0</v>
      </c>
      <c r="T72" s="92">
        <f>SUMIFS(Collection!$J:$J, Collection!$A:$A, $A72, Collection!$B:$B, T$2)</f>
        <v>0</v>
      </c>
      <c r="U72" s="92">
        <f>SUMIFS(Collection!$J:$J, Collection!$A:$A, $A72, Collection!$B:$B, U$2)</f>
        <v>0</v>
      </c>
      <c r="V72" s="92">
        <f>SUMIFS(Collection!$J:$J, Collection!$A:$A, $A72, Collection!$B:$B, V$2)</f>
        <v>0</v>
      </c>
      <c r="W72" s="92">
        <f>SUMIFS(Collection!$J:$J, Collection!$A:$A, $A72, Collection!$B:$B, W$2)</f>
        <v>0</v>
      </c>
      <c r="X72" s="92">
        <f>SUMIFS(Collection!$J:$J, Collection!$A:$A, $A72, Collection!$B:$B, X$2)</f>
        <v>0</v>
      </c>
      <c r="Y72" s="92">
        <f>SUMIFS(Collection!$J:$J, Collection!$A:$A, $A72, Collection!$B:$B, Y$2)</f>
        <v>0</v>
      </c>
    </row>
    <row r="73" spans="1:25" s="57" customFormat="1">
      <c r="A73" s="99">
        <f t="shared" si="0"/>
        <v>42925</v>
      </c>
      <c r="B73" s="92">
        <f>SUMIFS(Collection!$J:$J, Collection!$A:$A, $A73, Collection!$B:$B, B$2)</f>
        <v>0</v>
      </c>
      <c r="C73" s="92">
        <f>SUMIFS(Collection!$J:$J, Collection!$A:$A, $A73, Collection!$B:$B, C$2)</f>
        <v>0</v>
      </c>
      <c r="D73" s="92">
        <f>SUMIFS(Collection!$J:$J, Collection!$A:$A, $A73, Collection!$B:$B, D$2)</f>
        <v>0</v>
      </c>
      <c r="E73" s="92">
        <f>SUMIFS(Collection!$J:$J, Collection!$A:$A, $A73, Collection!$B:$B, E$2)</f>
        <v>0</v>
      </c>
      <c r="F73" s="92">
        <f>SUMIFS(Collection!$J:$J, Collection!$A:$A, $A73, Collection!$B:$B, F$2)</f>
        <v>0</v>
      </c>
      <c r="G73" s="92">
        <f>SUMIFS(Collection!$J:$J, Collection!$A:$A, $A73, Collection!$B:$B, G$2)</f>
        <v>0</v>
      </c>
      <c r="H73" s="92">
        <f>SUMIFS(Collection!$J:$J, Collection!$A:$A, $A73, Collection!$B:$B, H$2)</f>
        <v>0</v>
      </c>
      <c r="I73" s="92">
        <f>SUMIFS(Collection!$J:$J, Collection!$A:$A, $A73, Collection!$B:$B, I$2)</f>
        <v>0</v>
      </c>
      <c r="J73" s="92">
        <f>SUMIFS(Collection!$J:$J, Collection!$A:$A, $A73, Collection!$B:$B, J$2)</f>
        <v>0</v>
      </c>
      <c r="K73" s="92">
        <f>SUMIFS(Collection!$J:$J, Collection!$A:$A, $A73, Collection!$B:$B, K$2)</f>
        <v>0</v>
      </c>
      <c r="L73" s="92">
        <f>SUMIFS(Collection!$J:$J, Collection!$A:$A, $A73, Collection!$B:$B, L$2)</f>
        <v>0</v>
      </c>
      <c r="M73" s="92">
        <f>SUMIFS(Collection!$J:$J, Collection!$A:$A, $A73, Collection!$B:$B, M$2)</f>
        <v>0</v>
      </c>
      <c r="N73" s="92">
        <f>SUMIFS(Collection!$J:$J, Collection!$A:$A, $A73, Collection!$B:$B, N$2)</f>
        <v>0</v>
      </c>
      <c r="O73" s="92">
        <f>SUMIFS(Collection!$J:$J, Collection!$A:$A, $A73, Collection!$B:$B, O$2)</f>
        <v>0</v>
      </c>
      <c r="P73" s="92">
        <f>SUMIFS(Collection!$J:$J, Collection!$A:$A, $A73, Collection!$B:$B, P$2)</f>
        <v>0</v>
      </c>
      <c r="Q73" s="92">
        <f>SUMIFS(Collection!$J:$J, Collection!$A:$A, $A73, Collection!$B:$B, Q$2)</f>
        <v>0</v>
      </c>
      <c r="R73" s="92">
        <f>SUMIFS(Collection!$J:$J, Collection!$A:$A, $A73, Collection!$B:$B, R$2)</f>
        <v>0</v>
      </c>
      <c r="S73" s="92">
        <f>SUMIFS(Collection!$J:$J, Collection!$A:$A, $A73, Collection!$B:$B, S$2)</f>
        <v>0</v>
      </c>
      <c r="T73" s="92">
        <f>SUMIFS(Collection!$J:$J, Collection!$A:$A, $A73, Collection!$B:$B, T$2)</f>
        <v>0</v>
      </c>
      <c r="U73" s="92">
        <f>SUMIFS(Collection!$J:$J, Collection!$A:$A, $A73, Collection!$B:$B, U$2)</f>
        <v>0</v>
      </c>
      <c r="V73" s="92">
        <f>SUMIFS(Collection!$J:$J, Collection!$A:$A, $A73, Collection!$B:$B, V$2)</f>
        <v>0</v>
      </c>
      <c r="W73" s="92">
        <f>SUMIFS(Collection!$J:$J, Collection!$A:$A, $A73, Collection!$B:$B, W$2)</f>
        <v>0</v>
      </c>
      <c r="X73" s="92">
        <f>SUMIFS(Collection!$J:$J, Collection!$A:$A, $A73, Collection!$B:$B, X$2)</f>
        <v>0</v>
      </c>
      <c r="Y73" s="92">
        <f>SUMIFS(Collection!$J:$J, Collection!$A:$A, $A73, Collection!$B:$B, Y$2)</f>
        <v>0</v>
      </c>
    </row>
    <row r="74" spans="1:25" s="58" customFormat="1" ht="16" thickBot="1">
      <c r="A74" s="100">
        <f t="shared" si="0"/>
        <v>42926</v>
      </c>
      <c r="B74" s="93">
        <f>SUMIFS(Collection!$J:$J, Collection!$A:$A, $A74, Collection!$B:$B, B$2)</f>
        <v>0</v>
      </c>
      <c r="C74" s="93">
        <f>SUMIFS(Collection!$J:$J, Collection!$A:$A, $A74, Collection!$B:$B, C$2)</f>
        <v>0</v>
      </c>
      <c r="D74" s="93">
        <f>SUMIFS(Collection!$J:$J, Collection!$A:$A, $A74, Collection!$B:$B, D$2)</f>
        <v>0</v>
      </c>
      <c r="E74" s="93">
        <f>SUMIFS(Collection!$J:$J, Collection!$A:$A, $A74, Collection!$B:$B, E$2)</f>
        <v>0</v>
      </c>
      <c r="F74" s="93">
        <f>SUMIFS(Collection!$J:$J, Collection!$A:$A, $A74, Collection!$B:$B, F$2)</f>
        <v>0</v>
      </c>
      <c r="G74" s="93">
        <f>SUMIFS(Collection!$J:$J, Collection!$A:$A, $A74, Collection!$B:$B, G$2)</f>
        <v>0</v>
      </c>
      <c r="H74" s="93">
        <f>SUMIFS(Collection!$J:$J, Collection!$A:$A, $A74, Collection!$B:$B, H$2)</f>
        <v>0</v>
      </c>
      <c r="I74" s="93">
        <f>SUMIFS(Collection!$J:$J, Collection!$A:$A, $A74, Collection!$B:$B, I$2)</f>
        <v>0</v>
      </c>
      <c r="J74" s="93">
        <f>SUMIFS(Collection!$J:$J, Collection!$A:$A, $A74, Collection!$B:$B, J$2)</f>
        <v>0</v>
      </c>
      <c r="K74" s="93">
        <f>SUMIFS(Collection!$J:$J, Collection!$A:$A, $A74, Collection!$B:$B, K$2)</f>
        <v>0</v>
      </c>
      <c r="L74" s="93">
        <f>SUMIFS(Collection!$J:$J, Collection!$A:$A, $A74, Collection!$B:$B, L$2)</f>
        <v>0</v>
      </c>
      <c r="M74" s="93">
        <f>SUMIFS(Collection!$J:$J, Collection!$A:$A, $A74, Collection!$B:$B, M$2)</f>
        <v>0</v>
      </c>
      <c r="N74" s="93">
        <f>SUMIFS(Collection!$J:$J, Collection!$A:$A, $A74, Collection!$B:$B, N$2)</f>
        <v>0</v>
      </c>
      <c r="O74" s="93">
        <f>SUMIFS(Collection!$J:$J, Collection!$A:$A, $A74, Collection!$B:$B, O$2)</f>
        <v>0</v>
      </c>
      <c r="P74" s="93">
        <f>SUMIFS(Collection!$J:$J, Collection!$A:$A, $A74, Collection!$B:$B, P$2)</f>
        <v>0</v>
      </c>
      <c r="Q74" s="93">
        <f>SUMIFS(Collection!$J:$J, Collection!$A:$A, $A74, Collection!$B:$B, Q$2)</f>
        <v>0</v>
      </c>
      <c r="R74" s="93">
        <f>SUMIFS(Collection!$J:$J, Collection!$A:$A, $A74, Collection!$B:$B, R$2)</f>
        <v>0</v>
      </c>
      <c r="S74" s="93">
        <f>SUMIFS(Collection!$J:$J, Collection!$A:$A, $A74, Collection!$B:$B, S$2)</f>
        <v>0</v>
      </c>
      <c r="T74" s="93">
        <f>SUMIFS(Collection!$J:$J, Collection!$A:$A, $A74, Collection!$B:$B, T$2)</f>
        <v>0</v>
      </c>
      <c r="U74" s="93">
        <f>SUMIFS(Collection!$J:$J, Collection!$A:$A, $A74, Collection!$B:$B, U$2)</f>
        <v>0</v>
      </c>
      <c r="V74" s="93">
        <f>SUMIFS(Collection!$J:$J, Collection!$A:$A, $A74, Collection!$B:$B, V$2)</f>
        <v>0</v>
      </c>
      <c r="W74" s="93">
        <f>SUMIFS(Collection!$J:$J, Collection!$A:$A, $A74, Collection!$B:$B, W$2)</f>
        <v>0</v>
      </c>
      <c r="X74" s="93">
        <f>SUMIFS(Collection!$J:$J, Collection!$A:$A, $A74, Collection!$B:$B, X$2)</f>
        <v>0</v>
      </c>
      <c r="Y74" s="93">
        <f>SUMIFS(Collection!$J:$J, Collection!$A:$A, $A74, Collection!$B:$B, Y$2)</f>
        <v>0</v>
      </c>
    </row>
    <row r="75" spans="1:25" s="57" customFormat="1">
      <c r="A75" s="99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</row>
    <row r="76" spans="1:25" s="57" customFormat="1">
      <c r="A76" s="99">
        <f>1+A74</f>
        <v>42927</v>
      </c>
      <c r="B76" s="92">
        <f>SUMIFS(Collection!$J:$J, Collection!$A:$A, $A76, Collection!$B:$B, B$2)</f>
        <v>0</v>
      </c>
      <c r="C76" s="92">
        <f>SUMIFS(Collection!$J:$J, Collection!$A:$A, $A76, Collection!$B:$B, C$2)</f>
        <v>0</v>
      </c>
      <c r="D76" s="92">
        <f>SUMIFS(Collection!$J:$J, Collection!$A:$A, $A76, Collection!$B:$B, D$2)</f>
        <v>0</v>
      </c>
      <c r="E76" s="92">
        <f>SUMIFS(Collection!$J:$J, Collection!$A:$A, $A76, Collection!$B:$B, E$2)</f>
        <v>0</v>
      </c>
      <c r="F76" s="92">
        <f>SUMIFS(Collection!$J:$J, Collection!$A:$A, $A76, Collection!$B:$B, F$2)</f>
        <v>0</v>
      </c>
      <c r="G76" s="92">
        <f>SUMIFS(Collection!$J:$J, Collection!$A:$A, $A76, Collection!$B:$B, G$2)</f>
        <v>0</v>
      </c>
      <c r="H76" s="92">
        <f>SUMIFS(Collection!$J:$J, Collection!$A:$A, $A76, Collection!$B:$B, H$2)</f>
        <v>0</v>
      </c>
      <c r="I76" s="92">
        <f>SUMIFS(Collection!$J:$J, Collection!$A:$A, $A76, Collection!$B:$B, I$2)</f>
        <v>0</v>
      </c>
      <c r="J76" s="92">
        <f>SUMIFS(Collection!$J:$J, Collection!$A:$A, $A76, Collection!$B:$B, J$2)</f>
        <v>0</v>
      </c>
      <c r="K76" s="92">
        <f>SUMIFS(Collection!$J:$J, Collection!$A:$A, $A76, Collection!$B:$B, K$2)</f>
        <v>0</v>
      </c>
      <c r="L76" s="92">
        <f>SUMIFS(Collection!$J:$J, Collection!$A:$A, $A76, Collection!$B:$B, L$2)</f>
        <v>0</v>
      </c>
      <c r="M76" s="92">
        <f>SUMIFS(Collection!$J:$J, Collection!$A:$A, $A76, Collection!$B:$B, M$2)</f>
        <v>0</v>
      </c>
      <c r="N76" s="92">
        <f>SUMIFS(Collection!$J:$J, Collection!$A:$A, $A76, Collection!$B:$B, N$2)</f>
        <v>0</v>
      </c>
      <c r="O76" s="92">
        <f>SUMIFS(Collection!$J:$J, Collection!$A:$A, $A76, Collection!$B:$B, O$2)</f>
        <v>0</v>
      </c>
      <c r="P76" s="92">
        <f>SUMIFS(Collection!$J:$J, Collection!$A:$A, $A76, Collection!$B:$B, P$2)</f>
        <v>0</v>
      </c>
      <c r="Q76" s="92">
        <f>SUMIFS(Collection!$J:$J, Collection!$A:$A, $A76, Collection!$B:$B, Q$2)</f>
        <v>0</v>
      </c>
      <c r="R76" s="92">
        <f>SUMIFS(Collection!$J:$J, Collection!$A:$A, $A76, Collection!$B:$B, R$2)</f>
        <v>0</v>
      </c>
      <c r="S76" s="92">
        <f>SUMIFS(Collection!$J:$J, Collection!$A:$A, $A76, Collection!$B:$B, S$2)</f>
        <v>0</v>
      </c>
      <c r="T76" s="92">
        <f>SUMIFS(Collection!$J:$J, Collection!$A:$A, $A76, Collection!$B:$B, T$2)</f>
        <v>0</v>
      </c>
      <c r="U76" s="92">
        <f>SUMIFS(Collection!$J:$J, Collection!$A:$A, $A76, Collection!$B:$B, U$2)</f>
        <v>0</v>
      </c>
      <c r="V76" s="92">
        <f>SUMIFS(Collection!$J:$J, Collection!$A:$A, $A76, Collection!$B:$B, V$2)</f>
        <v>0</v>
      </c>
      <c r="W76" s="92">
        <f>SUMIFS(Collection!$J:$J, Collection!$A:$A, $A76, Collection!$B:$B, W$2)</f>
        <v>0</v>
      </c>
      <c r="X76" s="92">
        <f>SUMIFS(Collection!$J:$J, Collection!$A:$A, $A76, Collection!$B:$B, X$2)</f>
        <v>0</v>
      </c>
      <c r="Y76" s="92">
        <f>SUMIFS(Collection!$J:$J, Collection!$A:$A, $A76, Collection!$B:$B, Y$2)</f>
        <v>0</v>
      </c>
    </row>
    <row r="77" spans="1:25" s="57" customFormat="1">
      <c r="A77" s="99">
        <f t="shared" si="0"/>
        <v>42928</v>
      </c>
      <c r="B77" s="92">
        <f>SUMIFS(Collection!$J:$J, Collection!$A:$A, $A77, Collection!$B:$B, B$2)</f>
        <v>0</v>
      </c>
      <c r="C77" s="92">
        <f>SUMIFS(Collection!$J:$J, Collection!$A:$A, $A77, Collection!$B:$B, C$2)</f>
        <v>0</v>
      </c>
      <c r="D77" s="92">
        <f>SUMIFS(Collection!$J:$J, Collection!$A:$A, $A77, Collection!$B:$B, D$2)</f>
        <v>0</v>
      </c>
      <c r="E77" s="92">
        <f>SUMIFS(Collection!$J:$J, Collection!$A:$A, $A77, Collection!$B:$B, E$2)</f>
        <v>0</v>
      </c>
      <c r="F77" s="92">
        <f>SUMIFS(Collection!$J:$J, Collection!$A:$A, $A77, Collection!$B:$B, F$2)</f>
        <v>0</v>
      </c>
      <c r="G77" s="92">
        <f>SUMIFS(Collection!$J:$J, Collection!$A:$A, $A77, Collection!$B:$B, G$2)</f>
        <v>0</v>
      </c>
      <c r="H77" s="92">
        <f>SUMIFS(Collection!$J:$J, Collection!$A:$A, $A77, Collection!$B:$B, H$2)</f>
        <v>0</v>
      </c>
      <c r="I77" s="92">
        <f>SUMIFS(Collection!$J:$J, Collection!$A:$A, $A77, Collection!$B:$B, I$2)</f>
        <v>0</v>
      </c>
      <c r="J77" s="92">
        <f>SUMIFS(Collection!$J:$J, Collection!$A:$A, $A77, Collection!$B:$B, J$2)</f>
        <v>0</v>
      </c>
      <c r="K77" s="92">
        <f>SUMIFS(Collection!$J:$J, Collection!$A:$A, $A77, Collection!$B:$B, K$2)</f>
        <v>0</v>
      </c>
      <c r="L77" s="92">
        <f>SUMIFS(Collection!$J:$J, Collection!$A:$A, $A77, Collection!$B:$B, L$2)</f>
        <v>0</v>
      </c>
      <c r="M77" s="92">
        <f>SUMIFS(Collection!$J:$J, Collection!$A:$A, $A77, Collection!$B:$B, M$2)</f>
        <v>0</v>
      </c>
      <c r="N77" s="92">
        <f>SUMIFS(Collection!$J:$J, Collection!$A:$A, $A77, Collection!$B:$B, N$2)</f>
        <v>0</v>
      </c>
      <c r="O77" s="92">
        <f>SUMIFS(Collection!$J:$J, Collection!$A:$A, $A77, Collection!$B:$B, O$2)</f>
        <v>0</v>
      </c>
      <c r="P77" s="92">
        <f>SUMIFS(Collection!$J:$J, Collection!$A:$A, $A77, Collection!$B:$B, P$2)</f>
        <v>0</v>
      </c>
      <c r="Q77" s="92">
        <f>SUMIFS(Collection!$J:$J, Collection!$A:$A, $A77, Collection!$B:$B, Q$2)</f>
        <v>0</v>
      </c>
      <c r="R77" s="92">
        <f>SUMIFS(Collection!$J:$J, Collection!$A:$A, $A77, Collection!$B:$B, R$2)</f>
        <v>0</v>
      </c>
      <c r="S77" s="92">
        <f>SUMIFS(Collection!$J:$J, Collection!$A:$A, $A77, Collection!$B:$B, S$2)</f>
        <v>0</v>
      </c>
      <c r="T77" s="92">
        <f>SUMIFS(Collection!$J:$J, Collection!$A:$A, $A77, Collection!$B:$B, T$2)</f>
        <v>0</v>
      </c>
      <c r="U77" s="92">
        <f>SUMIFS(Collection!$J:$J, Collection!$A:$A, $A77, Collection!$B:$B, U$2)</f>
        <v>0</v>
      </c>
      <c r="V77" s="92">
        <f>SUMIFS(Collection!$J:$J, Collection!$A:$A, $A77, Collection!$B:$B, V$2)</f>
        <v>0</v>
      </c>
      <c r="W77" s="92">
        <f>SUMIFS(Collection!$J:$J, Collection!$A:$A, $A77, Collection!$B:$B, W$2)</f>
        <v>0</v>
      </c>
      <c r="X77" s="92">
        <f>SUMIFS(Collection!$J:$J, Collection!$A:$A, $A77, Collection!$B:$B, X$2)</f>
        <v>0</v>
      </c>
      <c r="Y77" s="92">
        <f>SUMIFS(Collection!$J:$J, Collection!$A:$A, $A77, Collection!$B:$B, Y$2)</f>
        <v>0</v>
      </c>
    </row>
    <row r="78" spans="1:25" s="58" customFormat="1" ht="16" thickBot="1">
      <c r="A78" s="100">
        <f t="shared" si="0"/>
        <v>42929</v>
      </c>
      <c r="B78" s="93">
        <f>SUMIFS(Collection!$J:$J, Collection!$A:$A, $A78, Collection!$B:$B, B$2)</f>
        <v>0</v>
      </c>
      <c r="C78" s="93">
        <f>SUMIFS(Collection!$J:$J, Collection!$A:$A, $A78, Collection!$B:$B, C$2)</f>
        <v>0</v>
      </c>
      <c r="D78" s="93">
        <f>SUMIFS(Collection!$J:$J, Collection!$A:$A, $A78, Collection!$B:$B, D$2)</f>
        <v>0</v>
      </c>
      <c r="E78" s="93">
        <f>SUMIFS(Collection!$J:$J, Collection!$A:$A, $A78, Collection!$B:$B, E$2)</f>
        <v>0</v>
      </c>
      <c r="F78" s="93">
        <f>SUMIFS(Collection!$J:$J, Collection!$A:$A, $A78, Collection!$B:$B, F$2)</f>
        <v>0</v>
      </c>
      <c r="G78" s="93">
        <f>SUMIFS(Collection!$J:$J, Collection!$A:$A, $A78, Collection!$B:$B, G$2)</f>
        <v>0</v>
      </c>
      <c r="H78" s="93">
        <f>SUMIFS(Collection!$J:$J, Collection!$A:$A, $A78, Collection!$B:$B, H$2)</f>
        <v>0</v>
      </c>
      <c r="I78" s="93">
        <f>SUMIFS(Collection!$J:$J, Collection!$A:$A, $A78, Collection!$B:$B, I$2)</f>
        <v>0</v>
      </c>
      <c r="J78" s="93">
        <f>SUMIFS(Collection!$J:$J, Collection!$A:$A, $A78, Collection!$B:$B, J$2)</f>
        <v>0</v>
      </c>
      <c r="K78" s="93">
        <f>SUMIFS(Collection!$J:$J, Collection!$A:$A, $A78, Collection!$B:$B, K$2)</f>
        <v>0</v>
      </c>
      <c r="L78" s="93">
        <f>SUMIFS(Collection!$J:$J, Collection!$A:$A, $A78, Collection!$B:$B, L$2)</f>
        <v>0</v>
      </c>
      <c r="M78" s="93">
        <f>SUMIFS(Collection!$J:$J, Collection!$A:$A, $A78, Collection!$B:$B, M$2)</f>
        <v>0</v>
      </c>
      <c r="N78" s="93">
        <f>SUMIFS(Collection!$J:$J, Collection!$A:$A, $A78, Collection!$B:$B, N$2)</f>
        <v>0</v>
      </c>
      <c r="O78" s="93">
        <f>SUMIFS(Collection!$J:$J, Collection!$A:$A, $A78, Collection!$B:$B, O$2)</f>
        <v>0</v>
      </c>
      <c r="P78" s="93">
        <f>SUMIFS(Collection!$J:$J, Collection!$A:$A, $A78, Collection!$B:$B, P$2)</f>
        <v>0</v>
      </c>
      <c r="Q78" s="93">
        <f>SUMIFS(Collection!$J:$J, Collection!$A:$A, $A78, Collection!$B:$B, Q$2)</f>
        <v>0</v>
      </c>
      <c r="R78" s="93">
        <f>SUMIFS(Collection!$J:$J, Collection!$A:$A, $A78, Collection!$B:$B, R$2)</f>
        <v>0</v>
      </c>
      <c r="S78" s="93">
        <f>SUMIFS(Collection!$J:$J, Collection!$A:$A, $A78, Collection!$B:$B, S$2)</f>
        <v>0</v>
      </c>
      <c r="T78" s="93">
        <f>SUMIFS(Collection!$J:$J, Collection!$A:$A, $A78, Collection!$B:$B, T$2)</f>
        <v>0</v>
      </c>
      <c r="U78" s="93">
        <f>SUMIFS(Collection!$J:$J, Collection!$A:$A, $A78, Collection!$B:$B, U$2)</f>
        <v>0</v>
      </c>
      <c r="V78" s="93">
        <f>SUMIFS(Collection!$J:$J, Collection!$A:$A, $A78, Collection!$B:$B, V$2)</f>
        <v>0</v>
      </c>
      <c r="W78" s="93">
        <f>SUMIFS(Collection!$J:$J, Collection!$A:$A, $A78, Collection!$B:$B, W$2)</f>
        <v>0</v>
      </c>
      <c r="X78" s="93">
        <f>SUMIFS(Collection!$J:$J, Collection!$A:$A, $A78, Collection!$B:$B, X$2)</f>
        <v>0</v>
      </c>
      <c r="Y78" s="93">
        <f>SUMIFS(Collection!$J:$J, Collection!$A:$A, $A78, Collection!$B:$B, Y$2)</f>
        <v>0</v>
      </c>
    </row>
    <row r="79" spans="1:25" s="57" customFormat="1">
      <c r="A79" s="99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</row>
    <row r="80" spans="1:25" s="57" customFormat="1">
      <c r="A80" s="99">
        <f>1+A78</f>
        <v>42930</v>
      </c>
      <c r="B80" s="92">
        <f>SUMIFS(Collection!$J:$J, Collection!$A:$A, $A80, Collection!$B:$B, B$2)</f>
        <v>0</v>
      </c>
      <c r="C80" s="92">
        <f>SUMIFS(Collection!$J:$J, Collection!$A:$A, $A80, Collection!$B:$B, C$2)</f>
        <v>0</v>
      </c>
      <c r="D80" s="92">
        <f>SUMIFS(Collection!$J:$J, Collection!$A:$A, $A80, Collection!$B:$B, D$2)</f>
        <v>0</v>
      </c>
      <c r="E80" s="92">
        <f>SUMIFS(Collection!$J:$J, Collection!$A:$A, $A80, Collection!$B:$B, E$2)</f>
        <v>0</v>
      </c>
      <c r="F80" s="92">
        <f>SUMIFS(Collection!$J:$J, Collection!$A:$A, $A80, Collection!$B:$B, F$2)</f>
        <v>0</v>
      </c>
      <c r="G80" s="92">
        <f>SUMIFS(Collection!$J:$J, Collection!$A:$A, $A80, Collection!$B:$B, G$2)</f>
        <v>0</v>
      </c>
      <c r="H80" s="92">
        <f>SUMIFS(Collection!$J:$J, Collection!$A:$A, $A80, Collection!$B:$B, H$2)</f>
        <v>0</v>
      </c>
      <c r="I80" s="92">
        <f>SUMIFS(Collection!$J:$J, Collection!$A:$A, $A80, Collection!$B:$B, I$2)</f>
        <v>0</v>
      </c>
      <c r="J80" s="92">
        <f>SUMIFS(Collection!$J:$J, Collection!$A:$A, $A80, Collection!$B:$B, J$2)</f>
        <v>0</v>
      </c>
      <c r="K80" s="92">
        <f>SUMIFS(Collection!$J:$J, Collection!$A:$A, $A80, Collection!$B:$B, K$2)</f>
        <v>0</v>
      </c>
      <c r="L80" s="92">
        <f>SUMIFS(Collection!$J:$J, Collection!$A:$A, $A80, Collection!$B:$B, L$2)</f>
        <v>0</v>
      </c>
      <c r="M80" s="92">
        <f>SUMIFS(Collection!$J:$J, Collection!$A:$A, $A80, Collection!$B:$B, M$2)</f>
        <v>0</v>
      </c>
      <c r="N80" s="92">
        <f>SUMIFS(Collection!$J:$J, Collection!$A:$A, $A80, Collection!$B:$B, N$2)</f>
        <v>0</v>
      </c>
      <c r="O80" s="92">
        <f>SUMIFS(Collection!$J:$J, Collection!$A:$A, $A80, Collection!$B:$B, O$2)</f>
        <v>0</v>
      </c>
      <c r="P80" s="92">
        <f>SUMIFS(Collection!$J:$J, Collection!$A:$A, $A80, Collection!$B:$B, P$2)</f>
        <v>0</v>
      </c>
      <c r="Q80" s="92">
        <f>SUMIFS(Collection!$J:$J, Collection!$A:$A, $A80, Collection!$B:$B, Q$2)</f>
        <v>0</v>
      </c>
      <c r="R80" s="92">
        <f>SUMIFS(Collection!$J:$J, Collection!$A:$A, $A80, Collection!$B:$B, R$2)</f>
        <v>0</v>
      </c>
      <c r="S80" s="92">
        <f>SUMIFS(Collection!$J:$J, Collection!$A:$A, $A80, Collection!$B:$B, S$2)</f>
        <v>0</v>
      </c>
      <c r="T80" s="92">
        <f>SUMIFS(Collection!$J:$J, Collection!$A:$A, $A80, Collection!$B:$B, T$2)</f>
        <v>0</v>
      </c>
      <c r="U80" s="92">
        <f>SUMIFS(Collection!$J:$J, Collection!$A:$A, $A80, Collection!$B:$B, U$2)</f>
        <v>0</v>
      </c>
      <c r="V80" s="92">
        <f>SUMIFS(Collection!$J:$J, Collection!$A:$A, $A80, Collection!$B:$B, V$2)</f>
        <v>0</v>
      </c>
      <c r="W80" s="92">
        <f>SUMIFS(Collection!$J:$J, Collection!$A:$A, $A80, Collection!$B:$B, W$2)</f>
        <v>0</v>
      </c>
      <c r="X80" s="92">
        <f>SUMIFS(Collection!$J:$J, Collection!$A:$A, $A80, Collection!$B:$B, X$2)</f>
        <v>0</v>
      </c>
      <c r="Y80" s="92">
        <f>SUMIFS(Collection!$J:$J, Collection!$A:$A, $A80, Collection!$B:$B, Y$2)</f>
        <v>0</v>
      </c>
    </row>
    <row r="81" spans="1:25" s="57" customFormat="1">
      <c r="A81" s="99">
        <f t="shared" si="0"/>
        <v>42931</v>
      </c>
      <c r="B81" s="92">
        <f>SUMIFS(Collection!$J:$J, Collection!$A:$A, $A81, Collection!$B:$B, B$2)</f>
        <v>0</v>
      </c>
      <c r="C81" s="92">
        <f>SUMIFS(Collection!$J:$J, Collection!$A:$A, $A81, Collection!$B:$B, C$2)</f>
        <v>0</v>
      </c>
      <c r="D81" s="92">
        <f>SUMIFS(Collection!$J:$J, Collection!$A:$A, $A81, Collection!$B:$B, D$2)</f>
        <v>0</v>
      </c>
      <c r="E81" s="92">
        <f>SUMIFS(Collection!$J:$J, Collection!$A:$A, $A81, Collection!$B:$B, E$2)</f>
        <v>0</v>
      </c>
      <c r="F81" s="92">
        <f>SUMIFS(Collection!$J:$J, Collection!$A:$A, $A81, Collection!$B:$B, F$2)</f>
        <v>0</v>
      </c>
      <c r="G81" s="92">
        <f>SUMIFS(Collection!$J:$J, Collection!$A:$A, $A81, Collection!$B:$B, G$2)</f>
        <v>0</v>
      </c>
      <c r="H81" s="92">
        <f>SUMIFS(Collection!$J:$J, Collection!$A:$A, $A81, Collection!$B:$B, H$2)</f>
        <v>0</v>
      </c>
      <c r="I81" s="92">
        <f>SUMIFS(Collection!$J:$J, Collection!$A:$A, $A81, Collection!$B:$B, I$2)</f>
        <v>0</v>
      </c>
      <c r="J81" s="92">
        <f>SUMIFS(Collection!$J:$J, Collection!$A:$A, $A81, Collection!$B:$B, J$2)</f>
        <v>0</v>
      </c>
      <c r="K81" s="92">
        <f>SUMIFS(Collection!$J:$J, Collection!$A:$A, $A81, Collection!$B:$B, K$2)</f>
        <v>0</v>
      </c>
      <c r="L81" s="92">
        <f>SUMIFS(Collection!$J:$J, Collection!$A:$A, $A81, Collection!$B:$B, L$2)</f>
        <v>0</v>
      </c>
      <c r="M81" s="92">
        <f>SUMIFS(Collection!$J:$J, Collection!$A:$A, $A81, Collection!$B:$B, M$2)</f>
        <v>0</v>
      </c>
      <c r="N81" s="92">
        <f>SUMIFS(Collection!$J:$J, Collection!$A:$A, $A81, Collection!$B:$B, N$2)</f>
        <v>0</v>
      </c>
      <c r="O81" s="92">
        <f>SUMIFS(Collection!$J:$J, Collection!$A:$A, $A81, Collection!$B:$B, O$2)</f>
        <v>0</v>
      </c>
      <c r="P81" s="92">
        <f>SUMIFS(Collection!$J:$J, Collection!$A:$A, $A81, Collection!$B:$B, P$2)</f>
        <v>0</v>
      </c>
      <c r="Q81" s="92">
        <f>SUMIFS(Collection!$J:$J, Collection!$A:$A, $A81, Collection!$B:$B, Q$2)</f>
        <v>0</v>
      </c>
      <c r="R81" s="92">
        <f>SUMIFS(Collection!$J:$J, Collection!$A:$A, $A81, Collection!$B:$B, R$2)</f>
        <v>0</v>
      </c>
      <c r="S81" s="92">
        <f>SUMIFS(Collection!$J:$J, Collection!$A:$A, $A81, Collection!$B:$B, S$2)</f>
        <v>0</v>
      </c>
      <c r="T81" s="92">
        <f>SUMIFS(Collection!$J:$J, Collection!$A:$A, $A81, Collection!$B:$B, T$2)</f>
        <v>0</v>
      </c>
      <c r="U81" s="92">
        <f>SUMIFS(Collection!$J:$J, Collection!$A:$A, $A81, Collection!$B:$B, U$2)</f>
        <v>0</v>
      </c>
      <c r="V81" s="92">
        <f>SUMIFS(Collection!$J:$J, Collection!$A:$A, $A81, Collection!$B:$B, V$2)</f>
        <v>0</v>
      </c>
      <c r="W81" s="92">
        <f>SUMIFS(Collection!$J:$J, Collection!$A:$A, $A81, Collection!$B:$B, W$2)</f>
        <v>0</v>
      </c>
      <c r="X81" s="92">
        <f>SUMIFS(Collection!$J:$J, Collection!$A:$A, $A81, Collection!$B:$B, X$2)</f>
        <v>0</v>
      </c>
      <c r="Y81" s="92">
        <f>SUMIFS(Collection!$J:$J, Collection!$A:$A, $A81, Collection!$B:$B, Y$2)</f>
        <v>0</v>
      </c>
    </row>
    <row r="82" spans="1:25" s="57" customFormat="1">
      <c r="A82" s="99">
        <f t="shared" ref="A82:A83" si="2">1+A81</f>
        <v>42932</v>
      </c>
      <c r="B82" s="92">
        <f>SUMIFS(Collection!$J:$J, Collection!$A:$A, $A82, Collection!$B:$B, B$2)</f>
        <v>0</v>
      </c>
      <c r="C82" s="92">
        <f>SUMIFS(Collection!$J:$J, Collection!$A:$A, $A82, Collection!$B:$B, C$2)</f>
        <v>0</v>
      </c>
      <c r="D82" s="92">
        <f>SUMIFS(Collection!$J:$J, Collection!$A:$A, $A82, Collection!$B:$B, D$2)</f>
        <v>0</v>
      </c>
      <c r="E82" s="92">
        <f>SUMIFS(Collection!$J:$J, Collection!$A:$A, $A82, Collection!$B:$B, E$2)</f>
        <v>0</v>
      </c>
      <c r="F82" s="92">
        <f>SUMIFS(Collection!$J:$J, Collection!$A:$A, $A82, Collection!$B:$B, F$2)</f>
        <v>0</v>
      </c>
      <c r="G82" s="92">
        <f>SUMIFS(Collection!$J:$J, Collection!$A:$A, $A82, Collection!$B:$B, G$2)</f>
        <v>0</v>
      </c>
      <c r="H82" s="92">
        <f>SUMIFS(Collection!$J:$J, Collection!$A:$A, $A82, Collection!$B:$B, H$2)</f>
        <v>0</v>
      </c>
      <c r="I82" s="92">
        <f>SUMIFS(Collection!$J:$J, Collection!$A:$A, $A82, Collection!$B:$B, I$2)</f>
        <v>0</v>
      </c>
      <c r="J82" s="92">
        <f>SUMIFS(Collection!$J:$J, Collection!$A:$A, $A82, Collection!$B:$B, J$2)</f>
        <v>0</v>
      </c>
      <c r="K82" s="92">
        <f>SUMIFS(Collection!$J:$J, Collection!$A:$A, $A82, Collection!$B:$B, K$2)</f>
        <v>0</v>
      </c>
      <c r="L82" s="92">
        <f>SUMIFS(Collection!$J:$J, Collection!$A:$A, $A82, Collection!$B:$B, L$2)</f>
        <v>0</v>
      </c>
      <c r="M82" s="92">
        <f>SUMIFS(Collection!$J:$J, Collection!$A:$A, $A82, Collection!$B:$B, M$2)</f>
        <v>0</v>
      </c>
      <c r="N82" s="92">
        <f>SUMIFS(Collection!$J:$J, Collection!$A:$A, $A82, Collection!$B:$B, N$2)</f>
        <v>0</v>
      </c>
      <c r="O82" s="92">
        <f>SUMIFS(Collection!$J:$J, Collection!$A:$A, $A82, Collection!$B:$B, O$2)</f>
        <v>0</v>
      </c>
      <c r="P82" s="92">
        <f>SUMIFS(Collection!$J:$J, Collection!$A:$A, $A82, Collection!$B:$B, P$2)</f>
        <v>0</v>
      </c>
      <c r="Q82" s="92">
        <f>SUMIFS(Collection!$J:$J, Collection!$A:$A, $A82, Collection!$B:$B, Q$2)</f>
        <v>0</v>
      </c>
      <c r="R82" s="92">
        <f>SUMIFS(Collection!$J:$J, Collection!$A:$A, $A82, Collection!$B:$B, R$2)</f>
        <v>0</v>
      </c>
      <c r="S82" s="92">
        <f>SUMIFS(Collection!$J:$J, Collection!$A:$A, $A82, Collection!$B:$B, S$2)</f>
        <v>0</v>
      </c>
      <c r="T82" s="92">
        <f>SUMIFS(Collection!$J:$J, Collection!$A:$A, $A82, Collection!$B:$B, T$2)</f>
        <v>0</v>
      </c>
      <c r="U82" s="92">
        <f>SUMIFS(Collection!$J:$J, Collection!$A:$A, $A82, Collection!$B:$B, U$2)</f>
        <v>0</v>
      </c>
      <c r="V82" s="92">
        <f>SUMIFS(Collection!$J:$J, Collection!$A:$A, $A82, Collection!$B:$B, V$2)</f>
        <v>0</v>
      </c>
      <c r="W82" s="92">
        <f>SUMIFS(Collection!$J:$J, Collection!$A:$A, $A82, Collection!$B:$B, W$2)</f>
        <v>0</v>
      </c>
      <c r="X82" s="92">
        <f>SUMIFS(Collection!$J:$J, Collection!$A:$A, $A82, Collection!$B:$B, X$2)</f>
        <v>0</v>
      </c>
      <c r="Y82" s="92">
        <f>SUMIFS(Collection!$J:$J, Collection!$A:$A, $A82, Collection!$B:$B, Y$2)</f>
        <v>0</v>
      </c>
    </row>
    <row r="83" spans="1:25" s="58" customFormat="1" ht="16" thickBot="1">
      <c r="A83" s="100">
        <f t="shared" si="2"/>
        <v>42933</v>
      </c>
      <c r="B83" s="93">
        <f>SUMIFS(Collection!$J:$J, Collection!$A:$A, $A83, Collection!$B:$B, B$2)</f>
        <v>0</v>
      </c>
      <c r="C83" s="93">
        <f>SUMIFS(Collection!$J:$J, Collection!$A:$A, $A83, Collection!$B:$B, C$2)</f>
        <v>0</v>
      </c>
      <c r="D83" s="93">
        <f>SUMIFS(Collection!$J:$J, Collection!$A:$A, $A83, Collection!$B:$B, D$2)</f>
        <v>0</v>
      </c>
      <c r="E83" s="93">
        <f>SUMIFS(Collection!$J:$J, Collection!$A:$A, $A83, Collection!$B:$B, E$2)</f>
        <v>0</v>
      </c>
      <c r="F83" s="93">
        <f>SUMIFS(Collection!$J:$J, Collection!$A:$A, $A83, Collection!$B:$B, F$2)</f>
        <v>0</v>
      </c>
      <c r="G83" s="93">
        <f>SUMIFS(Collection!$J:$J, Collection!$A:$A, $A83, Collection!$B:$B, G$2)</f>
        <v>0</v>
      </c>
      <c r="H83" s="93">
        <f>SUMIFS(Collection!$J:$J, Collection!$A:$A, $A83, Collection!$B:$B, H$2)</f>
        <v>0</v>
      </c>
      <c r="I83" s="93">
        <f>SUMIFS(Collection!$J:$J, Collection!$A:$A, $A83, Collection!$B:$B, I$2)</f>
        <v>0</v>
      </c>
      <c r="J83" s="93">
        <f>SUMIFS(Collection!$J:$J, Collection!$A:$A, $A83, Collection!$B:$B, J$2)</f>
        <v>0</v>
      </c>
      <c r="K83" s="93">
        <f>SUMIFS(Collection!$J:$J, Collection!$A:$A, $A83, Collection!$B:$B, K$2)</f>
        <v>0</v>
      </c>
      <c r="L83" s="93">
        <f>SUMIFS(Collection!$J:$J, Collection!$A:$A, $A83, Collection!$B:$B, L$2)</f>
        <v>0</v>
      </c>
      <c r="M83" s="93">
        <f>SUMIFS(Collection!$J:$J, Collection!$A:$A, $A83, Collection!$B:$B, M$2)</f>
        <v>0</v>
      </c>
      <c r="N83" s="93">
        <f>SUMIFS(Collection!$J:$J, Collection!$A:$A, $A83, Collection!$B:$B, N$2)</f>
        <v>0</v>
      </c>
      <c r="O83" s="93">
        <f>SUMIFS(Collection!$J:$J, Collection!$A:$A, $A83, Collection!$B:$B, O$2)</f>
        <v>0</v>
      </c>
      <c r="P83" s="93">
        <f>SUMIFS(Collection!$J:$J, Collection!$A:$A, $A83, Collection!$B:$B, P$2)</f>
        <v>0</v>
      </c>
      <c r="Q83" s="93">
        <f>SUMIFS(Collection!$J:$J, Collection!$A:$A, $A83, Collection!$B:$B, Q$2)</f>
        <v>0</v>
      </c>
      <c r="R83" s="93">
        <f>SUMIFS(Collection!$J:$J, Collection!$A:$A, $A83, Collection!$B:$B, R$2)</f>
        <v>0</v>
      </c>
      <c r="S83" s="93">
        <f>SUMIFS(Collection!$J:$J, Collection!$A:$A, $A83, Collection!$B:$B, S$2)</f>
        <v>0</v>
      </c>
      <c r="T83" s="93">
        <f>SUMIFS(Collection!$J:$J, Collection!$A:$A, $A83, Collection!$B:$B, T$2)</f>
        <v>0</v>
      </c>
      <c r="U83" s="93">
        <f>SUMIFS(Collection!$J:$J, Collection!$A:$A, $A83, Collection!$B:$B, U$2)</f>
        <v>0</v>
      </c>
      <c r="V83" s="93">
        <f>SUMIFS(Collection!$J:$J, Collection!$A:$A, $A83, Collection!$B:$B, V$2)</f>
        <v>0</v>
      </c>
      <c r="W83" s="93">
        <f>SUMIFS(Collection!$J:$J, Collection!$A:$A, $A83, Collection!$B:$B, W$2)</f>
        <v>0</v>
      </c>
      <c r="X83" s="93">
        <f>SUMIFS(Collection!$J:$J, Collection!$A:$A, $A83, Collection!$B:$B, X$2)</f>
        <v>0</v>
      </c>
      <c r="Y83" s="93">
        <f>SUMIFS(Collection!$J:$J, Collection!$A:$A, $A83, Collection!$B:$B, Y$2)</f>
        <v>0</v>
      </c>
    </row>
    <row r="84" spans="1:25">
      <c r="A84" s="97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J152" sqref="J15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80"/>
  <sheetViews>
    <sheetView showRuler="0" topLeftCell="G1" workbookViewId="0">
      <pane ySplit="1160" activePane="bottomLeft"/>
      <selection activeCell="J152" sqref="J152"/>
      <selection pane="bottomLeft" activeCell="J152" sqref="J152"/>
    </sheetView>
  </sheetViews>
  <sheetFormatPr baseColWidth="10" defaultRowHeight="15" x14ac:dyDescent="0"/>
  <cols>
    <col min="1" max="1" width="12.1640625" customWidth="1"/>
    <col min="2" max="2" width="13.5" style="399" bestFit="1" customWidth="1"/>
    <col min="3" max="3" width="13.5" style="23" customWidth="1"/>
    <col min="4" max="4" width="13.5" style="402" customWidth="1"/>
    <col min="5" max="5" width="10.33203125" style="399" bestFit="1" customWidth="1"/>
    <col min="6" max="6" width="10.33203125" style="23" customWidth="1"/>
    <col min="7" max="7" width="13.5" style="402" customWidth="1"/>
    <col min="8" max="8" width="12.5" style="399" bestFit="1" customWidth="1"/>
    <col min="9" max="9" width="12.5" style="23" customWidth="1"/>
    <col min="10" max="10" width="13.5" style="402" customWidth="1"/>
    <col min="11" max="11" width="8.83203125" bestFit="1" customWidth="1"/>
    <col min="12" max="12" width="10.83203125" customWidth="1"/>
    <col min="13" max="13" width="13.5" style="402" customWidth="1"/>
    <col min="14" max="14" width="13.5" bestFit="1" customWidth="1"/>
    <col min="15" max="15" width="13.5" customWidth="1"/>
    <col min="16" max="16" width="13.5" style="402" customWidth="1"/>
    <col min="17" max="17" width="10.33203125" bestFit="1" customWidth="1"/>
    <col min="18" max="18" width="10.33203125" customWidth="1"/>
    <col min="19" max="19" width="13.5" style="402" customWidth="1"/>
    <col min="20" max="20" width="12.5" bestFit="1" customWidth="1"/>
    <col min="21" max="21" width="12.5" customWidth="1"/>
    <col min="22" max="22" width="13.5" style="402" customWidth="1"/>
    <col min="23" max="23" width="8.83203125" bestFit="1" customWidth="1"/>
    <col min="24" max="24" width="13.6640625" customWidth="1"/>
    <col min="25" max="25" width="13.5" style="402" customWidth="1"/>
    <col min="26" max="26" width="13.33203125" bestFit="1" customWidth="1"/>
    <col min="27" max="27" width="13.33203125" customWidth="1"/>
    <col min="28" max="28" width="13.5" style="402" customWidth="1"/>
    <col min="29" max="29" width="10.1640625" bestFit="1" customWidth="1"/>
    <col min="30" max="30" width="13.33203125" customWidth="1"/>
    <col min="31" max="31" width="13.5" style="402" customWidth="1"/>
    <col min="32" max="32" width="12.33203125" bestFit="1" customWidth="1"/>
    <col min="33" max="33" width="12.33203125" customWidth="1"/>
    <col min="34" max="34" width="13.5" style="402" customWidth="1"/>
    <col min="35" max="35" width="8.83203125" bestFit="1" customWidth="1"/>
    <col min="36" max="36" width="10.83203125" customWidth="1"/>
    <col min="37" max="37" width="13.5" style="402" customWidth="1"/>
    <col min="38" max="38" width="12.33203125" bestFit="1" customWidth="1"/>
    <col min="39" max="39" width="12.33203125" customWidth="1"/>
    <col min="40" max="40" width="13.5" style="402" customWidth="1"/>
    <col min="41" max="41" width="9.1640625" bestFit="1" customWidth="1"/>
    <col min="42" max="42" width="12.33203125" customWidth="1"/>
    <col min="43" max="43" width="13.5" style="402" customWidth="1"/>
    <col min="44" max="44" width="11.33203125" bestFit="1" customWidth="1"/>
    <col min="45" max="45" width="11.33203125" customWidth="1"/>
    <col min="46" max="46" width="13.5" style="402" customWidth="1"/>
    <col min="47" max="47" width="13.6640625" customWidth="1"/>
    <col min="48" max="48" width="11.5" bestFit="1" customWidth="1"/>
    <col min="49" max="49" width="13.5" style="402" customWidth="1"/>
  </cols>
  <sheetData>
    <row r="2" spans="1:49" s="390" customFormat="1">
      <c r="B2" s="395" t="s">
        <v>84</v>
      </c>
      <c r="C2" s="391" t="s">
        <v>84</v>
      </c>
      <c r="D2" s="396"/>
      <c r="E2" s="395" t="s">
        <v>76</v>
      </c>
      <c r="F2" s="391" t="s">
        <v>76</v>
      </c>
      <c r="G2" s="396"/>
      <c r="H2" s="395" t="s">
        <v>85</v>
      </c>
      <c r="I2" s="391" t="s">
        <v>85</v>
      </c>
      <c r="J2" s="396"/>
      <c r="K2" s="391" t="s">
        <v>105</v>
      </c>
      <c r="L2" s="391" t="s">
        <v>105</v>
      </c>
      <c r="M2" s="396"/>
      <c r="N2" s="391" t="s">
        <v>86</v>
      </c>
      <c r="O2" s="391" t="s">
        <v>86</v>
      </c>
      <c r="P2" s="396"/>
      <c r="Q2" s="392" t="s">
        <v>135</v>
      </c>
      <c r="R2" s="392" t="s">
        <v>135</v>
      </c>
      <c r="S2" s="396"/>
      <c r="T2" s="391" t="s">
        <v>87</v>
      </c>
      <c r="U2" s="391" t="s">
        <v>87</v>
      </c>
      <c r="V2" s="396"/>
      <c r="W2" s="391" t="s">
        <v>77</v>
      </c>
      <c r="X2" s="391" t="s">
        <v>77</v>
      </c>
      <c r="Y2" s="396"/>
      <c r="Z2" s="391" t="s">
        <v>88</v>
      </c>
      <c r="AA2" s="391" t="s">
        <v>88</v>
      </c>
      <c r="AB2" s="396"/>
      <c r="AC2" s="392" t="s">
        <v>109</v>
      </c>
      <c r="AD2" s="392" t="s">
        <v>109</v>
      </c>
      <c r="AE2" s="396"/>
      <c r="AF2" s="391" t="s">
        <v>119</v>
      </c>
      <c r="AG2" s="391" t="s">
        <v>119</v>
      </c>
      <c r="AH2" s="396"/>
      <c r="AI2" s="391" t="s">
        <v>21</v>
      </c>
      <c r="AJ2" s="391" t="s">
        <v>21</v>
      </c>
      <c r="AK2" s="396"/>
      <c r="AL2" s="391" t="s">
        <v>17</v>
      </c>
      <c r="AM2" s="391" t="s">
        <v>17</v>
      </c>
      <c r="AN2" s="396"/>
      <c r="AO2" s="391" t="s">
        <v>37</v>
      </c>
      <c r="AP2" s="391" t="s">
        <v>37</v>
      </c>
      <c r="AQ2" s="396"/>
      <c r="AR2" s="391" t="s">
        <v>38</v>
      </c>
      <c r="AS2" s="391" t="s">
        <v>38</v>
      </c>
      <c r="AT2" s="396"/>
      <c r="AU2" s="391" t="s">
        <v>46</v>
      </c>
      <c r="AV2" s="391" t="s">
        <v>46</v>
      </c>
      <c r="AW2" s="396"/>
    </row>
    <row r="3" spans="1:49" s="390" customFormat="1">
      <c r="B3" s="395" t="s">
        <v>322</v>
      </c>
      <c r="C3" s="391" t="s">
        <v>399</v>
      </c>
      <c r="D3" s="396" t="s">
        <v>397</v>
      </c>
      <c r="E3" s="395" t="s">
        <v>322</v>
      </c>
      <c r="F3" s="391" t="s">
        <v>399</v>
      </c>
      <c r="G3" s="396" t="s">
        <v>397</v>
      </c>
      <c r="H3" s="395" t="s">
        <v>322</v>
      </c>
      <c r="I3" s="391" t="s">
        <v>399</v>
      </c>
      <c r="J3" s="396" t="s">
        <v>397</v>
      </c>
      <c r="K3" s="391" t="s">
        <v>322</v>
      </c>
      <c r="L3" s="391" t="s">
        <v>399</v>
      </c>
      <c r="M3" s="396" t="s">
        <v>397</v>
      </c>
      <c r="N3" s="391" t="s">
        <v>322</v>
      </c>
      <c r="O3" s="391" t="s">
        <v>399</v>
      </c>
      <c r="P3" s="396" t="s">
        <v>397</v>
      </c>
      <c r="Q3" s="391" t="s">
        <v>322</v>
      </c>
      <c r="R3" s="391" t="s">
        <v>399</v>
      </c>
      <c r="S3" s="396" t="s">
        <v>397</v>
      </c>
      <c r="T3" s="391" t="s">
        <v>322</v>
      </c>
      <c r="U3" s="391" t="s">
        <v>399</v>
      </c>
      <c r="V3" s="396" t="s">
        <v>397</v>
      </c>
      <c r="W3" s="391" t="s">
        <v>322</v>
      </c>
      <c r="X3" s="391" t="s">
        <v>399</v>
      </c>
      <c r="Y3" s="396" t="s">
        <v>397</v>
      </c>
      <c r="Z3" s="391" t="s">
        <v>322</v>
      </c>
      <c r="AA3" s="391" t="s">
        <v>399</v>
      </c>
      <c r="AB3" s="396" t="s">
        <v>397</v>
      </c>
      <c r="AC3" s="391" t="s">
        <v>322</v>
      </c>
      <c r="AD3" s="391" t="s">
        <v>399</v>
      </c>
      <c r="AE3" s="396" t="s">
        <v>397</v>
      </c>
      <c r="AF3" s="391" t="s">
        <v>322</v>
      </c>
      <c r="AG3" s="391" t="s">
        <v>399</v>
      </c>
      <c r="AH3" s="396" t="s">
        <v>397</v>
      </c>
      <c r="AI3" s="391" t="s">
        <v>322</v>
      </c>
      <c r="AJ3" s="391" t="s">
        <v>399</v>
      </c>
      <c r="AK3" s="396" t="s">
        <v>397</v>
      </c>
      <c r="AL3" s="391" t="s">
        <v>322</v>
      </c>
      <c r="AM3" s="391" t="s">
        <v>399</v>
      </c>
      <c r="AN3" s="396" t="s">
        <v>397</v>
      </c>
      <c r="AO3" s="391" t="s">
        <v>322</v>
      </c>
      <c r="AP3" s="391" t="s">
        <v>399</v>
      </c>
      <c r="AQ3" s="396" t="s">
        <v>397</v>
      </c>
      <c r="AR3" s="391" t="s">
        <v>322</v>
      </c>
      <c r="AS3" s="391" t="s">
        <v>399</v>
      </c>
      <c r="AT3" s="396" t="s">
        <v>397</v>
      </c>
      <c r="AU3" s="391" t="s">
        <v>322</v>
      </c>
      <c r="AV3" s="391" t="s">
        <v>399</v>
      </c>
      <c r="AW3" s="396" t="s">
        <v>397</v>
      </c>
    </row>
    <row r="4" spans="1:49" s="390" customFormat="1">
      <c r="A4" s="16">
        <v>42874</v>
      </c>
      <c r="B4" s="397">
        <f>SUMIFS(Collection!$O:$O, Collection!$B:$B, "*" &amp; B$2 &amp; "*", Collection!$A:$A, "="&amp;$A4)</f>
        <v>0</v>
      </c>
      <c r="C4" s="118">
        <f>(SUMIFS('Bucket Counts'!$P:$P, 'Bucket Counts'!$D:$D, "*" &amp; C$2 &amp; "*", 'Bucket Counts'!$A:$A, "="&amp;$A4))</f>
        <v>0</v>
      </c>
      <c r="D4" s="398">
        <f>B4</f>
        <v>0</v>
      </c>
      <c r="E4" s="397">
        <f>SUMIFS(Collection!$O:$O, Collection!$B:$B, "*" &amp; E$2 &amp; "*", Collection!$A:$A, "="&amp;$A4)</f>
        <v>0</v>
      </c>
      <c r="F4" s="118">
        <f>(SUMIFS('Bucket Counts'!$P:$P, 'Bucket Counts'!$D:$D, "*" &amp; F$2 &amp; "*", 'Bucket Counts'!$A:$A, "="&amp;$A4))</f>
        <v>0</v>
      </c>
      <c r="G4" s="398">
        <f>E4</f>
        <v>0</v>
      </c>
      <c r="H4" s="397">
        <f>SUMIFS(Collection!$O:$O, Collection!$B:$B, "*" &amp; H$2 &amp; "*", Collection!$A:$A, "="&amp;$A4)</f>
        <v>350</v>
      </c>
      <c r="I4" s="118">
        <f>(SUMIFS('Bucket Counts'!$P:$P, 'Bucket Counts'!$D:$D, "*" &amp; I$2 &amp; "*", 'Bucket Counts'!$A:$A, "="&amp;$A4))</f>
        <v>0</v>
      </c>
      <c r="J4" s="398">
        <f>H4</f>
        <v>350</v>
      </c>
      <c r="K4" s="17">
        <f>SUMIFS(Collection!$O:$O, Collection!$B:$B, "*" &amp; K$2 &amp; "*", Collection!$A:$A, "="&amp;$A4)</f>
        <v>0</v>
      </c>
      <c r="L4" s="17">
        <f>(SUMIFS('Bucket Counts'!$P:$P, 'Bucket Counts'!$D:$D, "*" &amp; L$2 &amp; "*", 'Bucket Counts'!$A:$A, "="&amp;$A4))</f>
        <v>0</v>
      </c>
      <c r="M4" s="398">
        <f>K4</f>
        <v>0</v>
      </c>
      <c r="N4" s="17">
        <f>SUMIFS(Collection!$O:$O, Collection!$B:$B, "*" &amp; N$2 &amp; "*", Collection!$A:$A, "="&amp;$A4)</f>
        <v>80640</v>
      </c>
      <c r="O4" s="17">
        <f>(SUMIFS('Bucket Counts'!$P:$P, 'Bucket Counts'!$D:$D, "*" &amp; O$2 &amp; "*", 'Bucket Counts'!$A:$A, "="&amp;$A4))</f>
        <v>0</v>
      </c>
      <c r="P4" s="398">
        <f>N4</f>
        <v>80640</v>
      </c>
      <c r="Q4" s="17">
        <f>SUMIFS(Collection!$O:$O, Collection!$B:$B, "*" &amp; Q$2 &amp; "*", Collection!$A:$A, "="&amp;$A4)</f>
        <v>0</v>
      </c>
      <c r="R4" s="17">
        <f>(SUMIFS('Bucket Counts'!$P:$P, 'Bucket Counts'!$D:$D, "*" &amp; R$2 &amp; "*", 'Bucket Counts'!$A:$A, "="&amp;$A4))</f>
        <v>0</v>
      </c>
      <c r="S4" s="398">
        <f>Q4</f>
        <v>0</v>
      </c>
      <c r="T4" s="17">
        <f>SUMIFS(Collection!$O:$O, Collection!$B:$B, "*" &amp; T$2 &amp; "*", Collection!$A:$A, "="&amp;$A4)</f>
        <v>0</v>
      </c>
      <c r="U4" s="17">
        <f>(SUMIFS('Bucket Counts'!$P:$P, 'Bucket Counts'!$D:$D, "*" &amp; U$2 &amp; "*", 'Bucket Counts'!$A:$A, "="&amp;$A4))</f>
        <v>0</v>
      </c>
      <c r="V4" s="398">
        <f>T4</f>
        <v>0</v>
      </c>
      <c r="W4" s="17">
        <f>SUMIFS(Collection!$O:$O, Collection!$B:$B, "*" &amp; W$2 &amp; "*", Collection!$A:$A, "="&amp;$A4)</f>
        <v>0</v>
      </c>
      <c r="X4" s="17">
        <f>(SUMIFS('Bucket Counts'!$P:$P, 'Bucket Counts'!$D:$D, "*" &amp; X$2 &amp; "*", 'Bucket Counts'!$A:$A, "="&amp;$A4))</f>
        <v>0</v>
      </c>
      <c r="Y4" s="398">
        <f>W4</f>
        <v>0</v>
      </c>
      <c r="Z4" s="17">
        <f>SUMIFS(Collection!$O:$O, Collection!$B:$B, "*" &amp; Z$2 &amp; "*", Collection!$A:$A, "="&amp;$A4)</f>
        <v>0</v>
      </c>
      <c r="AA4" s="17">
        <f>(SUMIFS('Bucket Counts'!$P:$P, 'Bucket Counts'!$D:$D, "*" &amp; AA$2 &amp; "*", 'Bucket Counts'!$A:$A, "="&amp;$A4))</f>
        <v>0</v>
      </c>
      <c r="AB4" s="398">
        <f>Z4</f>
        <v>0</v>
      </c>
      <c r="AC4" s="17">
        <f>SUMIFS(Collection!$O:$O, Collection!$B:$B, "*" &amp; AC$2 &amp; "*", Collection!$A:$A, "="&amp;$A4)</f>
        <v>0</v>
      </c>
      <c r="AD4" s="17">
        <f>(SUMIFS('Bucket Counts'!$P:$P, 'Bucket Counts'!$D:$D, "*" &amp; AD$2 &amp; "*", 'Bucket Counts'!$A:$A, "="&amp;$A4))</f>
        <v>0</v>
      </c>
      <c r="AE4" s="398">
        <f>AC4</f>
        <v>0</v>
      </c>
      <c r="AF4" s="17">
        <f>SUMIFS(Collection!$O:$O, Collection!$B:$B, "*" &amp; AF$2 &amp; "*", Collection!$A:$A, "="&amp;$A4)</f>
        <v>0</v>
      </c>
      <c r="AG4" s="17">
        <f>(SUMIFS('Bucket Counts'!$P:$P, 'Bucket Counts'!$D:$D, "*" &amp; AG$2 &amp; "*", 'Bucket Counts'!$A:$A, "="&amp;$A4))</f>
        <v>0</v>
      </c>
      <c r="AH4" s="398">
        <f>AF4</f>
        <v>0</v>
      </c>
      <c r="AI4" s="17">
        <f>SUMIFS(Collection!$O:$O, Collection!$B:$B, "*" &amp; AI$2 &amp; "*", Collection!$A:$A, "="&amp;$A4)</f>
        <v>0</v>
      </c>
      <c r="AJ4" s="17">
        <f>(SUMIFS('Bucket Counts'!$P:$P, 'Bucket Counts'!$D:$D, "*" &amp; AJ$2 &amp; "*", 'Bucket Counts'!$A:$A, "="&amp;$A4))</f>
        <v>0</v>
      </c>
      <c r="AK4" s="398">
        <f>AI4</f>
        <v>0</v>
      </c>
      <c r="AL4" s="17">
        <f>SUMIFS(Collection!$O:$O, Collection!$B:$B, "*" &amp; AL$2 &amp; "*", Collection!$A:$A, "="&amp;$A4)</f>
        <v>0</v>
      </c>
      <c r="AM4" s="17">
        <f>(SUMIFS('Bucket Counts'!$P:$P, 'Bucket Counts'!$D:$D, "*" &amp; AM$2 &amp; "*", 'Bucket Counts'!$A:$A, "="&amp;$A4))</f>
        <v>0</v>
      </c>
      <c r="AN4" s="398">
        <f>AL4</f>
        <v>0</v>
      </c>
      <c r="AO4" s="17">
        <f>SUMIFS(Collection!$O:$O, Collection!$B:$B, "*" &amp; AO$2 &amp; "*", Collection!$A:$A, "="&amp;$A4)</f>
        <v>11916.666666666666</v>
      </c>
      <c r="AP4" s="17">
        <f>(SUMIFS('Bucket Counts'!$P:$P, 'Bucket Counts'!$D:$D, "*" &amp; AP$2 &amp; "*", 'Bucket Counts'!$A:$A, "="&amp;$A4))</f>
        <v>0</v>
      </c>
      <c r="AQ4" s="398">
        <f>AO4</f>
        <v>11916.666666666666</v>
      </c>
      <c r="AR4" s="17">
        <f>SUMIFS(Collection!$O:$O, Collection!$B:$B, "*" &amp; AR$2 &amp; "*", Collection!$A:$A, "="&amp;$A4)</f>
        <v>2041.6666666666665</v>
      </c>
      <c r="AS4" s="17">
        <f>(SUMIFS('Bucket Counts'!$P:$P, 'Bucket Counts'!$D:$D, "*" &amp; AS$2 &amp; "*", 'Bucket Counts'!$A:$A, "="&amp;$A4))</f>
        <v>0</v>
      </c>
      <c r="AT4" s="398">
        <f>AR4</f>
        <v>2041.6666666666665</v>
      </c>
      <c r="AU4" s="17">
        <f>SUMIFS(Collection!$O:$O, Collection!$B:$B, "*" &amp; AU$2 &amp; "*", Collection!$A:$A, "="&amp;$A4)</f>
        <v>0</v>
      </c>
      <c r="AV4" s="17">
        <f>(SUMIFS('Bucket Counts'!$P:$P, 'Bucket Counts'!$D:$D, "*" &amp; AV$2 &amp; "*", 'Bucket Counts'!$A:$A, "="&amp;$A4))</f>
        <v>0</v>
      </c>
      <c r="AW4" s="398">
        <f>AU4</f>
        <v>0</v>
      </c>
    </row>
    <row r="5" spans="1:49" s="390" customFormat="1">
      <c r="A5" s="16">
        <v>42875</v>
      </c>
      <c r="B5" s="397">
        <f>SUMIFS(Collection!$O:$O, Collection!$B:$B, "*" &amp; B$2 &amp; "*", Collection!$A:$A, "="&amp;$A5)</f>
        <v>0</v>
      </c>
      <c r="C5" s="118">
        <f>(SUMIFS('Bucket Counts'!$P:$P, 'Bucket Counts'!$D:$D, "*" &amp; C$2 &amp; "*", 'Bucket Counts'!$A:$A, "="&amp;$A5))</f>
        <v>0</v>
      </c>
      <c r="D5" s="398">
        <f>SUM(B4:B5)</f>
        <v>0</v>
      </c>
      <c r="E5" s="397">
        <f>SUMIFS(Collection!$O:$O, Collection!$B:$B, "*" &amp; E$2 &amp; "*", Collection!$A:$A, "="&amp;$A5)</f>
        <v>0</v>
      </c>
      <c r="F5" s="118">
        <f>(SUMIFS('Bucket Counts'!$P:$P, 'Bucket Counts'!$D:$D, "*" &amp; F$2 &amp; "*", 'Bucket Counts'!$A:$A, "="&amp;$A5))</f>
        <v>0</v>
      </c>
      <c r="G5" s="398">
        <f>SUM(E4:E5)</f>
        <v>0</v>
      </c>
      <c r="H5" s="397">
        <f>SUMIFS(Collection!$O:$O, Collection!$B:$B, "*" &amp; H$2 &amp; "*", Collection!$A:$A, "="&amp;$A5)</f>
        <v>0</v>
      </c>
      <c r="I5" s="118">
        <f>(SUMIFS('Bucket Counts'!$P:$P, 'Bucket Counts'!$D:$D, "*" &amp; I$2 &amp; "*", 'Bucket Counts'!$A:$A, "="&amp;$A5))</f>
        <v>0</v>
      </c>
      <c r="J5" s="398">
        <f>SUM(H4:H5)</f>
        <v>350</v>
      </c>
      <c r="K5" s="17">
        <f>SUMIFS(Collection!$O:$O, Collection!$B:$B, "*" &amp; K$2 &amp; "*", Collection!$A:$A, "="&amp;$A5)</f>
        <v>0</v>
      </c>
      <c r="L5" s="17">
        <f>(SUMIFS('Bucket Counts'!$P:$P, 'Bucket Counts'!$D:$D, "*" &amp; L$2 &amp; "*", 'Bucket Counts'!$A:$A, "="&amp;$A5))</f>
        <v>0</v>
      </c>
      <c r="M5" s="398">
        <f>SUM(K4:K5)</f>
        <v>0</v>
      </c>
      <c r="N5" s="17">
        <f>SUMIFS(Collection!$O:$O, Collection!$B:$B, "*" &amp; N$2 &amp; "*", Collection!$A:$A, "="&amp;$A5)</f>
        <v>124960</v>
      </c>
      <c r="O5" s="17">
        <f>(SUMIFS('Bucket Counts'!$P:$P, 'Bucket Counts'!$D:$D, "*" &amp; O$2 &amp; "*", 'Bucket Counts'!$A:$A, "="&amp;$A5))</f>
        <v>0</v>
      </c>
      <c r="P5" s="398">
        <f>SUM(N4:N5)</f>
        <v>205600</v>
      </c>
      <c r="Q5" s="17">
        <f>SUMIFS(Collection!$O:$O, Collection!$B:$B, "*" &amp; Q$2 &amp; "*", Collection!$A:$A, "="&amp;$A5)</f>
        <v>187333.33333333334</v>
      </c>
      <c r="R5" s="17">
        <f>(SUMIFS('Bucket Counts'!$P:$P, 'Bucket Counts'!$D:$D, "*" &amp; R$2 &amp; "*", 'Bucket Counts'!$A:$A, "="&amp;$A5))</f>
        <v>0</v>
      </c>
      <c r="S5" s="398">
        <f>SUM(Q4:Q5)</f>
        <v>187333.33333333334</v>
      </c>
      <c r="T5" s="17">
        <f>SUMIFS(Collection!$O:$O, Collection!$B:$B, "*" &amp; T$2 &amp; "*", Collection!$A:$A, "="&amp;$A5)</f>
        <v>0</v>
      </c>
      <c r="U5" s="17">
        <f>(SUMIFS('Bucket Counts'!$P:$P, 'Bucket Counts'!$D:$D, "*" &amp; U$2 &amp; "*", 'Bucket Counts'!$A:$A, "="&amp;$A5))</f>
        <v>0</v>
      </c>
      <c r="V5" s="398">
        <f>SUM(T4:T5)</f>
        <v>0</v>
      </c>
      <c r="W5" s="17">
        <f>SUMIFS(Collection!$O:$O, Collection!$B:$B, "*" &amp; W$2 &amp; "*", Collection!$A:$A, "="&amp;$A5)</f>
        <v>11866.666666666668</v>
      </c>
      <c r="X5" s="17">
        <f>(SUMIFS('Bucket Counts'!$P:$P, 'Bucket Counts'!$D:$D, "*" &amp; X$2 &amp; "*", 'Bucket Counts'!$A:$A, "="&amp;$A5))</f>
        <v>0</v>
      </c>
      <c r="Y5" s="398">
        <f>SUM(W4:W5)</f>
        <v>11866.666666666668</v>
      </c>
      <c r="Z5" s="17">
        <f>SUMIFS(Collection!$O:$O, Collection!$B:$B, "*" &amp; Z$2 &amp; "*", Collection!$A:$A, "="&amp;$A5)</f>
        <v>0</v>
      </c>
      <c r="AA5" s="17">
        <f>(SUMIFS('Bucket Counts'!$P:$P, 'Bucket Counts'!$D:$D, "*" &amp; AA$2 &amp; "*", 'Bucket Counts'!$A:$A, "="&amp;$A5))</f>
        <v>0</v>
      </c>
      <c r="AB5" s="398">
        <f>SUM(Z4:Z5)</f>
        <v>0</v>
      </c>
      <c r="AC5" s="17">
        <f>SUMIFS(Collection!$O:$O, Collection!$B:$B, "*" &amp; AC$2 &amp; "*", Collection!$A:$A, "="&amp;$A5)</f>
        <v>0</v>
      </c>
      <c r="AD5" s="17">
        <f>(SUMIFS('Bucket Counts'!$P:$P, 'Bucket Counts'!$D:$D, "*" &amp; AD$2 &amp; "*", 'Bucket Counts'!$A:$A, "="&amp;$A5))</f>
        <v>0</v>
      </c>
      <c r="AE5" s="398">
        <f>SUM(AC4:AC5)</f>
        <v>0</v>
      </c>
      <c r="AF5" s="17">
        <f>SUMIFS(Collection!$O:$O, Collection!$B:$B, "*" &amp; AF$2 &amp; "*", Collection!$A:$A, "="&amp;$A5)</f>
        <v>0</v>
      </c>
      <c r="AG5" s="17">
        <f>(SUMIFS('Bucket Counts'!$P:$P, 'Bucket Counts'!$D:$D, "*" &amp; AG$2 &amp; "*", 'Bucket Counts'!$A:$A, "="&amp;$A5))</f>
        <v>0</v>
      </c>
      <c r="AH5" s="398">
        <f>SUM(AF4:AF5)</f>
        <v>0</v>
      </c>
      <c r="AI5" s="17">
        <f>SUMIFS(Collection!$O:$O, Collection!$B:$B, "*" &amp; AI$2 &amp; "*", Collection!$A:$A, "="&amp;$A5)</f>
        <v>0</v>
      </c>
      <c r="AJ5" s="17">
        <f>(SUMIFS('Bucket Counts'!$P:$P, 'Bucket Counts'!$D:$D, "*" &amp; AJ$2 &amp; "*", 'Bucket Counts'!$A:$A, "="&amp;$A5))</f>
        <v>0</v>
      </c>
      <c r="AK5" s="398">
        <f>SUM(AI4:AI5)</f>
        <v>0</v>
      </c>
      <c r="AL5" s="17">
        <f>SUMIFS(Collection!$O:$O, Collection!$B:$B, "*" &amp; AL$2 &amp; "*", Collection!$A:$A, "="&amp;$A5)</f>
        <v>108000</v>
      </c>
      <c r="AM5" s="17">
        <f>(SUMIFS('Bucket Counts'!$P:$P, 'Bucket Counts'!$D:$D, "*" &amp; AM$2 &amp; "*", 'Bucket Counts'!$A:$A, "="&amp;$A5))</f>
        <v>0</v>
      </c>
      <c r="AN5" s="398">
        <f>SUM(AL4:AL5)</f>
        <v>108000</v>
      </c>
      <c r="AO5" s="17">
        <f>SUMIFS(Collection!$O:$O, Collection!$B:$B, "*" &amp; AO$2 &amp; "*", Collection!$A:$A, "="&amp;$A5)</f>
        <v>0</v>
      </c>
      <c r="AP5" s="17">
        <f>(SUMIFS('Bucket Counts'!$P:$P, 'Bucket Counts'!$D:$D, "*" &amp; AP$2 &amp; "*", 'Bucket Counts'!$A:$A, "="&amp;$A5))</f>
        <v>0</v>
      </c>
      <c r="AQ5" s="398">
        <f>SUM(AO4:AO5)</f>
        <v>11916.666666666666</v>
      </c>
      <c r="AR5" s="17">
        <f>SUMIFS(Collection!$O:$O, Collection!$B:$B, "*" &amp; AR$2 &amp; "*", Collection!$A:$A, "="&amp;$A5)</f>
        <v>89666.666666666672</v>
      </c>
      <c r="AS5" s="17">
        <f>(SUMIFS('Bucket Counts'!$P:$P, 'Bucket Counts'!$D:$D, "*" &amp; AS$2 &amp; "*", 'Bucket Counts'!$A:$A, "="&amp;$A5))</f>
        <v>0</v>
      </c>
      <c r="AT5" s="398">
        <f>SUM(AR4:AR5)</f>
        <v>91708.333333333343</v>
      </c>
      <c r="AU5" s="17">
        <f>SUMIFS(Collection!$O:$O, Collection!$B:$B, "*" &amp; AU$2 &amp; "*", Collection!$A:$A, "="&amp;$A5)</f>
        <v>0</v>
      </c>
      <c r="AV5" s="17">
        <f>(SUMIFS('Bucket Counts'!$P:$P, 'Bucket Counts'!$D:$D, "*" &amp; AV$2 &amp; "*", 'Bucket Counts'!$A:$A, "="&amp;$A5))</f>
        <v>0</v>
      </c>
      <c r="AW5" s="398">
        <f>SUM(AU4:AU5)</f>
        <v>0</v>
      </c>
    </row>
    <row r="6" spans="1:49" s="390" customFormat="1">
      <c r="A6" s="16">
        <v>42876</v>
      </c>
      <c r="B6" s="397">
        <f>SUMIFS(Collection!$O:$O, Collection!$B:$B, "*" &amp; B$2 &amp; "*", Collection!$A:$A, "="&amp;$A6)</f>
        <v>0</v>
      </c>
      <c r="C6" s="118">
        <f>(SUMIFS('Bucket Counts'!$P:$P, 'Bucket Counts'!$D:$D, "*" &amp; C$2 &amp; "*", 'Bucket Counts'!$A:$A, "="&amp;$A6))</f>
        <v>0</v>
      </c>
      <c r="D6" s="398">
        <f>SUM(B4:B6)</f>
        <v>0</v>
      </c>
      <c r="E6" s="397">
        <f>SUMIFS(Collection!$O:$O, Collection!$B:$B, "*" &amp; E$2 &amp; "*", Collection!$A:$A, "="&amp;$A6)</f>
        <v>55300</v>
      </c>
      <c r="F6" s="118">
        <f>(SUMIFS('Bucket Counts'!$P:$P, 'Bucket Counts'!$D:$D, "*" &amp; F$2 &amp; "*", 'Bucket Counts'!$A:$A, "="&amp;$A6))</f>
        <v>0</v>
      </c>
      <c r="G6" s="398">
        <f>SUM(E4:E6)</f>
        <v>55300</v>
      </c>
      <c r="H6" s="397">
        <f>SUMIFS(Collection!$O:$O, Collection!$B:$B, "*" &amp; H$2 &amp; "*", Collection!$A:$A, "="&amp;$A6)</f>
        <v>0</v>
      </c>
      <c r="I6" s="118">
        <f>(SUMIFS('Bucket Counts'!$P:$P, 'Bucket Counts'!$D:$D, "*" &amp; I$2 &amp; "*", 'Bucket Counts'!$A:$A, "="&amp;$A6))</f>
        <v>0</v>
      </c>
      <c r="J6" s="398">
        <f>SUM(H4:H6)</f>
        <v>350</v>
      </c>
      <c r="K6" s="17">
        <f>SUMIFS(Collection!$O:$O, Collection!$B:$B, "*" &amp; K$2 &amp; "*", Collection!$A:$A, "="&amp;$A6)</f>
        <v>0</v>
      </c>
      <c r="L6" s="17">
        <f>(SUMIFS('Bucket Counts'!$P:$P, 'Bucket Counts'!$D:$D, "*" &amp; L$2 &amp; "*", 'Bucket Counts'!$A:$A, "="&amp;$A6))</f>
        <v>0</v>
      </c>
      <c r="M6" s="398">
        <f>SUM(K4:K6)</f>
        <v>0</v>
      </c>
      <c r="N6" s="17">
        <f>SUMIFS(Collection!$O:$O, Collection!$B:$B, "*" &amp; N$2 &amp; "*", Collection!$A:$A, "="&amp;$A6)</f>
        <v>144733.33333333334</v>
      </c>
      <c r="O6" s="17">
        <f>(SUMIFS('Bucket Counts'!$P:$P, 'Bucket Counts'!$D:$D, "*" &amp; O$2 &amp; "*", 'Bucket Counts'!$A:$A, "="&amp;$A6))</f>
        <v>0</v>
      </c>
      <c r="P6" s="398">
        <f>SUM(N4:N6)</f>
        <v>350333.33333333337</v>
      </c>
      <c r="Q6" s="17">
        <f>SUMIFS(Collection!$O:$O, Collection!$B:$B, "*" &amp; Q$2 &amp; "*", Collection!$A:$A, "="&amp;$A6)</f>
        <v>53833.333333333336</v>
      </c>
      <c r="R6" s="17">
        <f>(SUMIFS('Bucket Counts'!$P:$P, 'Bucket Counts'!$D:$D, "*" &amp; R$2 &amp; "*", 'Bucket Counts'!$A:$A, "="&amp;$A6))</f>
        <v>0</v>
      </c>
      <c r="S6" s="398">
        <f>SUM(Q4:Q6)</f>
        <v>241166.66666666669</v>
      </c>
      <c r="T6" s="17">
        <f>SUMIFS(Collection!$O:$O, Collection!$B:$B, "*" &amp; T$2 &amp; "*", Collection!$A:$A, "="&amp;$A6)</f>
        <v>8166.6666666666661</v>
      </c>
      <c r="U6" s="17">
        <f>(SUMIFS('Bucket Counts'!$P:$P, 'Bucket Counts'!$D:$D, "*" &amp; U$2 &amp; "*", 'Bucket Counts'!$A:$A, "="&amp;$A6))</f>
        <v>0</v>
      </c>
      <c r="V6" s="398">
        <f>SUM(T4:T6)</f>
        <v>8166.6666666666661</v>
      </c>
      <c r="W6" s="17">
        <f>SUMIFS(Collection!$O:$O, Collection!$B:$B, "*" &amp; W$2 &amp; "*", Collection!$A:$A, "="&amp;$A6)</f>
        <v>99433.333333333343</v>
      </c>
      <c r="X6" s="17">
        <f>(SUMIFS('Bucket Counts'!$P:$P, 'Bucket Counts'!$D:$D, "*" &amp; X$2 &amp; "*", 'Bucket Counts'!$A:$A, "="&amp;$A6))</f>
        <v>0</v>
      </c>
      <c r="Y6" s="398">
        <f>SUM(W4:W6)</f>
        <v>111300.00000000001</v>
      </c>
      <c r="Z6" s="17">
        <f>SUMIFS(Collection!$O:$O, Collection!$B:$B, "*" &amp; Z$2 &amp; "*", Collection!$A:$A, "="&amp;$A6)</f>
        <v>0</v>
      </c>
      <c r="AA6" s="17">
        <f>(SUMIFS('Bucket Counts'!$P:$P, 'Bucket Counts'!$D:$D, "*" &amp; AA$2 &amp; "*", 'Bucket Counts'!$A:$A, "="&amp;$A6))</f>
        <v>0</v>
      </c>
      <c r="AB6" s="398">
        <f>SUM(Z4:Z6)</f>
        <v>0</v>
      </c>
      <c r="AC6" s="17">
        <f>SUMIFS(Collection!$O:$O, Collection!$B:$B, "*" &amp; AC$2 &amp; "*", Collection!$A:$A, "="&amp;$A6)</f>
        <v>0</v>
      </c>
      <c r="AD6" s="17">
        <f>(SUMIFS('Bucket Counts'!$P:$P, 'Bucket Counts'!$D:$D, "*" &amp; AD$2 &amp; "*", 'Bucket Counts'!$A:$A, "="&amp;$A6))</f>
        <v>0</v>
      </c>
      <c r="AE6" s="398">
        <f>SUM(AC4:AC6)</f>
        <v>0</v>
      </c>
      <c r="AF6" s="17">
        <f>SUMIFS(Collection!$O:$O, Collection!$B:$B, "*" &amp; AF$2 &amp; "*", Collection!$A:$A, "="&amp;$A6)</f>
        <v>0</v>
      </c>
      <c r="AG6" s="17">
        <f>(SUMIFS('Bucket Counts'!$P:$P, 'Bucket Counts'!$D:$D, "*" &amp; AG$2 &amp; "*", 'Bucket Counts'!$A:$A, "="&amp;$A6))</f>
        <v>0</v>
      </c>
      <c r="AH6" s="398">
        <f>SUM(AF4:AF6)</f>
        <v>0</v>
      </c>
      <c r="AI6" s="17">
        <f>SUMIFS(Collection!$O:$O, Collection!$B:$B, "*" &amp; AI$2 &amp; "*", Collection!$A:$A, "="&amp;$A6)</f>
        <v>0</v>
      </c>
      <c r="AJ6" s="17">
        <f>(SUMIFS('Bucket Counts'!$P:$P, 'Bucket Counts'!$D:$D, "*" &amp; AJ$2 &amp; "*", 'Bucket Counts'!$A:$A, "="&amp;$A6))</f>
        <v>0</v>
      </c>
      <c r="AK6" s="398">
        <f>SUM(AI4:AI6)</f>
        <v>0</v>
      </c>
      <c r="AL6" s="17">
        <f>SUMIFS(Collection!$O:$O, Collection!$B:$B, "*" &amp; AL$2 &amp; "*", Collection!$A:$A, "="&amp;$A6)</f>
        <v>13250</v>
      </c>
      <c r="AM6" s="17">
        <f>(SUMIFS('Bucket Counts'!$P:$P, 'Bucket Counts'!$D:$D, "*" &amp; AM$2 &amp; "*", 'Bucket Counts'!$A:$A, "="&amp;$A6))</f>
        <v>0</v>
      </c>
      <c r="AN6" s="398">
        <f>SUM(AL4:AL6)</f>
        <v>121250</v>
      </c>
      <c r="AO6" s="17">
        <f>SUMIFS(Collection!$O:$O, Collection!$B:$B, "*" &amp; AO$2 &amp; "*", Collection!$A:$A, "="&amp;$A6)</f>
        <v>0</v>
      </c>
      <c r="AP6" s="17">
        <f>(SUMIFS('Bucket Counts'!$P:$P, 'Bucket Counts'!$D:$D, "*" &amp; AP$2 &amp; "*", 'Bucket Counts'!$A:$A, "="&amp;$A6))</f>
        <v>0</v>
      </c>
      <c r="AQ6" s="398">
        <f>SUM(AO4:AO6)</f>
        <v>11916.666666666666</v>
      </c>
      <c r="AR6" s="17">
        <f>SUMIFS(Collection!$O:$O, Collection!$B:$B, "*" &amp; AR$2 &amp; "*", Collection!$A:$A, "="&amp;$A6)</f>
        <v>0</v>
      </c>
      <c r="AS6" s="17">
        <f>(SUMIFS('Bucket Counts'!$P:$P, 'Bucket Counts'!$D:$D, "*" &amp; AS$2 &amp; "*", 'Bucket Counts'!$A:$A, "="&amp;$A6))</f>
        <v>0</v>
      </c>
      <c r="AT6" s="398">
        <f>SUM(AR4:AR6)</f>
        <v>91708.333333333343</v>
      </c>
      <c r="AU6" s="17">
        <f>SUMIFS(Collection!$O:$O, Collection!$B:$B, "*" &amp; AU$2 &amp; "*", Collection!$A:$A, "="&amp;$A6)</f>
        <v>53900</v>
      </c>
      <c r="AV6" s="17">
        <f>(SUMIFS('Bucket Counts'!$P:$P, 'Bucket Counts'!$D:$D, "*" &amp; AV$2 &amp; "*", 'Bucket Counts'!$A:$A, "="&amp;$A6))</f>
        <v>0</v>
      </c>
      <c r="AW6" s="398">
        <f>SUM(AU4:AU6)</f>
        <v>53900</v>
      </c>
    </row>
    <row r="7" spans="1:49" s="390" customFormat="1">
      <c r="A7" s="16">
        <v>42877</v>
      </c>
      <c r="B7" s="397">
        <f>SUMIFS(Collection!$O:$O, Collection!$B:$B, "*" &amp; B$2 &amp; "*", Collection!$A:$A, "="&amp;$A7)</f>
        <v>0</v>
      </c>
      <c r="C7" s="118">
        <f>(SUMIFS('Bucket Counts'!$P:$P, 'Bucket Counts'!$D:$D, "*" &amp; C$2 &amp; "*", 'Bucket Counts'!$A:$A, "="&amp;$A7))</f>
        <v>0</v>
      </c>
      <c r="D7" s="398">
        <f>SUM(B4:B7)</f>
        <v>0</v>
      </c>
      <c r="E7" s="397">
        <f>SUMIFS(Collection!$O:$O, Collection!$B:$B, "*" &amp; E$2 &amp; "*", Collection!$A:$A, "="&amp;$A7)</f>
        <v>583.33333333333337</v>
      </c>
      <c r="F7" s="118">
        <f>(SUMIFS('Bucket Counts'!$P:$P, 'Bucket Counts'!$D:$D, "*" &amp; F$2 &amp; "*", 'Bucket Counts'!$A:$A, "="&amp;$A7))</f>
        <v>0</v>
      </c>
      <c r="G7" s="398">
        <f>SUM(E4:E7)</f>
        <v>55883.333333333336</v>
      </c>
      <c r="H7" s="397">
        <f>SUMIFS(Collection!$O:$O, Collection!$B:$B, "*" &amp; H$2 &amp; "*", Collection!$A:$A, "="&amp;$A7)</f>
        <v>466.66666666666663</v>
      </c>
      <c r="I7" s="118">
        <f>(SUMIFS('Bucket Counts'!$P:$P, 'Bucket Counts'!$D:$D, "*" &amp; I$2 &amp; "*", 'Bucket Counts'!$A:$A, "="&amp;$A7))</f>
        <v>0</v>
      </c>
      <c r="J7" s="398">
        <f>SUM(H4:H7)</f>
        <v>816.66666666666663</v>
      </c>
      <c r="K7" s="17">
        <f>SUMIFS(Collection!$O:$O, Collection!$B:$B, "*" &amp; K$2 &amp; "*", Collection!$A:$A, "="&amp;$A7)</f>
        <v>0</v>
      </c>
      <c r="L7" s="17">
        <f>(SUMIFS('Bucket Counts'!$P:$P, 'Bucket Counts'!$D:$D, "*" &amp; L$2 &amp; "*", 'Bucket Counts'!$A:$A, "="&amp;$A7))</f>
        <v>0</v>
      </c>
      <c r="M7" s="398">
        <f>SUM(K4:K7)</f>
        <v>0</v>
      </c>
      <c r="N7" s="17">
        <f>SUMIFS(Collection!$O:$O, Collection!$B:$B, "*" &amp; N$2 &amp; "*", Collection!$A:$A, "="&amp;$A7)</f>
        <v>3400</v>
      </c>
      <c r="O7" s="17">
        <f>(SUMIFS('Bucket Counts'!$P:$P, 'Bucket Counts'!$D:$D, "*" &amp; O$2 &amp; "*", 'Bucket Counts'!$A:$A, "="&amp;$A7))</f>
        <v>0</v>
      </c>
      <c r="P7" s="398">
        <f>SUM(N4:N7)</f>
        <v>353733.33333333337</v>
      </c>
      <c r="Q7" s="17">
        <f>SUMIFS(Collection!$O:$O, Collection!$B:$B, "*" &amp; Q$2 &amp; "*", Collection!$A:$A, "="&amp;$A7)</f>
        <v>0</v>
      </c>
      <c r="R7" s="17">
        <f>(SUMIFS('Bucket Counts'!$P:$P, 'Bucket Counts'!$D:$D, "*" &amp; R$2 &amp; "*", 'Bucket Counts'!$A:$A, "="&amp;$A7))</f>
        <v>0</v>
      </c>
      <c r="S7" s="398">
        <f>SUM(Q4:Q7)</f>
        <v>241166.66666666669</v>
      </c>
      <c r="T7" s="17">
        <f>SUMIFS(Collection!$O:$O, Collection!$B:$B, "*" &amp; T$2 &amp; "*", Collection!$A:$A, "="&amp;$A7)</f>
        <v>24500</v>
      </c>
      <c r="U7" s="17">
        <f>(SUMIFS('Bucket Counts'!$P:$P, 'Bucket Counts'!$D:$D, "*" &amp; U$2 &amp; "*", 'Bucket Counts'!$A:$A, "="&amp;$A7))</f>
        <v>0</v>
      </c>
      <c r="V7" s="398">
        <f>SUM(T4:T7)</f>
        <v>32666.666666666664</v>
      </c>
      <c r="W7" s="17">
        <f>SUMIFS(Collection!$O:$O, Collection!$B:$B, "*" &amp; W$2 &amp; "*", Collection!$A:$A, "="&amp;$A7)</f>
        <v>51000</v>
      </c>
      <c r="X7" s="17">
        <f>(SUMIFS('Bucket Counts'!$P:$P, 'Bucket Counts'!$D:$D, "*" &amp; X$2 &amp; "*", 'Bucket Counts'!$A:$A, "="&amp;$A7))</f>
        <v>0</v>
      </c>
      <c r="Y7" s="398">
        <f>SUM(W4:W7)</f>
        <v>162300</v>
      </c>
      <c r="Z7" s="17">
        <f>SUMIFS(Collection!$O:$O, Collection!$B:$B, "*" &amp; Z$2 &amp; "*", Collection!$A:$A, "="&amp;$A7)</f>
        <v>0</v>
      </c>
      <c r="AA7" s="17">
        <f>(SUMIFS('Bucket Counts'!$P:$P, 'Bucket Counts'!$D:$D, "*" &amp; AA$2 &amp; "*", 'Bucket Counts'!$A:$A, "="&amp;$A7))</f>
        <v>0</v>
      </c>
      <c r="AB7" s="398">
        <f>SUM(Z4:Z7)</f>
        <v>0</v>
      </c>
      <c r="AC7" s="17">
        <f>SUMIFS(Collection!$O:$O, Collection!$B:$B, "*" &amp; AC$2 &amp; "*", Collection!$A:$A, "="&amp;$A7)</f>
        <v>0</v>
      </c>
      <c r="AD7" s="17">
        <f>(SUMIFS('Bucket Counts'!$P:$P, 'Bucket Counts'!$D:$D, "*" &amp; AD$2 &amp; "*", 'Bucket Counts'!$A:$A, "="&amp;$A7))</f>
        <v>0</v>
      </c>
      <c r="AE7" s="398">
        <f>SUM(AC4:AC7)</f>
        <v>0</v>
      </c>
      <c r="AF7" s="17">
        <f>SUMIFS(Collection!$O:$O, Collection!$B:$B, "*" &amp; AF$2 &amp; "*", Collection!$A:$A, "="&amp;$A7)</f>
        <v>0</v>
      </c>
      <c r="AG7" s="17">
        <f>(SUMIFS('Bucket Counts'!$P:$P, 'Bucket Counts'!$D:$D, "*" &amp; AG$2 &amp; "*", 'Bucket Counts'!$A:$A, "="&amp;$A7))</f>
        <v>0</v>
      </c>
      <c r="AH7" s="398">
        <f>SUM(AF4:AF7)</f>
        <v>0</v>
      </c>
      <c r="AI7" s="17">
        <f>SUMIFS(Collection!$O:$O, Collection!$B:$B, "*" &amp; AI$2 &amp; "*", Collection!$A:$A, "="&amp;$A7)</f>
        <v>0</v>
      </c>
      <c r="AJ7" s="17">
        <f>(SUMIFS('Bucket Counts'!$P:$P, 'Bucket Counts'!$D:$D, "*" &amp; AJ$2 &amp; "*", 'Bucket Counts'!$A:$A, "="&amp;$A7))</f>
        <v>0</v>
      </c>
      <c r="AK7" s="398">
        <f>SUM(AI4:AI7)</f>
        <v>0</v>
      </c>
      <c r="AL7" s="17">
        <f>SUMIFS(Collection!$O:$O, Collection!$B:$B, "*" &amp; AL$2 &amp; "*", Collection!$A:$A, "="&amp;$A7)</f>
        <v>625</v>
      </c>
      <c r="AM7" s="17">
        <f>(SUMIFS('Bucket Counts'!$P:$P, 'Bucket Counts'!$D:$D, "*" &amp; AM$2 &amp; "*", 'Bucket Counts'!$A:$A, "="&amp;$A7))</f>
        <v>0</v>
      </c>
      <c r="AN7" s="398">
        <f>SUM(AL4:AL7)</f>
        <v>121875</v>
      </c>
      <c r="AO7" s="17">
        <f>SUMIFS(Collection!$O:$O, Collection!$B:$B, "*" &amp; AO$2 &amp; "*", Collection!$A:$A, "="&amp;$A7)</f>
        <v>0</v>
      </c>
      <c r="AP7" s="17">
        <f>(SUMIFS('Bucket Counts'!$P:$P, 'Bucket Counts'!$D:$D, "*" &amp; AP$2 &amp; "*", 'Bucket Counts'!$A:$A, "="&amp;$A7))</f>
        <v>0</v>
      </c>
      <c r="AQ7" s="398">
        <f>SUM(AO4:AO7)</f>
        <v>11916.666666666666</v>
      </c>
      <c r="AR7" s="17">
        <f>SUMIFS(Collection!$O:$O, Collection!$B:$B, "*" &amp; AR$2 &amp; "*", Collection!$A:$A, "="&amp;$A7)</f>
        <v>0</v>
      </c>
      <c r="AS7" s="17">
        <f>(SUMIFS('Bucket Counts'!$P:$P, 'Bucket Counts'!$D:$D, "*" &amp; AS$2 &amp; "*", 'Bucket Counts'!$A:$A, "="&amp;$A7))</f>
        <v>0</v>
      </c>
      <c r="AT7" s="398">
        <f>SUM(AR4:AR7)</f>
        <v>91708.333333333343</v>
      </c>
      <c r="AU7" s="17">
        <f>SUMIFS(Collection!$O:$O, Collection!$B:$B, "*" &amp; AU$2 &amp; "*", Collection!$A:$A, "="&amp;$A7)</f>
        <v>1800</v>
      </c>
      <c r="AV7" s="17">
        <f>(SUMIFS('Bucket Counts'!$P:$P, 'Bucket Counts'!$D:$D, "*" &amp; AV$2 &amp; "*", 'Bucket Counts'!$A:$A, "="&amp;$A7))</f>
        <v>0</v>
      </c>
      <c r="AW7" s="398">
        <f>SUM(AU4:AU7)</f>
        <v>55700</v>
      </c>
    </row>
    <row r="8" spans="1:49" s="390" customFormat="1">
      <c r="A8" s="16">
        <v>42878</v>
      </c>
      <c r="B8" s="397">
        <f>SUMIFS(Collection!$O:$O, Collection!$B:$B, "*" &amp; B$2 &amp; "*", Collection!$A:$A, "="&amp;$A8)</f>
        <v>0</v>
      </c>
      <c r="C8" s="118">
        <f>(SUMIFS('Bucket Counts'!$P:$P, 'Bucket Counts'!$D:$D, "*" &amp; C$2 &amp; "*", 'Bucket Counts'!$A:$A, "="&amp;$A8))</f>
        <v>0</v>
      </c>
      <c r="D8" s="398">
        <f>C8+B8</f>
        <v>0</v>
      </c>
      <c r="E8" s="397">
        <f>SUMIFS(Collection!$O:$O, Collection!$B:$B, "*" &amp; E$2 &amp; "*", Collection!$A:$A, "="&amp;$A8)</f>
        <v>2266.666666666667</v>
      </c>
      <c r="F8" s="118">
        <f>(SUMIFS('Bucket Counts'!$P:$P, 'Bucket Counts'!$D:$D, "*" &amp; F$2 &amp; "*", 'Bucket Counts'!$A:$A, "="&amp;$A8))</f>
        <v>49600</v>
      </c>
      <c r="G8" s="398">
        <f>F8+E8</f>
        <v>51866.666666666664</v>
      </c>
      <c r="H8" s="397">
        <f>SUMIFS(Collection!$O:$O, Collection!$B:$B, "*" &amp; H$2 &amp; "*", Collection!$A:$A, "="&amp;$A8)</f>
        <v>0</v>
      </c>
      <c r="I8" s="118">
        <f>(SUMIFS('Bucket Counts'!$P:$P, 'Bucket Counts'!$D:$D, "*" &amp; I$2 &amp; "*", 'Bucket Counts'!$A:$A, "="&amp;$A8))</f>
        <v>0</v>
      </c>
      <c r="J8" s="398">
        <f>SUM(H4:H8)</f>
        <v>816.66666666666663</v>
      </c>
      <c r="K8" s="17">
        <f>SUMIFS(Collection!$O:$O, Collection!$B:$B, "*" &amp; K$2 &amp; "*", Collection!$A:$A, "="&amp;$A8)</f>
        <v>0</v>
      </c>
      <c r="L8" s="17">
        <f>(SUMIFS('Bucket Counts'!$P:$P, 'Bucket Counts'!$D:$D, "*" &amp; L$2 &amp; "*", 'Bucket Counts'!$A:$A, "="&amp;$A8))</f>
        <v>0</v>
      </c>
      <c r="M8" s="398">
        <f>SUM(K4:K8)</f>
        <v>0</v>
      </c>
      <c r="N8" s="17">
        <f>SUMIFS(Collection!$O:$O, Collection!$B:$B, "*" &amp; N$2 &amp; "*", Collection!$A:$A, "="&amp;$A8)</f>
        <v>21866.666666666664</v>
      </c>
      <c r="O8" s="17">
        <f>(SUMIFS('Bucket Counts'!$P:$P, 'Bucket Counts'!$D:$D, "*" &amp; O$2 &amp; "*", 'Bucket Counts'!$A:$A, "="&amp;$A8))</f>
        <v>0</v>
      </c>
      <c r="P8" s="398">
        <f>SUM(N4:N8)</f>
        <v>375600.00000000006</v>
      </c>
      <c r="Q8" s="17">
        <f>SUMIFS(Collection!$O:$O, Collection!$B:$B, "*" &amp; Q$2 &amp; "*", Collection!$A:$A, "="&amp;$A8)</f>
        <v>33800</v>
      </c>
      <c r="R8" s="17">
        <f>(SUMIFS('Bucket Counts'!$P:$P, 'Bucket Counts'!$D:$D, "*" &amp; R$2 &amp; "*", 'Bucket Counts'!$A:$A, "="&amp;$A8))</f>
        <v>0</v>
      </c>
      <c r="S8" s="398">
        <f>SUM(Q4:Q8)</f>
        <v>274966.66666666669</v>
      </c>
      <c r="T8" s="17">
        <f>SUMIFS(Collection!$O:$O, Collection!$B:$B, "*" &amp; T$2 &amp; "*", Collection!$A:$A, "="&amp;$A8)</f>
        <v>65333.333333333336</v>
      </c>
      <c r="U8" s="17">
        <f>(SUMIFS('Bucket Counts'!$P:$P, 'Bucket Counts'!$D:$D, "*" &amp; U$2 &amp; "*", 'Bucket Counts'!$A:$A, "="&amp;$A8))</f>
        <v>0</v>
      </c>
      <c r="V8" s="398">
        <f>SUM(T4:T8)</f>
        <v>98000</v>
      </c>
      <c r="W8" s="17">
        <f>SUMIFS(Collection!$O:$O, Collection!$B:$B, "*" &amp; W$2 &amp; "*", Collection!$A:$A, "="&amp;$A8)</f>
        <v>1000</v>
      </c>
      <c r="X8" s="17">
        <f>(SUMIFS('Bucket Counts'!$P:$P, 'Bucket Counts'!$D:$D, "*" &amp; X$2 &amp; "*", 'Bucket Counts'!$A:$A, "="&amp;$A8))</f>
        <v>145800</v>
      </c>
      <c r="Y8" s="398">
        <f>X8+W8</f>
        <v>146800</v>
      </c>
      <c r="Z8" s="17">
        <f>SUMIFS(Collection!$O:$O, Collection!$B:$B, "*" &amp; Z$2 &amp; "*", Collection!$A:$A, "="&amp;$A8)</f>
        <v>0</v>
      </c>
      <c r="AA8" s="17">
        <f>(SUMIFS('Bucket Counts'!$P:$P, 'Bucket Counts'!$D:$D, "*" &amp; AA$2 &amp; "*", 'Bucket Counts'!$A:$A, "="&amp;$A8))</f>
        <v>0</v>
      </c>
      <c r="AB8" s="398">
        <f>SUM(Z4:Z8)</f>
        <v>0</v>
      </c>
      <c r="AC8" s="17">
        <f>SUMIFS(Collection!$O:$O, Collection!$B:$B, "*" &amp; AC$2 &amp; "*", Collection!$A:$A, "="&amp;$A8)</f>
        <v>0</v>
      </c>
      <c r="AD8" s="17">
        <f>(SUMIFS('Bucket Counts'!$P:$P, 'Bucket Counts'!$D:$D, "*" &amp; AD$2 &amp; "*", 'Bucket Counts'!$A:$A, "="&amp;$A8))</f>
        <v>0</v>
      </c>
      <c r="AE8" s="398">
        <f>SUM(AC4:AC8)</f>
        <v>0</v>
      </c>
      <c r="AF8" s="17">
        <f>SUMIFS(Collection!$O:$O, Collection!$B:$B, "*" &amp; AF$2 &amp; "*", Collection!$A:$A, "="&amp;$A8)</f>
        <v>0</v>
      </c>
      <c r="AG8" s="17">
        <f>(SUMIFS('Bucket Counts'!$P:$P, 'Bucket Counts'!$D:$D, "*" &amp; AG$2 &amp; "*", 'Bucket Counts'!$A:$A, "="&amp;$A8))</f>
        <v>0</v>
      </c>
      <c r="AH8" s="398">
        <f>SUM(AF4:AF8)</f>
        <v>0</v>
      </c>
      <c r="AI8" s="17">
        <f>SUMIFS(Collection!$O:$O, Collection!$B:$B, "*" &amp; AI$2 &amp; "*", Collection!$A:$A, "="&amp;$A8)</f>
        <v>0</v>
      </c>
      <c r="AJ8" s="17">
        <f>(SUMIFS('Bucket Counts'!$P:$P, 'Bucket Counts'!$D:$D, "*" &amp; AJ$2 &amp; "*", 'Bucket Counts'!$A:$A, "="&amp;$A8))</f>
        <v>0</v>
      </c>
      <c r="AK8" s="398">
        <f>SUM(AI4:AI8)</f>
        <v>0</v>
      </c>
      <c r="AL8" s="17">
        <f>SUMIFS(Collection!$O:$O, Collection!$B:$B, "*" &amp; AL$2 &amp; "*", Collection!$A:$A, "="&amp;$A8)</f>
        <v>0</v>
      </c>
      <c r="AM8" s="17">
        <f>(SUMIFS('Bucket Counts'!$P:$P, 'Bucket Counts'!$D:$D, "*" &amp; AM$2 &amp; "*", 'Bucket Counts'!$A:$A, "="&amp;$A8))</f>
        <v>0</v>
      </c>
      <c r="AN8" s="398">
        <f>SUM(AL4:AL8)</f>
        <v>121875</v>
      </c>
      <c r="AO8" s="17">
        <f>SUMIFS(Collection!$O:$O, Collection!$B:$B, "*" &amp; AO$2 &amp; "*", Collection!$A:$A, "="&amp;$A8)</f>
        <v>0</v>
      </c>
      <c r="AP8" s="17">
        <f>(SUMIFS('Bucket Counts'!$P:$P, 'Bucket Counts'!$D:$D, "*" &amp; AP$2 &amp; "*", 'Bucket Counts'!$A:$A, "="&amp;$A8))</f>
        <v>0</v>
      </c>
      <c r="AQ8" s="398">
        <f>SUM(AO4:AO8)</f>
        <v>11916.666666666666</v>
      </c>
      <c r="AR8" s="17">
        <f>SUMIFS(Collection!$O:$O, Collection!$B:$B, "*" &amp; AR$2 &amp; "*", Collection!$A:$A, "="&amp;$A8)</f>
        <v>0</v>
      </c>
      <c r="AS8" s="17">
        <f>(SUMIFS('Bucket Counts'!$P:$P, 'Bucket Counts'!$D:$D, "*" &amp; AS$2 &amp; "*", 'Bucket Counts'!$A:$A, "="&amp;$A8))</f>
        <v>0</v>
      </c>
      <c r="AT8" s="398">
        <f>SUM(AR4:AR8)</f>
        <v>91708.333333333343</v>
      </c>
      <c r="AU8" s="17">
        <f>SUMIFS(Collection!$O:$O, Collection!$B:$B, "*" &amp; AU$2 &amp; "*", Collection!$A:$A, "="&amp;$A8)</f>
        <v>49100</v>
      </c>
      <c r="AV8" s="17">
        <f>(SUMIFS('Bucket Counts'!$P:$P, 'Bucket Counts'!$D:$D, "*" &amp; AV$2 &amp; "*", 'Bucket Counts'!$A:$A, "="&amp;$A8))</f>
        <v>55333.333333333343</v>
      </c>
      <c r="AW8" s="398">
        <f>AV8+AU8</f>
        <v>104433.33333333334</v>
      </c>
    </row>
    <row r="9" spans="1:49" s="390" customFormat="1">
      <c r="A9" s="16">
        <v>42879</v>
      </c>
      <c r="B9" s="397">
        <f>SUMIFS(Collection!$O:$O, Collection!$B:$B, "*" &amp; B$2 &amp; "*", Collection!$A:$A, "="&amp;$A9)</f>
        <v>0</v>
      </c>
      <c r="C9" s="118">
        <f>(SUMIFS('Bucket Counts'!$P:$P, 'Bucket Counts'!$D:$D, "*" &amp; C$2 &amp; "*", 'Bucket Counts'!$A:$A, "="&amp;$A9))</f>
        <v>0</v>
      </c>
      <c r="D9" s="398">
        <f>C8+SUM(B8:B9)</f>
        <v>0</v>
      </c>
      <c r="E9" s="397">
        <f>SUMIFS(Collection!$O:$O, Collection!$B:$B, "*" &amp; E$2 &amp; "*", Collection!$A:$A, "="&amp;$A9)</f>
        <v>52350</v>
      </c>
      <c r="F9" s="118">
        <f>(SUMIFS('Bucket Counts'!$P:$P, 'Bucket Counts'!$D:$D, "*" &amp; F$2 &amp; "*", 'Bucket Counts'!$A:$A, "="&amp;$A9))</f>
        <v>0</v>
      </c>
      <c r="G9" s="398">
        <f>F8+SUM(E8:E9)</f>
        <v>104216.66666666666</v>
      </c>
      <c r="H9" s="397">
        <f>SUMIFS(Collection!$O:$O, Collection!$B:$B, "*" &amp; H$2 &amp; "*", Collection!$A:$A, "="&amp;$A9)</f>
        <v>0</v>
      </c>
      <c r="I9" s="118">
        <f>(SUMIFS('Bucket Counts'!$P:$P, 'Bucket Counts'!$D:$D, "*" &amp; I$2 &amp; "*", 'Bucket Counts'!$A:$A, "="&amp;$A9))</f>
        <v>0</v>
      </c>
      <c r="J9" s="398">
        <f>SUM(H4:H9)</f>
        <v>816.66666666666663</v>
      </c>
      <c r="K9" s="17">
        <f>SUMIFS(Collection!$O:$O, Collection!$B:$B, "*" &amp; K$2 &amp; "*", Collection!$A:$A, "="&amp;$A9)</f>
        <v>0</v>
      </c>
      <c r="L9" s="17">
        <f>(SUMIFS('Bucket Counts'!$P:$P, 'Bucket Counts'!$D:$D, "*" &amp; L$2 &amp; "*", 'Bucket Counts'!$A:$A, "="&amp;$A9))</f>
        <v>0</v>
      </c>
      <c r="M9" s="398">
        <f>SUM(K4:K9)</f>
        <v>0</v>
      </c>
      <c r="N9" s="17">
        <f>SUMIFS(Collection!$O:$O, Collection!$B:$B, "*" &amp; N$2 &amp; "*", Collection!$A:$A, "="&amp;$A9)</f>
        <v>0</v>
      </c>
      <c r="O9" s="17">
        <f>(SUMIFS('Bucket Counts'!$P:$P, 'Bucket Counts'!$D:$D, "*" &amp; O$2 &amp; "*", 'Bucket Counts'!$A:$A, "="&amp;$A9))</f>
        <v>0</v>
      </c>
      <c r="P9" s="398">
        <f>SUM(N4:N9)</f>
        <v>375600.00000000006</v>
      </c>
      <c r="Q9" s="17">
        <f>SUMIFS(Collection!$O:$O, Collection!$B:$B, "*" &amp; Q$2 &amp; "*", Collection!$A:$A, "="&amp;$A9)</f>
        <v>0</v>
      </c>
      <c r="R9" s="17">
        <f>(SUMIFS('Bucket Counts'!$P:$P, 'Bucket Counts'!$D:$D, "*" &amp; R$2 &amp; "*", 'Bucket Counts'!$A:$A, "="&amp;$A9))</f>
        <v>0</v>
      </c>
      <c r="S9" s="398">
        <f>SUM(Q4:Q9)</f>
        <v>274966.66666666669</v>
      </c>
      <c r="T9" s="17">
        <f>SUMIFS(Collection!$O:$O, Collection!$B:$B, "*" &amp; T$2 &amp; "*", Collection!$A:$A, "="&amp;$A9)</f>
        <v>4500</v>
      </c>
      <c r="U9" s="17">
        <f>(SUMIFS('Bucket Counts'!$P:$P, 'Bucket Counts'!$D:$D, "*" &amp; U$2 &amp; "*", 'Bucket Counts'!$A:$A, "="&amp;$A9))</f>
        <v>0</v>
      </c>
      <c r="V9" s="398">
        <f>SUM(T4:T9)</f>
        <v>102500</v>
      </c>
      <c r="W9" s="17">
        <f>SUMIFS(Collection!$O:$O, Collection!$B:$B, "*" &amp; W$2 &amp; "*", Collection!$A:$A, "="&amp;$A9)</f>
        <v>0</v>
      </c>
      <c r="X9" s="17">
        <f>(SUMIFS('Bucket Counts'!$P:$P, 'Bucket Counts'!$D:$D, "*" &amp; X$2 &amp; "*", 'Bucket Counts'!$A:$A, "="&amp;$A9))</f>
        <v>0</v>
      </c>
      <c r="Y9" s="398">
        <f>X8+SUM(W8:W9)</f>
        <v>146800</v>
      </c>
      <c r="Z9" s="17">
        <f>SUMIFS(Collection!$O:$O, Collection!$B:$B, "*" &amp; Z$2 &amp; "*", Collection!$A:$A, "="&amp;$A9)</f>
        <v>51466.666666666664</v>
      </c>
      <c r="AA9" s="17">
        <f>(SUMIFS('Bucket Counts'!$P:$P, 'Bucket Counts'!$D:$D, "*" &amp; AA$2 &amp; "*", 'Bucket Counts'!$A:$A, "="&amp;$A9))</f>
        <v>0</v>
      </c>
      <c r="AB9" s="398">
        <f>SUM(Z4:Z9)</f>
        <v>51466.666666666664</v>
      </c>
      <c r="AC9" s="17">
        <f>SUMIFS(Collection!$O:$O, Collection!$B:$B, "*" &amp; AC$2 &amp; "*", Collection!$A:$A, "="&amp;$A9)</f>
        <v>0</v>
      </c>
      <c r="AD9" s="17">
        <f>(SUMIFS('Bucket Counts'!$P:$P, 'Bucket Counts'!$D:$D, "*" &amp; AD$2 &amp; "*", 'Bucket Counts'!$A:$A, "="&amp;$A9))</f>
        <v>0</v>
      </c>
      <c r="AE9" s="398">
        <f>SUM(AC4:AC9)</f>
        <v>0</v>
      </c>
      <c r="AF9" s="17">
        <f>SUMIFS(Collection!$O:$O, Collection!$B:$B, "*" &amp; AF$2 &amp; "*", Collection!$A:$A, "="&amp;$A9)</f>
        <v>0</v>
      </c>
      <c r="AG9" s="17">
        <f>(SUMIFS('Bucket Counts'!$P:$P, 'Bucket Counts'!$D:$D, "*" &amp; AG$2 &amp; "*", 'Bucket Counts'!$A:$A, "="&amp;$A9))</f>
        <v>0</v>
      </c>
      <c r="AH9" s="398">
        <f>SUM(AF4:AF9)</f>
        <v>0</v>
      </c>
      <c r="AI9" s="17">
        <f>SUMIFS(Collection!$O:$O, Collection!$B:$B, "*" &amp; AI$2 &amp; "*", Collection!$A:$A, "="&amp;$A9)</f>
        <v>0</v>
      </c>
      <c r="AJ9" s="17">
        <f>(SUMIFS('Bucket Counts'!$P:$P, 'Bucket Counts'!$D:$D, "*" &amp; AJ$2 &amp; "*", 'Bucket Counts'!$A:$A, "="&amp;$A9))</f>
        <v>0</v>
      </c>
      <c r="AK9" s="398">
        <f>SUM(AI4:AI9)</f>
        <v>0</v>
      </c>
      <c r="AL9" s="17">
        <f>SUMIFS(Collection!$O:$O, Collection!$B:$B, "*" &amp; AL$2 &amp; "*", Collection!$A:$A, "="&amp;$A9)</f>
        <v>24150</v>
      </c>
      <c r="AM9" s="17">
        <f>(SUMIFS('Bucket Counts'!$P:$P, 'Bucket Counts'!$D:$D, "*" &amp; AM$2 &amp; "*", 'Bucket Counts'!$A:$A, "="&amp;$A9))</f>
        <v>0</v>
      </c>
      <c r="AN9" s="398">
        <f>SUM(AL4:AL9)</f>
        <v>146025</v>
      </c>
      <c r="AO9" s="17">
        <f>SUMIFS(Collection!$O:$O, Collection!$B:$B, "*" &amp; AO$2 &amp; "*", Collection!$A:$A, "="&amp;$A9)</f>
        <v>0</v>
      </c>
      <c r="AP9" s="17">
        <f>(SUMIFS('Bucket Counts'!$P:$P, 'Bucket Counts'!$D:$D, "*" &amp; AP$2 &amp; "*", 'Bucket Counts'!$A:$A, "="&amp;$A9))</f>
        <v>0</v>
      </c>
      <c r="AQ9" s="398">
        <f>SUM(AO4:AO9)</f>
        <v>11916.666666666666</v>
      </c>
      <c r="AR9" s="17">
        <f>SUMIFS(Collection!$O:$O, Collection!$B:$B, "*" &amp; AR$2 &amp; "*", Collection!$A:$A, "="&amp;$A9)</f>
        <v>0</v>
      </c>
      <c r="AS9" s="17">
        <f>(SUMIFS('Bucket Counts'!$P:$P, 'Bucket Counts'!$D:$D, "*" &amp; AS$2 &amp; "*", 'Bucket Counts'!$A:$A, "="&amp;$A9))</f>
        <v>0</v>
      </c>
      <c r="AT9" s="398">
        <f>SUM(AR4:AR9)</f>
        <v>91708.333333333343</v>
      </c>
      <c r="AU9" s="17">
        <f>SUMIFS(Collection!$O:$O, Collection!$B:$B, "*" &amp; AU$2 &amp; "*", Collection!$A:$A, "="&amp;$A9)</f>
        <v>22833.333333333332</v>
      </c>
      <c r="AV9" s="17">
        <f>(SUMIFS('Bucket Counts'!$P:$P, 'Bucket Counts'!$D:$D, "*" &amp; AV$2 &amp; "*", 'Bucket Counts'!$A:$A, "="&amp;$A9))</f>
        <v>0</v>
      </c>
      <c r="AW9" s="398">
        <f>AV8+SUM(AU8:AU9)</f>
        <v>127266.66666666667</v>
      </c>
    </row>
    <row r="10" spans="1:49" s="390" customFormat="1">
      <c r="A10" s="16">
        <v>42880</v>
      </c>
      <c r="B10" s="397">
        <f>SUMIFS(Collection!$O:$O, Collection!$B:$B, "*" &amp; B$2 &amp; "*", Collection!$A:$A, "="&amp;$A10)</f>
        <v>69750</v>
      </c>
      <c r="C10" s="118">
        <f>(SUMIFS('Bucket Counts'!$P:$P, 'Bucket Counts'!$D:$D, "*" &amp; C$2 &amp; "*", 'Bucket Counts'!$A:$A, "="&amp;$A10))</f>
        <v>0</v>
      </c>
      <c r="D10" s="398">
        <f>C8+SUM(B8:B10)</f>
        <v>69750</v>
      </c>
      <c r="E10" s="397">
        <f>SUMIFS(Collection!$O:$O, Collection!$B:$B, "*" &amp; E$2 &amp; "*", Collection!$A:$A, "="&amp;$A10)</f>
        <v>0</v>
      </c>
      <c r="F10" s="118">
        <f>(SUMIFS('Bucket Counts'!$P:$P, 'Bucket Counts'!$D:$D, "*" &amp; F$2 &amp; "*", 'Bucket Counts'!$A:$A, "="&amp;$A10))</f>
        <v>0</v>
      </c>
      <c r="G10" s="398">
        <f>F8+SUM(E8:E10)</f>
        <v>104216.66666666666</v>
      </c>
      <c r="H10" s="397">
        <f>SUMIFS(Collection!$O:$O, Collection!$B:$B, "*" &amp; H$2 &amp; "*", Collection!$A:$A, "="&amp;$A10)</f>
        <v>10800</v>
      </c>
      <c r="I10" s="118">
        <f>(SUMIFS('Bucket Counts'!$P:$P, 'Bucket Counts'!$D:$D, "*" &amp; I$2 &amp; "*", 'Bucket Counts'!$A:$A, "="&amp;$A10))</f>
        <v>0</v>
      </c>
      <c r="J10" s="398">
        <f>SUM(H4:H10)</f>
        <v>11616.666666666666</v>
      </c>
      <c r="K10" s="17">
        <f>SUMIFS(Collection!$O:$O, Collection!$B:$B, "*" &amp; K$2 &amp; "*", Collection!$A:$A, "="&amp;$A10)</f>
        <v>76950</v>
      </c>
      <c r="L10" s="17">
        <f>(SUMIFS('Bucket Counts'!$P:$P, 'Bucket Counts'!$D:$D, "*" &amp; L$2 &amp; "*", 'Bucket Counts'!$A:$A, "="&amp;$A10))</f>
        <v>0</v>
      </c>
      <c r="M10" s="398">
        <f>SUM(K4:K10)</f>
        <v>76950</v>
      </c>
      <c r="N10" s="17">
        <f>SUMIFS(Collection!$O:$O, Collection!$B:$B, "*" &amp; N$2 &amp; "*", Collection!$A:$A, "="&amp;$A10)</f>
        <v>0</v>
      </c>
      <c r="O10" s="17">
        <f>(SUMIFS('Bucket Counts'!$P:$P, 'Bucket Counts'!$D:$D, "*" &amp; O$2 &amp; "*", 'Bucket Counts'!$A:$A, "="&amp;$A10))</f>
        <v>0</v>
      </c>
      <c r="P10" s="398">
        <f>SUM(N4:N10)</f>
        <v>375600.00000000006</v>
      </c>
      <c r="Q10" s="17">
        <f>SUMIFS(Collection!$O:$O, Collection!$B:$B, "*" &amp; Q$2 &amp; "*", Collection!$A:$A, "="&amp;$A10)</f>
        <v>0</v>
      </c>
      <c r="R10" s="17">
        <f>(SUMIFS('Bucket Counts'!$P:$P, 'Bucket Counts'!$D:$D, "*" &amp; R$2 &amp; "*", 'Bucket Counts'!$A:$A, "="&amp;$A10))</f>
        <v>0</v>
      </c>
      <c r="S10" s="398">
        <f>SUM(Q4:Q10)</f>
        <v>274966.66666666669</v>
      </c>
      <c r="T10" s="17">
        <f>SUMIFS(Collection!$O:$O, Collection!$B:$B, "*" &amp; T$2 &amp; "*", Collection!$A:$A, "="&amp;$A10)</f>
        <v>0</v>
      </c>
      <c r="U10" s="17">
        <f>(SUMIFS('Bucket Counts'!$P:$P, 'Bucket Counts'!$D:$D, "*" &amp; U$2 &amp; "*", 'Bucket Counts'!$A:$A, "="&amp;$A10))</f>
        <v>0</v>
      </c>
      <c r="V10" s="398">
        <f>SUM(T4:T10)</f>
        <v>102500</v>
      </c>
      <c r="W10" s="17">
        <f>SUMIFS(Collection!$O:$O, Collection!$B:$B, "*" &amp; W$2 &amp; "*", Collection!$A:$A, "="&amp;$A10)</f>
        <v>0</v>
      </c>
      <c r="X10" s="17">
        <f>(SUMIFS('Bucket Counts'!$P:$P, 'Bucket Counts'!$D:$D, "*" &amp; X$2 &amp; "*", 'Bucket Counts'!$A:$A, "="&amp;$A10))</f>
        <v>0</v>
      </c>
      <c r="Y10" s="398">
        <f>X8+SUM(W8:W10)</f>
        <v>146800</v>
      </c>
      <c r="Z10" s="17">
        <f>SUMIFS(Collection!$O:$O, Collection!$B:$B, "*" &amp; Z$2 &amp; "*", Collection!$A:$A, "="&amp;$A10)</f>
        <v>26320</v>
      </c>
      <c r="AA10" s="17">
        <f>(SUMIFS('Bucket Counts'!$P:$P, 'Bucket Counts'!$D:$D, "*" &amp; AA$2 &amp; "*", 'Bucket Counts'!$A:$A, "="&amp;$A10))</f>
        <v>0</v>
      </c>
      <c r="AB10" s="398">
        <f>SUM(Z4:Z10)</f>
        <v>77786.666666666657</v>
      </c>
      <c r="AC10" s="17">
        <f>SUMIFS(Collection!$O:$O, Collection!$B:$B, "*" &amp; AC$2 &amp; "*", Collection!$A:$A, "="&amp;$A10)</f>
        <v>0</v>
      </c>
      <c r="AD10" s="17">
        <f>(SUMIFS('Bucket Counts'!$P:$P, 'Bucket Counts'!$D:$D, "*" &amp; AD$2 &amp; "*", 'Bucket Counts'!$A:$A, "="&amp;$A10))</f>
        <v>0</v>
      </c>
      <c r="AE10" s="398">
        <f>SUM(AC4:AC10)</f>
        <v>0</v>
      </c>
      <c r="AF10" s="17">
        <f>SUMIFS(Collection!$O:$O, Collection!$B:$B, "*" &amp; AF$2 &amp; "*", Collection!$A:$A, "="&amp;$A10)</f>
        <v>0</v>
      </c>
      <c r="AG10" s="17">
        <f>(SUMIFS('Bucket Counts'!$P:$P, 'Bucket Counts'!$D:$D, "*" &amp; AG$2 &amp; "*", 'Bucket Counts'!$A:$A, "="&amp;$A10))</f>
        <v>0</v>
      </c>
      <c r="AH10" s="398">
        <f>SUM(AF4:AF10)</f>
        <v>0</v>
      </c>
      <c r="AI10" s="17">
        <f>SUMIFS(Collection!$O:$O, Collection!$B:$B, "*" &amp; AI$2 &amp; "*", Collection!$A:$A, "="&amp;$A10)</f>
        <v>0</v>
      </c>
      <c r="AJ10" s="17">
        <f>(SUMIFS('Bucket Counts'!$P:$P, 'Bucket Counts'!$D:$D, "*" &amp; AJ$2 &amp; "*", 'Bucket Counts'!$A:$A, "="&amp;$A10))</f>
        <v>0</v>
      </c>
      <c r="AK10" s="398">
        <f>SUM(AI4:AI10)</f>
        <v>0</v>
      </c>
      <c r="AL10" s="17">
        <f>SUMIFS(Collection!$O:$O, Collection!$B:$B, "*" &amp; AL$2 &amp; "*", Collection!$A:$A, "="&amp;$A10)</f>
        <v>31206.666666666668</v>
      </c>
      <c r="AM10" s="17">
        <f>(SUMIFS('Bucket Counts'!$P:$P, 'Bucket Counts'!$D:$D, "*" &amp; AM$2 &amp; "*", 'Bucket Counts'!$A:$A, "="&amp;$A10))</f>
        <v>0</v>
      </c>
      <c r="AN10" s="398">
        <f>SUM(AL4:AL10)</f>
        <v>177231.66666666666</v>
      </c>
      <c r="AO10" s="17">
        <f>SUMIFS(Collection!$O:$O, Collection!$B:$B, "*" &amp; AO$2 &amp; "*", Collection!$A:$A, "="&amp;$A10)</f>
        <v>0</v>
      </c>
      <c r="AP10" s="17">
        <f>(SUMIFS('Bucket Counts'!$P:$P, 'Bucket Counts'!$D:$D, "*" &amp; AP$2 &amp; "*", 'Bucket Counts'!$A:$A, "="&amp;$A10))</f>
        <v>0</v>
      </c>
      <c r="AQ10" s="398">
        <f>SUM(AO4:AO10)</f>
        <v>11916.666666666666</v>
      </c>
      <c r="AR10" s="17">
        <f>SUMIFS(Collection!$O:$O, Collection!$B:$B, "*" &amp; AR$2 &amp; "*", Collection!$A:$A, "="&amp;$A10)</f>
        <v>0</v>
      </c>
      <c r="AS10" s="17">
        <f>(SUMIFS('Bucket Counts'!$P:$P, 'Bucket Counts'!$D:$D, "*" &amp; AS$2 &amp; "*", 'Bucket Counts'!$A:$A, "="&amp;$A10))</f>
        <v>0</v>
      </c>
      <c r="AT10" s="398">
        <f>SUM(AR4:AR10)</f>
        <v>91708.333333333343</v>
      </c>
      <c r="AU10" s="17">
        <f>SUMIFS(Collection!$O:$O, Collection!$B:$B, "*" &amp; AU$2 &amp; "*", Collection!$A:$A, "="&amp;$A10)</f>
        <v>0</v>
      </c>
      <c r="AV10" s="17">
        <f>(SUMIFS('Bucket Counts'!$P:$P, 'Bucket Counts'!$D:$D, "*" &amp; AV$2 &amp; "*", 'Bucket Counts'!$A:$A, "="&amp;$A10))</f>
        <v>0</v>
      </c>
      <c r="AW10" s="398">
        <f>AV8+SUM(AU8:AU10)</f>
        <v>127266.66666666667</v>
      </c>
    </row>
    <row r="11" spans="1:49" s="390" customFormat="1">
      <c r="A11" s="16">
        <v>42881</v>
      </c>
      <c r="B11" s="397">
        <f>SUMIFS(Collection!$O:$O, Collection!$B:$B, "*" &amp; B$2 &amp; "*", Collection!$A:$A, "="&amp;$A11)</f>
        <v>0</v>
      </c>
      <c r="C11" s="118">
        <f>(SUMIFS('Bucket Counts'!$P:$P, 'Bucket Counts'!$D:$D, "*" &amp; C$2 &amp; "*", 'Bucket Counts'!$A:$A, "="&amp;$A11))</f>
        <v>0</v>
      </c>
      <c r="D11" s="398">
        <f>C8+SUM(B8:B11)</f>
        <v>69750</v>
      </c>
      <c r="E11" s="397">
        <f>SUMIFS(Collection!$O:$O, Collection!$B:$B, "*" &amp; E$2 &amp; "*", Collection!$A:$A, "="&amp;$A11)</f>
        <v>0</v>
      </c>
      <c r="F11" s="118">
        <f>(SUMIFS('Bucket Counts'!$P:$P, 'Bucket Counts'!$D:$D, "*" &amp; F$2 &amp; "*", 'Bucket Counts'!$A:$A, "="&amp;$A11))</f>
        <v>0</v>
      </c>
      <c r="G11" s="398">
        <f>F8+SUM(E8:E11)</f>
        <v>104216.66666666666</v>
      </c>
      <c r="H11" s="397">
        <f>SUMIFS(Collection!$O:$O, Collection!$B:$B, "*" &amp; H$2 &amp; "*", Collection!$A:$A, "="&amp;$A11)</f>
        <v>54366.666666666672</v>
      </c>
      <c r="I11" s="118">
        <f>(SUMIFS('Bucket Counts'!$P:$P, 'Bucket Counts'!$D:$D, "*" &amp; I$2 &amp; "*", 'Bucket Counts'!$A:$A, "="&amp;$A11))</f>
        <v>0</v>
      </c>
      <c r="J11" s="398">
        <f>SUM(H4:H11)</f>
        <v>65983.333333333343</v>
      </c>
      <c r="K11" s="17">
        <f>SUMIFS(Collection!$O:$O, Collection!$B:$B, "*" &amp; K$2 &amp; "*", Collection!$A:$A, "="&amp;$A11)</f>
        <v>35700</v>
      </c>
      <c r="L11" s="17">
        <f>(SUMIFS('Bucket Counts'!$P:$P, 'Bucket Counts'!$D:$D, "*" &amp; L$2 &amp; "*", 'Bucket Counts'!$A:$A, "="&amp;$A11))</f>
        <v>100100</v>
      </c>
      <c r="M11" s="398">
        <f>L11+SUM(K11)</f>
        <v>135800</v>
      </c>
      <c r="N11" s="17">
        <f>SUMIFS(Collection!$O:$O, Collection!$B:$B, "*" &amp; N$2 &amp; "*", Collection!$A:$A, "="&amp;$A11)</f>
        <v>0</v>
      </c>
      <c r="O11" s="17">
        <f>(SUMIFS('Bucket Counts'!$P:$P, 'Bucket Counts'!$D:$D, "*" &amp; O$2 &amp; "*", 'Bucket Counts'!$A:$A, "="&amp;$A11))</f>
        <v>0</v>
      </c>
      <c r="P11" s="398">
        <f>O11+SUM(N11)</f>
        <v>0</v>
      </c>
      <c r="Q11" s="17">
        <f>SUMIFS(Collection!$O:$O, Collection!$B:$B, "*" &amp; Q$2 &amp; "*", Collection!$A:$A, "="&amp;$A11)</f>
        <v>57866.666666666664</v>
      </c>
      <c r="R11" s="17">
        <f>(SUMIFS('Bucket Counts'!$P:$P, 'Bucket Counts'!$D:$D, "*" &amp; R$2 &amp; "*", 'Bucket Counts'!$A:$A, "="&amp;$A11))</f>
        <v>0</v>
      </c>
      <c r="S11" s="398">
        <f>SUM(Q4:Q11)</f>
        <v>332833.33333333337</v>
      </c>
      <c r="T11" s="17">
        <f>SUMIFS(Collection!$O:$O, Collection!$B:$B, "*" &amp; T$2 &amp; "*", Collection!$A:$A, "="&amp;$A11)</f>
        <v>0</v>
      </c>
      <c r="U11" s="17">
        <f>(SUMIFS('Bucket Counts'!$P:$P, 'Bucket Counts'!$D:$D, "*" &amp; U$2 &amp; "*", 'Bucket Counts'!$A:$A, "="&amp;$A11))</f>
        <v>0</v>
      </c>
      <c r="V11" s="398">
        <f>SUM(T4:T11)</f>
        <v>102500</v>
      </c>
      <c r="W11" s="17">
        <f>SUMIFS(Collection!$O:$O, Collection!$B:$B, "*" &amp; W$2 &amp; "*", Collection!$A:$A, "="&amp;$A11)</f>
        <v>0</v>
      </c>
      <c r="X11" s="17">
        <f>(SUMIFS('Bucket Counts'!$P:$P, 'Bucket Counts'!$D:$D, "*" &amp; X$2 &amp; "*", 'Bucket Counts'!$A:$A, "="&amp;$A11))</f>
        <v>97600</v>
      </c>
      <c r="Y11" s="398">
        <f>X11+W11</f>
        <v>97600</v>
      </c>
      <c r="Z11" s="17">
        <f>SUMIFS(Collection!$O:$O, Collection!$B:$B, "*" &amp; Z$2 &amp; "*", Collection!$A:$A, "="&amp;$A11)</f>
        <v>2800</v>
      </c>
      <c r="AA11" s="17">
        <f>(SUMIFS('Bucket Counts'!$P:$P, 'Bucket Counts'!$D:$D, "*" &amp; AA$2 &amp; "*", 'Bucket Counts'!$A:$A, "="&amp;$A11))</f>
        <v>0</v>
      </c>
      <c r="AB11" s="398">
        <f>SUM(Z4:Z11)</f>
        <v>80586.666666666657</v>
      </c>
      <c r="AC11" s="17">
        <f>SUMIFS(Collection!$O:$O, Collection!$B:$B, "*" &amp; AC$2 &amp; "*", Collection!$A:$A, "="&amp;$A11)</f>
        <v>44200</v>
      </c>
      <c r="AD11" s="17">
        <f>(SUMIFS('Bucket Counts'!$P:$P, 'Bucket Counts'!$D:$D, "*" &amp; AD$2 &amp; "*", 'Bucket Counts'!$A:$A, "="&amp;$A11))</f>
        <v>0</v>
      </c>
      <c r="AE11" s="398">
        <f>SUM(AC4:AC11)</f>
        <v>44200</v>
      </c>
      <c r="AF11" s="17">
        <f>SUMIFS(Collection!$O:$O, Collection!$B:$B, "*" &amp; AF$2 &amp; "*", Collection!$A:$A, "="&amp;$A11)</f>
        <v>0</v>
      </c>
      <c r="AG11" s="17">
        <f>(SUMIFS('Bucket Counts'!$P:$P, 'Bucket Counts'!$D:$D, "*" &amp; AG$2 &amp; "*", 'Bucket Counts'!$A:$A, "="&amp;$A11))</f>
        <v>0</v>
      </c>
      <c r="AH11" s="398">
        <f>SUM(AF4:AF11)</f>
        <v>0</v>
      </c>
      <c r="AI11" s="17">
        <f>SUMIFS(Collection!$O:$O, Collection!$B:$B, "*" &amp; AI$2 &amp; "*", Collection!$A:$A, "="&amp;$A11)</f>
        <v>0</v>
      </c>
      <c r="AJ11" s="17">
        <f>(SUMIFS('Bucket Counts'!$P:$P, 'Bucket Counts'!$D:$D, "*" &amp; AJ$2 &amp; "*", 'Bucket Counts'!$A:$A, "="&amp;$A11))</f>
        <v>0</v>
      </c>
      <c r="AK11" s="398">
        <f>SUM(AI4:AI11)</f>
        <v>0</v>
      </c>
      <c r="AL11" s="17">
        <f>SUMIFS(Collection!$O:$O, Collection!$B:$B, "*" &amp; AL$2 &amp; "*", Collection!$A:$A, "="&amp;$A11)</f>
        <v>0</v>
      </c>
      <c r="AM11" s="17">
        <f>(SUMIFS('Bucket Counts'!$P:$P, 'Bucket Counts'!$D:$D, "*" &amp; AM$2 &amp; "*", 'Bucket Counts'!$A:$A, "="&amp;$A11))</f>
        <v>0</v>
      </c>
      <c r="AN11" s="398">
        <f>SUM(AL4:AL11)</f>
        <v>177231.66666666666</v>
      </c>
      <c r="AO11" s="17">
        <f>SUMIFS(Collection!$O:$O, Collection!$B:$B, "*" &amp; AO$2 &amp; "*", Collection!$A:$A, "="&amp;$A11)</f>
        <v>0</v>
      </c>
      <c r="AP11" s="17">
        <f>(SUMIFS('Bucket Counts'!$P:$P, 'Bucket Counts'!$D:$D, "*" &amp; AP$2 &amp; "*", 'Bucket Counts'!$A:$A, "="&amp;$A11))</f>
        <v>0</v>
      </c>
      <c r="AQ11" s="398">
        <f>SUM(AO4:AO11)</f>
        <v>11916.666666666666</v>
      </c>
      <c r="AR11" s="17">
        <f>SUMIFS(Collection!$O:$O, Collection!$B:$B, "*" &amp; AR$2 &amp; "*", Collection!$A:$A, "="&amp;$A11)</f>
        <v>0</v>
      </c>
      <c r="AS11" s="17">
        <f>(SUMIFS('Bucket Counts'!$P:$P, 'Bucket Counts'!$D:$D, "*" &amp; AS$2 &amp; "*", 'Bucket Counts'!$A:$A, "="&amp;$A11))</f>
        <v>0</v>
      </c>
      <c r="AT11" s="398">
        <f>SUM(AR4:AR11)</f>
        <v>91708.333333333343</v>
      </c>
      <c r="AU11" s="17">
        <f>SUMIFS(Collection!$O:$O, Collection!$B:$B, "*" &amp; AU$2 &amp; "*", Collection!$A:$A, "="&amp;$A11)</f>
        <v>4266.6666666666661</v>
      </c>
      <c r="AV11" s="17">
        <f>(SUMIFS('Bucket Counts'!$P:$P, 'Bucket Counts'!$D:$D, "*" &amp; AV$2 &amp; "*", 'Bucket Counts'!$A:$A, "="&amp;$A11))</f>
        <v>71400</v>
      </c>
      <c r="AW11" s="398">
        <f>AV11+AU11</f>
        <v>75666.666666666672</v>
      </c>
    </row>
    <row r="12" spans="1:49" s="390" customFormat="1">
      <c r="A12" s="16">
        <v>42882</v>
      </c>
      <c r="B12" s="397">
        <f>SUMIFS(Collection!$O:$O, Collection!$B:$B, "*" &amp; B$2 &amp; "*", Collection!$A:$A, "="&amp;$A12)</f>
        <v>4916.666666666667</v>
      </c>
      <c r="C12" s="118">
        <f>(SUMIFS('Bucket Counts'!$P:$P, 'Bucket Counts'!$D:$D, "*" &amp; C$2 &amp; "*", 'Bucket Counts'!$A:$A, "="&amp;$A12))</f>
        <v>0</v>
      </c>
      <c r="D12" s="398">
        <f>C8+SUM(B8:B12)</f>
        <v>74666.666666666672</v>
      </c>
      <c r="E12" s="397">
        <f>SUMIFS(Collection!$O:$O, Collection!$B:$B, "*" &amp; E$2 &amp; "*", Collection!$A:$A, "="&amp;$A12)</f>
        <v>4958.333333333333</v>
      </c>
      <c r="F12" s="118">
        <f>(SUMIFS('Bucket Counts'!$P:$P, 'Bucket Counts'!$D:$D, "*" &amp; F$2 &amp; "*", 'Bucket Counts'!$A:$A, "="&amp;$A12))</f>
        <v>0</v>
      </c>
      <c r="G12" s="398">
        <f>F8+SUM(E8:E12)</f>
        <v>109175</v>
      </c>
      <c r="H12" s="397">
        <f>SUMIFS(Collection!$O:$O, Collection!$B:$B, "*" &amp; H$2 &amp; "*", Collection!$A:$A, "="&amp;$A12)</f>
        <v>10625</v>
      </c>
      <c r="I12" s="118">
        <f>(SUMIFS('Bucket Counts'!$P:$P, 'Bucket Counts'!$D:$D, "*" &amp; I$2 &amp; "*", 'Bucket Counts'!$A:$A, "="&amp;$A12))</f>
        <v>0</v>
      </c>
      <c r="J12" s="398">
        <f>SUM(H4:H12)</f>
        <v>76608.333333333343</v>
      </c>
      <c r="K12" s="17">
        <f>SUMIFS(Collection!$O:$O, Collection!$B:$B, "*" &amp; K$2 &amp; "*", Collection!$A:$A, "="&amp;$A12)</f>
        <v>8016.666666666667</v>
      </c>
      <c r="L12" s="17">
        <f>(SUMIFS('Bucket Counts'!$P:$P, 'Bucket Counts'!$D:$D, "*" &amp; L$2 &amp; "*", 'Bucket Counts'!$A:$A, "="&amp;$A12))</f>
        <v>0</v>
      </c>
      <c r="M12" s="398">
        <f>L11+SUM(K11:K12)</f>
        <v>143816.66666666666</v>
      </c>
      <c r="N12" s="17">
        <f>SUMIFS(Collection!$O:$O, Collection!$B:$B, "*" &amp; N$2 &amp; "*", Collection!$A:$A, "="&amp;$A12)</f>
        <v>0</v>
      </c>
      <c r="O12" s="17">
        <f>(SUMIFS('Bucket Counts'!$P:$P, 'Bucket Counts'!$D:$D, "*" &amp; O$2 &amp; "*", 'Bucket Counts'!$A:$A, "="&amp;$A12))</f>
        <v>0</v>
      </c>
      <c r="P12" s="398">
        <f>O11+SUM(N11:N12)</f>
        <v>0</v>
      </c>
      <c r="Q12" s="17">
        <f>SUMIFS(Collection!$O:$O, Collection!$B:$B, "*" &amp; Q$2 &amp; "*", Collection!$A:$A, "="&amp;$A12)</f>
        <v>52250</v>
      </c>
      <c r="R12" s="17">
        <f>(SUMIFS('Bucket Counts'!$P:$P, 'Bucket Counts'!$D:$D, "*" &amp; R$2 &amp; "*", 'Bucket Counts'!$A:$A, "="&amp;$A12))</f>
        <v>0</v>
      </c>
      <c r="S12" s="398">
        <f>SUM(Q4:Q12)</f>
        <v>385083.33333333337</v>
      </c>
      <c r="T12" s="17">
        <f>SUMIFS(Collection!$O:$O, Collection!$B:$B, "*" &amp; T$2 &amp; "*", Collection!$A:$A, "="&amp;$A12)</f>
        <v>1400</v>
      </c>
      <c r="U12" s="17">
        <f>(SUMIFS('Bucket Counts'!$P:$P, 'Bucket Counts'!$D:$D, "*" &amp; U$2 &amp; "*", 'Bucket Counts'!$A:$A, "="&amp;$A12))</f>
        <v>0</v>
      </c>
      <c r="V12" s="398">
        <f>SUM(T4:T12)</f>
        <v>103900</v>
      </c>
      <c r="W12" s="17">
        <f>SUMIFS(Collection!$O:$O, Collection!$B:$B, "*" &amp; W$2 &amp; "*", Collection!$A:$A, "="&amp;$A12)</f>
        <v>85866.666666666672</v>
      </c>
      <c r="X12" s="17">
        <f>(SUMIFS('Bucket Counts'!$P:$P, 'Bucket Counts'!$D:$D, "*" &amp; X$2 &amp; "*", 'Bucket Counts'!$A:$A, "="&amp;$A12))</f>
        <v>0</v>
      </c>
      <c r="Y12" s="398">
        <f>X11+SUM(W11:W12)</f>
        <v>183466.66666666669</v>
      </c>
      <c r="Z12" s="17">
        <f>SUMIFS(Collection!$O:$O, Collection!$B:$B, "*" &amp; Z$2 &amp; "*", Collection!$A:$A, "="&amp;$A12)</f>
        <v>0</v>
      </c>
      <c r="AA12" s="17">
        <f>(SUMIFS('Bucket Counts'!$P:$P, 'Bucket Counts'!$D:$D, "*" &amp; AA$2 &amp; "*", 'Bucket Counts'!$A:$A, "="&amp;$A12))</f>
        <v>0</v>
      </c>
      <c r="AB12" s="398">
        <f>SUM(Z4:Z12)</f>
        <v>80586.666666666657</v>
      </c>
      <c r="AC12" s="17">
        <f>SUMIFS(Collection!$O:$O, Collection!$B:$B, "*" &amp; AC$2 &amp; "*", Collection!$A:$A, "="&amp;$A12)</f>
        <v>117866.66666666667</v>
      </c>
      <c r="AD12" s="17">
        <f>(SUMIFS('Bucket Counts'!$P:$P, 'Bucket Counts'!$D:$D, "*" &amp; AD$2 &amp; "*", 'Bucket Counts'!$A:$A, "="&amp;$A12))</f>
        <v>0</v>
      </c>
      <c r="AE12" s="398">
        <f>SUM(AC4:AC12)</f>
        <v>162066.66666666669</v>
      </c>
      <c r="AF12" s="17">
        <f>SUMIFS(Collection!$O:$O, Collection!$B:$B, "*" &amp; AF$2 &amp; "*", Collection!$A:$A, "="&amp;$A12)</f>
        <v>0</v>
      </c>
      <c r="AG12" s="17">
        <f>(SUMIFS('Bucket Counts'!$P:$P, 'Bucket Counts'!$D:$D, "*" &amp; AG$2 &amp; "*", 'Bucket Counts'!$A:$A, "="&amp;$A12))</f>
        <v>0</v>
      </c>
      <c r="AH12" s="398">
        <f>SUM(AF4:AF12)</f>
        <v>0</v>
      </c>
      <c r="AI12" s="17">
        <f>SUMIFS(Collection!$O:$O, Collection!$B:$B, "*" &amp; AI$2 &amp; "*", Collection!$A:$A, "="&amp;$A12)</f>
        <v>0</v>
      </c>
      <c r="AJ12" s="17">
        <f>(SUMIFS('Bucket Counts'!$P:$P, 'Bucket Counts'!$D:$D, "*" &amp; AJ$2 &amp; "*", 'Bucket Counts'!$A:$A, "="&amp;$A12))</f>
        <v>0</v>
      </c>
      <c r="AK12" s="398">
        <f>SUM(AI4:AI12)</f>
        <v>0</v>
      </c>
      <c r="AL12" s="17">
        <f>SUMIFS(Collection!$O:$O, Collection!$B:$B, "*" &amp; AL$2 &amp; "*", Collection!$A:$A, "="&amp;$A12)</f>
        <v>0</v>
      </c>
      <c r="AM12" s="17">
        <f>(SUMIFS('Bucket Counts'!$P:$P, 'Bucket Counts'!$D:$D, "*" &amp; AM$2 &amp; "*", 'Bucket Counts'!$A:$A, "="&amp;$A12))</f>
        <v>0</v>
      </c>
      <c r="AN12" s="398">
        <f>SUM(AL4:AL12)</f>
        <v>177231.66666666666</v>
      </c>
      <c r="AO12" s="17">
        <f>SUMIFS(Collection!$O:$O, Collection!$B:$B, "*" &amp; AO$2 &amp; "*", Collection!$A:$A, "="&amp;$A12)</f>
        <v>0</v>
      </c>
      <c r="AP12" s="17">
        <f>(SUMIFS('Bucket Counts'!$P:$P, 'Bucket Counts'!$D:$D, "*" &amp; AP$2 &amp; "*", 'Bucket Counts'!$A:$A, "="&amp;$A12))</f>
        <v>0</v>
      </c>
      <c r="AQ12" s="398">
        <f>SUM(AO4:AO12)</f>
        <v>11916.666666666666</v>
      </c>
      <c r="AR12" s="17">
        <f>SUMIFS(Collection!$O:$O, Collection!$B:$B, "*" &amp; AR$2 &amp; "*", Collection!$A:$A, "="&amp;$A12)</f>
        <v>0</v>
      </c>
      <c r="AS12" s="17">
        <f>(SUMIFS('Bucket Counts'!$P:$P, 'Bucket Counts'!$D:$D, "*" &amp; AS$2 &amp; "*", 'Bucket Counts'!$A:$A, "="&amp;$A12))</f>
        <v>0</v>
      </c>
      <c r="AT12" s="398">
        <f>SUM(AR4:AR12)</f>
        <v>91708.333333333343</v>
      </c>
      <c r="AU12" s="17">
        <f>SUMIFS(Collection!$O:$O, Collection!$B:$B, "*" &amp; AU$2 &amp; "*", Collection!$A:$A, "="&amp;$A12)</f>
        <v>0</v>
      </c>
      <c r="AV12" s="17">
        <f>(SUMIFS('Bucket Counts'!$P:$P, 'Bucket Counts'!$D:$D, "*" &amp; AV$2 &amp; "*", 'Bucket Counts'!$A:$A, "="&amp;$A12))</f>
        <v>0</v>
      </c>
      <c r="AW12" s="398">
        <f>AV11+SUM(AU11:AU12)</f>
        <v>75666.666666666672</v>
      </c>
    </row>
    <row r="13" spans="1:49" s="390" customFormat="1">
      <c r="A13" s="16">
        <v>42883</v>
      </c>
      <c r="B13" s="397">
        <f>SUMIFS(Collection!$O:$O, Collection!$B:$B, "*" &amp; B$2 &amp; "*", Collection!$A:$A, "="&amp;$A13)</f>
        <v>0</v>
      </c>
      <c r="C13" s="118">
        <f>(SUMIFS('Bucket Counts'!$P:$P, 'Bucket Counts'!$D:$D, "*" &amp; C$2 &amp; "*", 'Bucket Counts'!$A:$A, "="&amp;$A13))</f>
        <v>0</v>
      </c>
      <c r="D13" s="398">
        <f>C8+SUM(B8:B13)</f>
        <v>74666.666666666672</v>
      </c>
      <c r="E13" s="397">
        <f>SUMIFS(Collection!$O:$O, Collection!$B:$B, "*" &amp; E$2 &amp; "*", Collection!$A:$A, "="&amp;$A13)</f>
        <v>0</v>
      </c>
      <c r="F13" s="118">
        <f>(SUMIFS('Bucket Counts'!$P:$P, 'Bucket Counts'!$D:$D, "*" &amp; F$2 &amp; "*", 'Bucket Counts'!$A:$A, "="&amp;$A13))</f>
        <v>0</v>
      </c>
      <c r="G13" s="398">
        <f>F8+SUM(E8:E13)</f>
        <v>109175</v>
      </c>
      <c r="H13" s="397">
        <f>SUMIFS(Collection!$O:$O, Collection!$B:$B, "*" &amp; H$2 &amp; "*", Collection!$A:$A, "="&amp;$A13)</f>
        <v>0</v>
      </c>
      <c r="I13" s="118">
        <f>(SUMIFS('Bucket Counts'!$P:$P, 'Bucket Counts'!$D:$D, "*" &amp; I$2 &amp; "*", 'Bucket Counts'!$A:$A, "="&amp;$A13))</f>
        <v>0</v>
      </c>
      <c r="J13" s="398">
        <f>SUM(H4:H13)</f>
        <v>76608.333333333343</v>
      </c>
      <c r="K13" s="17">
        <f>SUMIFS(Collection!$O:$O, Collection!$B:$B, "*" &amp; K$2 &amp; "*", Collection!$A:$A, "="&amp;$A13)</f>
        <v>0</v>
      </c>
      <c r="L13" s="17">
        <f>(SUMIFS('Bucket Counts'!$P:$P, 'Bucket Counts'!$D:$D, "*" &amp; L$2 &amp; "*", 'Bucket Counts'!$A:$A, "="&amp;$A13))</f>
        <v>0</v>
      </c>
      <c r="M13" s="398">
        <f>L11+SUM(K11:K13)</f>
        <v>143816.66666666666</v>
      </c>
      <c r="N13" s="17">
        <f>SUMIFS(Collection!$O:$O, Collection!$B:$B, "*" &amp; N$2 &amp; "*", Collection!$A:$A, "="&amp;$A13)</f>
        <v>0</v>
      </c>
      <c r="O13" s="17">
        <f>(SUMIFS('Bucket Counts'!$P:$P, 'Bucket Counts'!$D:$D, "*" &amp; O$2 &amp; "*", 'Bucket Counts'!$A:$A, "="&amp;$A13))</f>
        <v>0</v>
      </c>
      <c r="P13" s="398">
        <f>O11+SUM(N11:N13)</f>
        <v>0</v>
      </c>
      <c r="Q13" s="17">
        <f>SUMIFS(Collection!$O:$O, Collection!$B:$B, "*" &amp; Q$2 &amp; "*", Collection!$A:$A, "="&amp;$A13)</f>
        <v>0</v>
      </c>
      <c r="R13" s="17">
        <f>(SUMIFS('Bucket Counts'!$P:$P, 'Bucket Counts'!$D:$D, "*" &amp; R$2 &amp; "*", 'Bucket Counts'!$A:$A, "="&amp;$A13))</f>
        <v>0</v>
      </c>
      <c r="S13" s="398">
        <f>SUM(Q4:Q13)</f>
        <v>385083.33333333337</v>
      </c>
      <c r="T13" s="17">
        <f>SUMIFS(Collection!$O:$O, Collection!$B:$B, "*" &amp; T$2 &amp; "*", Collection!$A:$A, "="&amp;$A13)</f>
        <v>0</v>
      </c>
      <c r="U13" s="17">
        <f>(SUMIFS('Bucket Counts'!$P:$P, 'Bucket Counts'!$D:$D, "*" &amp; U$2 &amp; "*", 'Bucket Counts'!$A:$A, "="&amp;$A13))</f>
        <v>0</v>
      </c>
      <c r="V13" s="398">
        <f>SUM(T4:T13)</f>
        <v>103900</v>
      </c>
      <c r="W13" s="17">
        <f>SUMIFS(Collection!$O:$O, Collection!$B:$B, "*" &amp; W$2 &amp; "*", Collection!$A:$A, "="&amp;$A13)</f>
        <v>0</v>
      </c>
      <c r="X13" s="17">
        <f>(SUMIFS('Bucket Counts'!$P:$P, 'Bucket Counts'!$D:$D, "*" &amp; X$2 &amp; "*", 'Bucket Counts'!$A:$A, "="&amp;$A13))</f>
        <v>0</v>
      </c>
      <c r="Y13" s="398">
        <f>X11+SUM(W11:W13)</f>
        <v>183466.66666666669</v>
      </c>
      <c r="Z13" s="17">
        <f>SUMIFS(Collection!$O:$O, Collection!$B:$B, "*" &amp; Z$2 &amp; "*", Collection!$A:$A, "="&amp;$A13)</f>
        <v>0</v>
      </c>
      <c r="AA13" s="17">
        <f>(SUMIFS('Bucket Counts'!$P:$P, 'Bucket Counts'!$D:$D, "*" &amp; AA$2 &amp; "*", 'Bucket Counts'!$A:$A, "="&amp;$A13))</f>
        <v>0</v>
      </c>
      <c r="AB13" s="398">
        <f>SUM(Z4:Z13)</f>
        <v>80586.666666666657</v>
      </c>
      <c r="AC13" s="17">
        <f>SUMIFS(Collection!$O:$O, Collection!$B:$B, "*" &amp; AC$2 &amp; "*", Collection!$A:$A, "="&amp;$A13)</f>
        <v>0</v>
      </c>
      <c r="AD13" s="17">
        <f>(SUMIFS('Bucket Counts'!$P:$P, 'Bucket Counts'!$D:$D, "*" &amp; AD$2 &amp; "*", 'Bucket Counts'!$A:$A, "="&amp;$A13))</f>
        <v>0</v>
      </c>
      <c r="AE13" s="398">
        <f>SUM(AC4:AC13)</f>
        <v>162066.66666666669</v>
      </c>
      <c r="AF13" s="17">
        <f>SUMIFS(Collection!$O:$O, Collection!$B:$B, "*" &amp; AF$2 &amp; "*", Collection!$A:$A, "="&amp;$A13)</f>
        <v>0</v>
      </c>
      <c r="AG13" s="17">
        <f>(SUMIFS('Bucket Counts'!$P:$P, 'Bucket Counts'!$D:$D, "*" &amp; AG$2 &amp; "*", 'Bucket Counts'!$A:$A, "="&amp;$A13))</f>
        <v>0</v>
      </c>
      <c r="AH13" s="398">
        <f>SUM(AF4:AF13)</f>
        <v>0</v>
      </c>
      <c r="AI13" s="17">
        <f>SUMIFS(Collection!$O:$O, Collection!$B:$B, "*" &amp; AI$2 &amp; "*", Collection!$A:$A, "="&amp;$A13)</f>
        <v>0</v>
      </c>
      <c r="AJ13" s="17">
        <f>(SUMIFS('Bucket Counts'!$P:$P, 'Bucket Counts'!$D:$D, "*" &amp; AJ$2 &amp; "*", 'Bucket Counts'!$A:$A, "="&amp;$A13))</f>
        <v>0</v>
      </c>
      <c r="AK13" s="398">
        <f>SUM(AI4:AI13)</f>
        <v>0</v>
      </c>
      <c r="AL13" s="17">
        <f>SUMIFS(Collection!$O:$O, Collection!$B:$B, "*" &amp; AL$2 &amp; "*", Collection!$A:$A, "="&amp;$A13)</f>
        <v>0</v>
      </c>
      <c r="AM13" s="17">
        <f>(SUMIFS('Bucket Counts'!$P:$P, 'Bucket Counts'!$D:$D, "*" &amp; AM$2 &amp; "*", 'Bucket Counts'!$A:$A, "="&amp;$A13))</f>
        <v>0</v>
      </c>
      <c r="AN13" s="398">
        <f>SUM(AL4:AL13)</f>
        <v>177231.66666666666</v>
      </c>
      <c r="AO13" s="17">
        <f>SUMIFS(Collection!$O:$O, Collection!$B:$B, "*" &amp; AO$2 &amp; "*", Collection!$A:$A, "="&amp;$A13)</f>
        <v>0</v>
      </c>
      <c r="AP13" s="17">
        <f>(SUMIFS('Bucket Counts'!$P:$P, 'Bucket Counts'!$D:$D, "*" &amp; AP$2 &amp; "*", 'Bucket Counts'!$A:$A, "="&amp;$A13))</f>
        <v>0</v>
      </c>
      <c r="AQ13" s="398">
        <f>SUM(AO4:AO13)</f>
        <v>11916.666666666666</v>
      </c>
      <c r="AR13" s="17">
        <f>SUMIFS(Collection!$O:$O, Collection!$B:$B, "*" &amp; AR$2 &amp; "*", Collection!$A:$A, "="&amp;$A13)</f>
        <v>0</v>
      </c>
      <c r="AS13" s="17">
        <f>(SUMIFS('Bucket Counts'!$P:$P, 'Bucket Counts'!$D:$D, "*" &amp; AS$2 &amp; "*", 'Bucket Counts'!$A:$A, "="&amp;$A13))</f>
        <v>0</v>
      </c>
      <c r="AT13" s="398">
        <f>SUM(AR4:AR13)</f>
        <v>91708.333333333343</v>
      </c>
      <c r="AU13" s="17">
        <f>SUMIFS(Collection!$O:$O, Collection!$B:$B, "*" &amp; AU$2 &amp; "*", Collection!$A:$A, "="&amp;$A13)</f>
        <v>0</v>
      </c>
      <c r="AV13" s="17">
        <f>(SUMIFS('Bucket Counts'!$P:$P, 'Bucket Counts'!$D:$D, "*" &amp; AV$2 &amp; "*", 'Bucket Counts'!$A:$A, "="&amp;$A13))</f>
        <v>0</v>
      </c>
      <c r="AW13" s="398">
        <f>AV11+SUM(AU11:AU13)</f>
        <v>75666.666666666672</v>
      </c>
    </row>
    <row r="14" spans="1:49" s="390" customFormat="1">
      <c r="A14" s="16">
        <v>42884</v>
      </c>
      <c r="B14" s="397">
        <f>SUMIFS(Collection!$O:$O, Collection!$B:$B, "*" &amp; B$2 &amp; "*", Collection!$A:$A, "="&amp;$A14)</f>
        <v>0</v>
      </c>
      <c r="C14" s="118">
        <f>(SUMIFS('Bucket Counts'!$P:$P, 'Bucket Counts'!$D:$D, "*" &amp; C$2 &amp; "*", 'Bucket Counts'!$A:$A, "="&amp;$A14))</f>
        <v>0</v>
      </c>
      <c r="D14" s="398">
        <f>C8+SUM(B8:B14)</f>
        <v>74666.666666666672</v>
      </c>
      <c r="E14" s="397">
        <f>SUMIFS(Collection!$O:$O, Collection!$B:$B, "*" &amp; E$2 &amp; "*", Collection!$A:$A, "="&amp;$A14)</f>
        <v>0</v>
      </c>
      <c r="F14" s="118">
        <f>(SUMIFS('Bucket Counts'!$P:$P, 'Bucket Counts'!$D:$D, "*" &amp; F$2 &amp; "*", 'Bucket Counts'!$A:$A, "="&amp;$A14))</f>
        <v>0</v>
      </c>
      <c r="G14" s="398">
        <f>F8+SUM(E8:E14)</f>
        <v>109175</v>
      </c>
      <c r="H14" s="397">
        <f>SUMIFS(Collection!$O:$O, Collection!$B:$B, "*" &amp; H$2 &amp; "*", Collection!$A:$A, "="&amp;$A14)</f>
        <v>53700</v>
      </c>
      <c r="I14" s="118">
        <f>(SUMIFS('Bucket Counts'!$P:$P, 'Bucket Counts'!$D:$D, "*" &amp; I$2 &amp; "*", 'Bucket Counts'!$A:$A, "="&amp;$A14))</f>
        <v>0</v>
      </c>
      <c r="J14" s="398">
        <f>SUM(H4:H14)</f>
        <v>130308.33333333334</v>
      </c>
      <c r="K14" s="17">
        <f>SUMIFS(Collection!$O:$O, Collection!$B:$B, "*" &amp; K$2 &amp; "*", Collection!$A:$A, "="&amp;$A14)</f>
        <v>0</v>
      </c>
      <c r="L14" s="17">
        <f>(SUMIFS('Bucket Counts'!$P:$P, 'Bucket Counts'!$D:$D, "*" &amp; L$2 &amp; "*", 'Bucket Counts'!$A:$A, "="&amp;$A14))</f>
        <v>0</v>
      </c>
      <c r="M14" s="398">
        <f>L11+SUM(K11:K14)</f>
        <v>143816.66666666666</v>
      </c>
      <c r="N14" s="17">
        <f>SUMIFS(Collection!$O:$O, Collection!$B:$B, "*" &amp; N$2 &amp; "*", Collection!$A:$A, "="&amp;$A14)</f>
        <v>0</v>
      </c>
      <c r="O14" s="17">
        <f>(SUMIFS('Bucket Counts'!$P:$P, 'Bucket Counts'!$D:$D, "*" &amp; O$2 &amp; "*", 'Bucket Counts'!$A:$A, "="&amp;$A14))</f>
        <v>0</v>
      </c>
      <c r="P14" s="398">
        <f>O11+SUM(N11:N14)</f>
        <v>0</v>
      </c>
      <c r="Q14" s="17">
        <f>SUMIFS(Collection!$O:$O, Collection!$B:$B, "*" &amp; Q$2 &amp; "*", Collection!$A:$A, "="&amp;$A14)</f>
        <v>4500</v>
      </c>
      <c r="R14" s="17">
        <f>(SUMIFS('Bucket Counts'!$P:$P, 'Bucket Counts'!$D:$D, "*" &amp; R$2 &amp; "*", 'Bucket Counts'!$A:$A, "="&amp;$A14))</f>
        <v>0</v>
      </c>
      <c r="S14" s="398">
        <f>SUM(Q4:Q14)</f>
        <v>389583.33333333337</v>
      </c>
      <c r="T14" s="17">
        <f>SUMIFS(Collection!$O:$O, Collection!$B:$B, "*" &amp; T$2 &amp; "*", Collection!$A:$A, "="&amp;$A14)</f>
        <v>0</v>
      </c>
      <c r="U14" s="17">
        <f>(SUMIFS('Bucket Counts'!$P:$P, 'Bucket Counts'!$D:$D, "*" &amp; U$2 &amp; "*", 'Bucket Counts'!$A:$A, "="&amp;$A14))</f>
        <v>0</v>
      </c>
      <c r="V14" s="398">
        <f>SUM(T4:T14)</f>
        <v>103900</v>
      </c>
      <c r="W14" s="17">
        <f>SUMIFS(Collection!$O:$O, Collection!$B:$B, "*" &amp; W$2 &amp; "*", Collection!$A:$A, "="&amp;$A14)</f>
        <v>0</v>
      </c>
      <c r="X14" s="17">
        <f>(SUMIFS('Bucket Counts'!$P:$P, 'Bucket Counts'!$D:$D, "*" &amp; X$2 &amp; "*", 'Bucket Counts'!$A:$A, "="&amp;$A14))</f>
        <v>0</v>
      </c>
      <c r="Y14" s="398">
        <f>X11+SUM(W11:W14)</f>
        <v>183466.66666666669</v>
      </c>
      <c r="Z14" s="17">
        <f>SUMIFS(Collection!$O:$O, Collection!$B:$B, "*" &amp; Z$2 &amp; "*", Collection!$A:$A, "="&amp;$A14)</f>
        <v>0</v>
      </c>
      <c r="AA14" s="17">
        <f>(SUMIFS('Bucket Counts'!$P:$P, 'Bucket Counts'!$D:$D, "*" &amp; AA$2 &amp; "*", 'Bucket Counts'!$A:$A, "="&amp;$A14))</f>
        <v>0</v>
      </c>
      <c r="AB14" s="398">
        <f>SUM(Z4:Z14)</f>
        <v>80586.666666666657</v>
      </c>
      <c r="AC14" s="17">
        <f>SUMIFS(Collection!$O:$O, Collection!$B:$B, "*" &amp; AC$2 &amp; "*", Collection!$A:$A, "="&amp;$A14)</f>
        <v>0</v>
      </c>
      <c r="AD14" s="17">
        <f>(SUMIFS('Bucket Counts'!$P:$P, 'Bucket Counts'!$D:$D, "*" &amp; AD$2 &amp; "*", 'Bucket Counts'!$A:$A, "="&amp;$A14))</f>
        <v>0</v>
      </c>
      <c r="AE14" s="398">
        <f>SUM(AC4:AC14)</f>
        <v>162066.66666666669</v>
      </c>
      <c r="AF14" s="17">
        <f>SUMIFS(Collection!$O:$O, Collection!$B:$B, "*" &amp; AF$2 &amp; "*", Collection!$A:$A, "="&amp;$A14)</f>
        <v>0</v>
      </c>
      <c r="AG14" s="17">
        <f>(SUMIFS('Bucket Counts'!$P:$P, 'Bucket Counts'!$D:$D, "*" &amp; AG$2 &amp; "*", 'Bucket Counts'!$A:$A, "="&amp;$A14))</f>
        <v>0</v>
      </c>
      <c r="AH14" s="398">
        <f>SUM(AF4:AF14)</f>
        <v>0</v>
      </c>
      <c r="AI14" s="17">
        <f>SUMIFS(Collection!$O:$O, Collection!$B:$B, "*" &amp; AI$2 &amp; "*", Collection!$A:$A, "="&amp;$A14)</f>
        <v>0</v>
      </c>
      <c r="AJ14" s="17">
        <f>(SUMIFS('Bucket Counts'!$P:$P, 'Bucket Counts'!$D:$D, "*" &amp; AJ$2 &amp; "*", 'Bucket Counts'!$A:$A, "="&amp;$A14))</f>
        <v>0</v>
      </c>
      <c r="AK14" s="398">
        <f>SUM(AI4:AI14)</f>
        <v>0</v>
      </c>
      <c r="AL14" s="17">
        <f>SUMIFS(Collection!$O:$O, Collection!$B:$B, "*" &amp; AL$2 &amp; "*", Collection!$A:$A, "="&amp;$A14)</f>
        <v>0</v>
      </c>
      <c r="AM14" s="17">
        <f>(SUMIFS('Bucket Counts'!$P:$P, 'Bucket Counts'!$D:$D, "*" &amp; AM$2 &amp; "*", 'Bucket Counts'!$A:$A, "="&amp;$A14))</f>
        <v>0</v>
      </c>
      <c r="AN14" s="398">
        <f>SUM(AL4:AL14)</f>
        <v>177231.66666666666</v>
      </c>
      <c r="AO14" s="17">
        <f>SUMIFS(Collection!$O:$O, Collection!$B:$B, "*" &amp; AO$2 &amp; "*", Collection!$A:$A, "="&amp;$A14)</f>
        <v>0</v>
      </c>
      <c r="AP14" s="17">
        <f>(SUMIFS('Bucket Counts'!$P:$P, 'Bucket Counts'!$D:$D, "*" &amp; AP$2 &amp; "*", 'Bucket Counts'!$A:$A, "="&amp;$A14))</f>
        <v>0</v>
      </c>
      <c r="AQ14" s="398">
        <f>SUM(AO4:AO14)</f>
        <v>11916.666666666666</v>
      </c>
      <c r="AR14" s="17">
        <f>SUMIFS(Collection!$O:$O, Collection!$B:$B, "*" &amp; AR$2 &amp; "*", Collection!$A:$A, "="&amp;$A14)</f>
        <v>0</v>
      </c>
      <c r="AS14" s="17">
        <f>(SUMIFS('Bucket Counts'!$P:$P, 'Bucket Counts'!$D:$D, "*" &amp; AS$2 &amp; "*", 'Bucket Counts'!$A:$A, "="&amp;$A14))</f>
        <v>0</v>
      </c>
      <c r="AT14" s="398">
        <f>SUM(AR4:AR14)</f>
        <v>91708.333333333343</v>
      </c>
      <c r="AU14" s="17">
        <f>SUMIFS(Collection!$O:$O, Collection!$B:$B, "*" &amp; AU$2 &amp; "*", Collection!$A:$A, "="&amp;$A14)</f>
        <v>0</v>
      </c>
      <c r="AV14" s="17">
        <f>(SUMIFS('Bucket Counts'!$P:$P, 'Bucket Counts'!$D:$D, "*" &amp; AV$2 &amp; "*", 'Bucket Counts'!$A:$A, "="&amp;$A14))</f>
        <v>0</v>
      </c>
      <c r="AW14" s="398">
        <f>AV11+SUM(AU11:AU14)</f>
        <v>75666.666666666672</v>
      </c>
    </row>
    <row r="15" spans="1:49" s="390" customFormat="1">
      <c r="A15" s="16">
        <v>42885</v>
      </c>
      <c r="B15" s="397">
        <f>SUMIFS(Collection!$O:$O, Collection!$B:$B, "*" &amp; B$2 &amp; "*", Collection!$A:$A, "="&amp;$A15)</f>
        <v>0</v>
      </c>
      <c r="C15" s="118">
        <f>(SUMIFS('Bucket Counts'!$P:$P, 'Bucket Counts'!$D:$D, "*" &amp; C$2 &amp; "*", 'Bucket Counts'!$A:$A, "="&amp;$A15))</f>
        <v>34666.666666666672</v>
      </c>
      <c r="D15" s="398">
        <f>C15+B15</f>
        <v>34666.666666666672</v>
      </c>
      <c r="E15" s="397">
        <f>SUMIFS(Collection!$O:$O, Collection!$B:$B, "*" &amp; E$2 &amp; "*", Collection!$A:$A, "="&amp;$A15)</f>
        <v>0</v>
      </c>
      <c r="F15" s="118">
        <f>(SUMIFS('Bucket Counts'!$P:$P, 'Bucket Counts'!$D:$D, "*" &amp; F$2 &amp; "*", 'Bucket Counts'!$A:$A, "="&amp;$A15))</f>
        <v>54933.333333333336</v>
      </c>
      <c r="G15" s="398">
        <f>F15+E15</f>
        <v>54933.333333333336</v>
      </c>
      <c r="H15" s="397">
        <f>SUMIFS(Collection!$O:$O, Collection!$B:$B, "*" &amp; H$2 &amp; "*", Collection!$A:$A, "="&amp;$A15)</f>
        <v>0</v>
      </c>
      <c r="I15" s="118">
        <f>(SUMIFS('Bucket Counts'!$P:$P, 'Bucket Counts'!$D:$D, "*" &amp; I$2 &amp; "*", 'Bucket Counts'!$A:$A, "="&amp;$A15))</f>
        <v>36800</v>
      </c>
      <c r="J15" s="398">
        <f>I15+H15</f>
        <v>36800</v>
      </c>
      <c r="K15" s="17">
        <f>SUMIFS(Collection!$O:$O, Collection!$B:$B, "*" &amp; K$2 &amp; "*", Collection!$A:$A, "="&amp;$A15)</f>
        <v>0</v>
      </c>
      <c r="L15" s="17">
        <f>(SUMIFS('Bucket Counts'!$P:$P, 'Bucket Counts'!$D:$D, "*" &amp; L$2 &amp; "*", 'Bucket Counts'!$A:$A, "="&amp;$A15))</f>
        <v>35200</v>
      </c>
      <c r="M15" s="398">
        <f>L15+K15</f>
        <v>35200</v>
      </c>
      <c r="N15" s="17">
        <f>SUMIFS(Collection!$O:$O, Collection!$B:$B, "*" &amp; N$2 &amp; "*", Collection!$A:$A, "="&amp;$A15)</f>
        <v>0</v>
      </c>
      <c r="O15" s="17">
        <f>(SUMIFS('Bucket Counts'!$P:$P, 'Bucket Counts'!$D:$D, "*" &amp; O$2 &amp; "*", 'Bucket Counts'!$A:$A, "="&amp;$A15))</f>
        <v>32666.666666666668</v>
      </c>
      <c r="P15" s="398">
        <f>O15+N15</f>
        <v>32666.666666666668</v>
      </c>
      <c r="Q15" s="17">
        <f>SUMIFS(Collection!$O:$O, Collection!$B:$B, "*" &amp; Q$2 &amp; "*", Collection!$A:$A, "="&amp;$A15)</f>
        <v>0</v>
      </c>
      <c r="R15" s="17">
        <f>(SUMIFS('Bucket Counts'!$P:$P, 'Bucket Counts'!$D:$D, "*" &amp; R$2 &amp; "*", 'Bucket Counts'!$A:$A, "="&amp;$A15))</f>
        <v>115200.00000000001</v>
      </c>
      <c r="S15" s="398">
        <f>R15+Q15</f>
        <v>115200.00000000001</v>
      </c>
      <c r="T15" s="17">
        <f>SUMIFS(Collection!$O:$O, Collection!$B:$B, "*" &amp; T$2 &amp; "*", Collection!$A:$A, "="&amp;$A15)</f>
        <v>0</v>
      </c>
      <c r="U15" s="17">
        <f>(SUMIFS('Bucket Counts'!$P:$P, 'Bucket Counts'!$D:$D, "*" &amp; U$2 &amp; "*", 'Bucket Counts'!$A:$A, "="&amp;$A15))</f>
        <v>19733.333333333336</v>
      </c>
      <c r="V15" s="398">
        <f>U15+T15</f>
        <v>19733.333333333336</v>
      </c>
      <c r="W15" s="17">
        <f>SUMIFS(Collection!$O:$O, Collection!$B:$B, "*" &amp; W$2 &amp; "*", Collection!$A:$A, "="&amp;$A15)</f>
        <v>0</v>
      </c>
      <c r="X15" s="17">
        <f>(SUMIFS('Bucket Counts'!$P:$P, 'Bucket Counts'!$D:$D, "*" &amp; X$2 &amp; "*", 'Bucket Counts'!$A:$A, "="&amp;$A15))</f>
        <v>98666.666666666657</v>
      </c>
      <c r="Y15" s="398">
        <f>X15+W15</f>
        <v>98666.666666666657</v>
      </c>
      <c r="Z15" s="17">
        <f>SUMIFS(Collection!$O:$O, Collection!$B:$B, "*" &amp; Z$2 &amp; "*", Collection!$A:$A, "="&amp;$A15)</f>
        <v>0</v>
      </c>
      <c r="AA15" s="17">
        <f>(SUMIFS('Bucket Counts'!$P:$P, 'Bucket Counts'!$D:$D, "*" &amp; AA$2 &amp; "*", 'Bucket Counts'!$A:$A, "="&amp;$A15))</f>
        <v>60266.666666666664</v>
      </c>
      <c r="AB15" s="398">
        <f>AA15+Z15</f>
        <v>60266.666666666664</v>
      </c>
      <c r="AC15" s="17">
        <f>SUMIFS(Collection!$O:$O, Collection!$B:$B, "*" &amp; AC$2 &amp; "*", Collection!$A:$A, "="&amp;$A15)</f>
        <v>0</v>
      </c>
      <c r="AD15" s="17">
        <f>(SUMIFS('Bucket Counts'!$P:$P, 'Bucket Counts'!$D:$D, "*" &amp; AD$2 &amp; "*", 'Bucket Counts'!$A:$A, "="&amp;$A15))</f>
        <v>96533.333333333343</v>
      </c>
      <c r="AE15" s="398">
        <f>AD15+AC15</f>
        <v>96533.333333333343</v>
      </c>
      <c r="AF15" s="17">
        <f>SUMIFS(Collection!$O:$O, Collection!$B:$B, "*" &amp; AF$2 &amp; "*", Collection!$A:$A, "="&amp;$A15)</f>
        <v>0</v>
      </c>
      <c r="AG15" s="17">
        <f>(SUMIFS('Bucket Counts'!$P:$P, 'Bucket Counts'!$D:$D, "*" &amp; AG$2 &amp; "*", 'Bucket Counts'!$A:$A, "="&amp;$A15))</f>
        <v>0</v>
      </c>
      <c r="AH15" s="398">
        <f>AG15+AF15</f>
        <v>0</v>
      </c>
      <c r="AI15" s="17">
        <f>SUMIFS(Collection!$O:$O, Collection!$B:$B, "*" &amp; AI$2 &amp; "*", Collection!$A:$A, "="&amp;$A15)</f>
        <v>0</v>
      </c>
      <c r="AJ15" s="17">
        <f>(SUMIFS('Bucket Counts'!$P:$P, 'Bucket Counts'!$D:$D, "*" &amp; AJ$2 &amp; "*", 'Bucket Counts'!$A:$A, "="&amp;$A15))</f>
        <v>0</v>
      </c>
      <c r="AK15" s="398">
        <f>AJ15+AI15</f>
        <v>0</v>
      </c>
      <c r="AL15" s="17">
        <f>SUMIFS(Collection!$O:$O, Collection!$B:$B, "*" &amp; AL$2 &amp; "*", Collection!$A:$A, "="&amp;$A15)</f>
        <v>0</v>
      </c>
      <c r="AM15" s="17">
        <f>(SUMIFS('Bucket Counts'!$P:$P, 'Bucket Counts'!$D:$D, "*" &amp; AM$2 &amp; "*", 'Bucket Counts'!$A:$A, "="&amp;$A15))</f>
        <v>74133.333333333343</v>
      </c>
      <c r="AN15" s="398">
        <f>AM15+AL15</f>
        <v>74133.333333333343</v>
      </c>
      <c r="AO15" s="17">
        <f>SUMIFS(Collection!$O:$O, Collection!$B:$B, "*" &amp; AO$2 &amp; "*", Collection!$A:$A, "="&amp;$A15)</f>
        <v>0</v>
      </c>
      <c r="AP15" s="17">
        <f>(SUMIFS('Bucket Counts'!$P:$P, 'Bucket Counts'!$D:$D, "*" &amp; AP$2 &amp; "*", 'Bucket Counts'!$A:$A, "="&amp;$A15))</f>
        <v>69866.666666666657</v>
      </c>
      <c r="AQ15" s="398">
        <f>AP15+AO15</f>
        <v>69866.666666666657</v>
      </c>
      <c r="AR15" s="17">
        <f>SUMIFS(Collection!$O:$O, Collection!$B:$B, "*" &amp; AR$2 &amp; "*", Collection!$A:$A, "="&amp;$A15)</f>
        <v>0</v>
      </c>
      <c r="AS15" s="17">
        <f>(SUMIFS('Bucket Counts'!$P:$P, 'Bucket Counts'!$D:$D, "*" &amp; AS$2 &amp; "*", 'Bucket Counts'!$A:$A, "="&amp;$A15))</f>
        <v>17600</v>
      </c>
      <c r="AT15" s="398">
        <f>AS15+AR15</f>
        <v>17600</v>
      </c>
      <c r="AU15" s="17">
        <f>SUMIFS(Collection!$O:$O, Collection!$B:$B, "*" &amp; AU$2 &amp; "*", Collection!$A:$A, "="&amp;$A15)</f>
        <v>0</v>
      </c>
      <c r="AV15" s="17">
        <f>(SUMIFS('Bucket Counts'!$P:$P, 'Bucket Counts'!$D:$D, "*" &amp; AV$2 &amp; "*", 'Bucket Counts'!$A:$A, "="&amp;$A15))</f>
        <v>83200</v>
      </c>
      <c r="AW15" s="398">
        <f>AV15+AU15</f>
        <v>83200</v>
      </c>
    </row>
    <row r="16" spans="1:49" s="390" customFormat="1">
      <c r="A16" s="16">
        <v>42886</v>
      </c>
      <c r="B16" s="397">
        <f>SUMIFS(Collection!$O:$O, Collection!$B:$B, "*" &amp; B$2 &amp; "*", Collection!$A:$A, "="&amp;$A16)</f>
        <v>0</v>
      </c>
      <c r="C16" s="118"/>
      <c r="D16" s="398">
        <f>D15+B16</f>
        <v>34666.666666666672</v>
      </c>
      <c r="E16" s="397">
        <f>SUMIFS(Collection!$O:$O, Collection!$B:$B, "*" &amp; E$2 &amp; "*", Collection!$A:$A, "="&amp;$A16)</f>
        <v>0</v>
      </c>
      <c r="F16" s="118"/>
      <c r="G16" s="398">
        <f>G15+E16</f>
        <v>54933.333333333336</v>
      </c>
      <c r="H16" s="397">
        <f>SUMIFS(Collection!$O:$O, Collection!$B:$B, "*" &amp; H$2 &amp; "*", Collection!$A:$A, "="&amp;$A16)</f>
        <v>1333.3333333333335</v>
      </c>
      <c r="I16" s="118"/>
      <c r="J16" s="398">
        <f>J15+H16</f>
        <v>38133.333333333336</v>
      </c>
      <c r="K16" s="17">
        <f>SUMIFS(Collection!$O:$O, Collection!$B:$B, "*" &amp; K$2 &amp; "*", Collection!$A:$A, "="&amp;$A16)</f>
        <v>0</v>
      </c>
      <c r="L16" s="17"/>
      <c r="M16" s="398">
        <f>M15+K16</f>
        <v>35200</v>
      </c>
      <c r="N16" s="17">
        <f>SUMIFS(Collection!$O:$O, Collection!$B:$B, "*" &amp; N$2 &amp; "*", Collection!$A:$A, "="&amp;$A16)</f>
        <v>0</v>
      </c>
      <c r="O16" s="17"/>
      <c r="P16" s="398">
        <f>P15+N16</f>
        <v>32666.666666666668</v>
      </c>
      <c r="Q16" s="17">
        <f>SUMIFS(Collection!$O:$O, Collection!$B:$B, "*" &amp; Q$2 &amp; "*", Collection!$A:$A, "="&amp;$A16)</f>
        <v>63000</v>
      </c>
      <c r="R16" s="17"/>
      <c r="S16" s="398">
        <f>R15+SUM(Q15:Q16)</f>
        <v>178200</v>
      </c>
      <c r="T16" s="17">
        <f>SUMIFS(Collection!$O:$O, Collection!$B:$B, "*" &amp; T$2 &amp; "*", Collection!$A:$A, "="&amp;$A16)</f>
        <v>0</v>
      </c>
      <c r="U16" s="17"/>
      <c r="V16" s="398">
        <f>U15+SUM(T15:T16)</f>
        <v>19733.333333333336</v>
      </c>
      <c r="W16" s="17">
        <f>SUMIFS(Collection!$O:$O, Collection!$B:$B, "*" &amp; W$2 &amp; "*", Collection!$A:$A, "="&amp;$A16)</f>
        <v>41066.666666666672</v>
      </c>
      <c r="X16" s="17"/>
      <c r="Y16" s="398">
        <f>X15+SUM(W15:W16)</f>
        <v>139733.33333333331</v>
      </c>
      <c r="Z16" s="17">
        <f>SUMIFS(Collection!$O:$O, Collection!$B:$B, "*" &amp; Z$2 &amp; "*", Collection!$A:$A, "="&amp;$A16)</f>
        <v>72800</v>
      </c>
      <c r="AA16" s="17"/>
      <c r="AB16" s="398">
        <f>AA15+SUM(Z15:Z16)</f>
        <v>133066.66666666666</v>
      </c>
      <c r="AC16" s="17">
        <f>SUMIFS(Collection!$O:$O, Collection!$B:$B, "*" &amp; AC$2 &amp; "*", Collection!$A:$A, "="&amp;$A16)</f>
        <v>0</v>
      </c>
      <c r="AD16" s="17"/>
      <c r="AE16" s="398">
        <f>AD15+SUM(AC15:AC16)</f>
        <v>96533.333333333343</v>
      </c>
      <c r="AF16" s="17">
        <f>SUMIFS(Collection!$O:$O, Collection!$B:$B, "*" &amp; AF$2 &amp; "*", Collection!$A:$A, "="&amp;$A16)</f>
        <v>0</v>
      </c>
      <c r="AG16" s="17"/>
      <c r="AH16" s="398">
        <f>AG15+SUM(AF15:AF16)</f>
        <v>0</v>
      </c>
      <c r="AI16" s="17">
        <f>SUMIFS(Collection!$O:$O, Collection!$B:$B, "*" &amp; AI$2 &amp; "*", Collection!$A:$A, "="&amp;$A16)</f>
        <v>0</v>
      </c>
      <c r="AJ16" s="17"/>
      <c r="AK16" s="398">
        <f>AJ15+SUM(AI15:AI16)</f>
        <v>0</v>
      </c>
      <c r="AL16" s="17">
        <f>SUMIFS(Collection!$O:$O, Collection!$B:$B, "*" &amp; AL$2 &amp; "*", Collection!$A:$A, "="&amp;$A16)</f>
        <v>0</v>
      </c>
      <c r="AM16" s="17"/>
      <c r="AN16" s="398">
        <f>AM15+SUM(AL15:AL16)</f>
        <v>74133.333333333343</v>
      </c>
      <c r="AO16" s="17">
        <f>SUMIFS(Collection!$O:$O, Collection!$B:$B, "*" &amp; AO$2 &amp; "*", Collection!$A:$A, "="&amp;$A16)</f>
        <v>0</v>
      </c>
      <c r="AP16" s="17"/>
      <c r="AQ16" s="398">
        <f>AP15+SUM(AO15:AO16)</f>
        <v>69866.666666666657</v>
      </c>
      <c r="AR16" s="17">
        <f>SUMIFS(Collection!$O:$O, Collection!$B:$B, "*" &amp; AR$2 &amp; "*", Collection!$A:$A, "="&amp;$A16)</f>
        <v>0</v>
      </c>
      <c r="AS16" s="17"/>
      <c r="AT16" s="398">
        <f>AS15+SUM(AR15:AR16)</f>
        <v>17600</v>
      </c>
      <c r="AU16" s="17">
        <f>SUMIFS(Collection!$O:$O, Collection!$B:$B, "*" &amp; AU$2 &amp; "*", Collection!$A:$A, "="&amp;$A16)</f>
        <v>0</v>
      </c>
      <c r="AV16" s="17"/>
      <c r="AW16" s="398">
        <f>AV15+SUM(AU15:AU16)</f>
        <v>83200</v>
      </c>
    </row>
    <row r="17" spans="1:49" s="390" customFormat="1">
      <c r="A17" s="16">
        <v>42887</v>
      </c>
      <c r="B17" s="397">
        <f>SUMIFS(Collection!$O:$O, Collection!$B:$B, "*" &amp; B$2 &amp; "*", Collection!$A:$A, "="&amp;$A17)</f>
        <v>0</v>
      </c>
      <c r="C17" s="118">
        <f>(SUMIFS('Bucket Counts'!$P:$P, 'Bucket Counts'!$D:$D, "*" &amp; C$2 &amp; "*", 'Bucket Counts'!$A:$A, "="&amp;$A17))</f>
        <v>0</v>
      </c>
      <c r="D17" s="398">
        <f>D15+B15:B17</f>
        <v>34666.666666666672</v>
      </c>
      <c r="E17" s="397">
        <f>SUMIFS(Collection!$O:$O, Collection!$B:$B, "*" &amp; E$2 &amp; "*", Collection!$A:$A, "="&amp;$A17)</f>
        <v>1466.6666666666665</v>
      </c>
      <c r="F17" s="118">
        <f>(SUMIFS('Bucket Counts'!$P:$P, 'Bucket Counts'!$D:$D, "*" &amp; F$2 &amp; "*", 'Bucket Counts'!$A:$A, "="&amp;$A17))</f>
        <v>0</v>
      </c>
      <c r="G17" s="398">
        <f>G15+E15:E17</f>
        <v>56400</v>
      </c>
      <c r="H17" s="397">
        <f>SUMIFS(Collection!$O:$O, Collection!$B:$B, "*" &amp; H$2 &amp; "*", Collection!$A:$A, "="&amp;$A17)</f>
        <v>0</v>
      </c>
      <c r="I17" s="118">
        <f>(SUMIFS('Bucket Counts'!$P:$P, 'Bucket Counts'!$D:$D, "*" &amp; I$2 &amp; "*", 'Bucket Counts'!$A:$A, "="&amp;$A17))</f>
        <v>0</v>
      </c>
      <c r="J17" s="398">
        <f>J15+H15:H17</f>
        <v>36800</v>
      </c>
      <c r="K17" s="17">
        <f>SUMIFS(Collection!$O:$O, Collection!$B:$B, "*" &amp; K$2 &amp; "*", Collection!$A:$A, "="&amp;$A17)</f>
        <v>0</v>
      </c>
      <c r="L17" s="17">
        <f>(SUMIFS('Bucket Counts'!$P:$P, 'Bucket Counts'!$D:$D, "*" &amp; L$2 &amp; "*", 'Bucket Counts'!$A:$A, "="&amp;$A17))</f>
        <v>0</v>
      </c>
      <c r="M17" s="398">
        <f>M15+K15:K17</f>
        <v>35200</v>
      </c>
      <c r="N17" s="17">
        <f>SUMIFS(Collection!$O:$O, Collection!$B:$B, "*" &amp; N$2 &amp; "*", Collection!$A:$A, "="&amp;$A17)</f>
        <v>79100</v>
      </c>
      <c r="O17" s="17">
        <f>(SUMIFS('Bucket Counts'!$P:$P, 'Bucket Counts'!$D:$D, "*" &amp; O$2 &amp; "*", 'Bucket Counts'!$A:$A, "="&amp;$A17))</f>
        <v>0</v>
      </c>
      <c r="P17" s="398">
        <f>O15+N15:N17</f>
        <v>111766.66666666667</v>
      </c>
      <c r="Q17" s="17">
        <f>SUMIFS(Collection!$O:$O, Collection!$B:$B, "*" &amp; Q$2 &amp; "*", Collection!$A:$A, "="&amp;$A17)</f>
        <v>0</v>
      </c>
      <c r="R17" s="17">
        <f>(SUMIFS('Bucket Counts'!$P:$P, 'Bucket Counts'!$D:$D, "*" &amp; R$2 &amp; "*", 'Bucket Counts'!$A:$A, "="&amp;$A17))</f>
        <v>0</v>
      </c>
      <c r="S17" s="398">
        <f>R15+SUM(Q15:Q17)</f>
        <v>178200</v>
      </c>
      <c r="T17" s="17">
        <f>SUMIFS(Collection!$O:$O, Collection!$B:$B, "*" &amp; T$2 &amp; "*", Collection!$A:$A, "="&amp;$A17)</f>
        <v>0</v>
      </c>
      <c r="U17" s="17">
        <f>(SUMIFS('Bucket Counts'!$P:$P, 'Bucket Counts'!$D:$D, "*" &amp; U$2 &amp; "*", 'Bucket Counts'!$A:$A, "="&amp;$A17))</f>
        <v>0</v>
      </c>
      <c r="V17" s="398">
        <f>U15+SUM(T15:T17)</f>
        <v>19733.333333333336</v>
      </c>
      <c r="W17" s="17">
        <f>SUMIFS(Collection!$O:$O, Collection!$B:$B, "*" &amp; W$2 &amp; "*", Collection!$A:$A, "="&amp;$A17)</f>
        <v>750</v>
      </c>
      <c r="X17" s="17">
        <f>(SUMIFS('Bucket Counts'!$P:$P, 'Bucket Counts'!$D:$D, "*" &amp; X$2 &amp; "*", 'Bucket Counts'!$A:$A, "="&amp;$A17))</f>
        <v>0</v>
      </c>
      <c r="Y17" s="398">
        <f>X15+SUM(W15:W17)</f>
        <v>140483.33333333331</v>
      </c>
      <c r="Z17" s="17">
        <f>SUMIFS(Collection!$O:$O, Collection!$B:$B, "*" &amp; Z$2 &amp; "*", Collection!$A:$A, "="&amp;$A17)</f>
        <v>0</v>
      </c>
      <c r="AA17" s="17">
        <f>(SUMIFS('Bucket Counts'!$P:$P, 'Bucket Counts'!$D:$D, "*" &amp; AA$2 &amp; "*", 'Bucket Counts'!$A:$A, "="&amp;$A17))</f>
        <v>0</v>
      </c>
      <c r="AB17" s="398">
        <f>AA15+SUM(Z15:Z17)</f>
        <v>133066.66666666666</v>
      </c>
      <c r="AC17" s="17">
        <f>SUMIFS(Collection!$O:$O, Collection!$B:$B, "*" &amp; AC$2 &amp; "*", Collection!$A:$A, "="&amp;$A17)</f>
        <v>0</v>
      </c>
      <c r="AD17" s="17">
        <f>(SUMIFS('Bucket Counts'!$P:$P, 'Bucket Counts'!$D:$D, "*" &amp; AD$2 &amp; "*", 'Bucket Counts'!$A:$A, "="&amp;$A17))</f>
        <v>0</v>
      </c>
      <c r="AE17" s="398">
        <f>AD15+SUM(AC15:AC17)</f>
        <v>96533.333333333343</v>
      </c>
      <c r="AF17" s="17">
        <f>SUMIFS(Collection!$O:$O, Collection!$B:$B, "*" &amp; AF$2 &amp; "*", Collection!$A:$A, "="&amp;$A17)</f>
        <v>0</v>
      </c>
      <c r="AG17" s="17">
        <f>(SUMIFS('Bucket Counts'!$P:$P, 'Bucket Counts'!$D:$D, "*" &amp; AG$2 &amp; "*", 'Bucket Counts'!$A:$A, "="&amp;$A17))</f>
        <v>0</v>
      </c>
      <c r="AH17" s="398">
        <f>AG15+SUM(AF15:AF17)</f>
        <v>0</v>
      </c>
      <c r="AI17" s="17">
        <f>SUMIFS(Collection!$O:$O, Collection!$B:$B, "*" &amp; AI$2 &amp; "*", Collection!$A:$A, "="&amp;$A17)</f>
        <v>0</v>
      </c>
      <c r="AJ17" s="17">
        <f>(SUMIFS('Bucket Counts'!$P:$P, 'Bucket Counts'!$D:$D, "*" &amp; AJ$2 &amp; "*", 'Bucket Counts'!$A:$A, "="&amp;$A17))</f>
        <v>0</v>
      </c>
      <c r="AK17" s="398">
        <f>AJ15+SUM(AI15:AI17)</f>
        <v>0</v>
      </c>
      <c r="AL17" s="17">
        <f>SUMIFS(Collection!$O:$O, Collection!$B:$B, "*" &amp; AL$2 &amp; "*", Collection!$A:$A, "="&amp;$A17)</f>
        <v>40533.333333333328</v>
      </c>
      <c r="AM17" s="17">
        <f>(SUMIFS('Bucket Counts'!$P:$P, 'Bucket Counts'!$D:$D, "*" &amp; AM$2 &amp; "*", 'Bucket Counts'!$A:$A, "="&amp;$A17))</f>
        <v>0</v>
      </c>
      <c r="AN17" s="398">
        <f>AM15+SUM(AL15:AL17)</f>
        <v>114666.66666666667</v>
      </c>
      <c r="AO17" s="17">
        <f>SUMIFS(Collection!$O:$O, Collection!$B:$B, "*" &amp; AO$2 &amp; "*", Collection!$A:$A, "="&amp;$A17)</f>
        <v>0</v>
      </c>
      <c r="AP17" s="17">
        <f>(SUMIFS('Bucket Counts'!$P:$P, 'Bucket Counts'!$D:$D, "*" &amp; AP$2 &amp; "*", 'Bucket Counts'!$A:$A, "="&amp;$A17))</f>
        <v>0</v>
      </c>
      <c r="AQ17" s="398">
        <f>AP15+SUM(AO15:AO17)</f>
        <v>69866.666666666657</v>
      </c>
      <c r="AR17" s="17">
        <f>SUMIFS(Collection!$O:$O, Collection!$B:$B, "*" &amp; AR$2 &amp; "*", Collection!$A:$A, "="&amp;$A17)</f>
        <v>49866.666666666672</v>
      </c>
      <c r="AS17" s="17">
        <f>(SUMIFS('Bucket Counts'!$P:$P, 'Bucket Counts'!$D:$D, "*" &amp; AS$2 &amp; "*", 'Bucket Counts'!$A:$A, "="&amp;$A17))</f>
        <v>0</v>
      </c>
      <c r="AT17" s="398">
        <f>AS15+SUM(AR15:AR17)</f>
        <v>67466.666666666672</v>
      </c>
      <c r="AU17" s="17">
        <f>SUMIFS(Collection!$O:$O, Collection!$B:$B, "*" &amp; AU$2 &amp; "*", Collection!$A:$A, "="&amp;$A17)</f>
        <v>0</v>
      </c>
      <c r="AV17" s="17">
        <f>(SUMIFS('Bucket Counts'!$P:$P, 'Bucket Counts'!$D:$D, "*" &amp; AV$2 &amp; "*", 'Bucket Counts'!$A:$A, "="&amp;$A17))</f>
        <v>0</v>
      </c>
      <c r="AW17" s="398">
        <f>AV15+SUM(AU15:AU17)</f>
        <v>83200</v>
      </c>
    </row>
    <row r="18" spans="1:49" s="390" customFormat="1">
      <c r="A18" s="16">
        <v>42888</v>
      </c>
      <c r="B18" s="397">
        <f>SUMIFS(Collection!$O:$O, Collection!$B:$B, "*" &amp; B$2 &amp; "*", Collection!$A:$A, "="&amp;$A18)</f>
        <v>0</v>
      </c>
      <c r="C18" s="118">
        <f>(SUMIFS('Bucket Counts'!$P:$P, 'Bucket Counts'!$D:$D, "*" &amp; C$2 &amp; "*", 'Bucket Counts'!$A:$A, "="&amp;$A18))</f>
        <v>0</v>
      </c>
      <c r="D18" s="398">
        <f>C15+SUM(B15:B18)</f>
        <v>34666.666666666672</v>
      </c>
      <c r="E18" s="397">
        <f>SUMIFS(Collection!$O:$O, Collection!$B:$B, "*" &amp; E$2 &amp; "*", Collection!$A:$A, "="&amp;$A18)</f>
        <v>0</v>
      </c>
      <c r="F18" s="118">
        <f>(SUMIFS('Bucket Counts'!$P:$P, 'Bucket Counts'!$D:$D, "*" &amp; F$2 &amp; "*", 'Bucket Counts'!$A:$A, "="&amp;$A18))</f>
        <v>0</v>
      </c>
      <c r="G18" s="398">
        <f>F15+SUM(E15:E18)</f>
        <v>56400</v>
      </c>
      <c r="H18" s="397">
        <f>SUMIFS(Collection!$O:$O, Collection!$B:$B, "*" &amp; H$2 &amp; "*", Collection!$A:$A, "="&amp;$A18)</f>
        <v>0</v>
      </c>
      <c r="I18" s="118">
        <f>(SUMIFS('Bucket Counts'!$P:$P, 'Bucket Counts'!$D:$D, "*" &amp; I$2 &amp; "*", 'Bucket Counts'!$A:$A, "="&amp;$A18))</f>
        <v>0</v>
      </c>
      <c r="J18" s="398">
        <f>I15+SUM(H15:H18)</f>
        <v>38133.333333333336</v>
      </c>
      <c r="K18" s="17">
        <f>SUMIFS(Collection!$O:$O, Collection!$B:$B, "*" &amp; K$2 &amp; "*", Collection!$A:$A, "="&amp;$A18)</f>
        <v>0</v>
      </c>
      <c r="L18" s="17">
        <f>(SUMIFS('Bucket Counts'!$P:$P, 'Bucket Counts'!$D:$D, "*" &amp; L$2 &amp; "*", 'Bucket Counts'!$A:$A, "="&amp;$A18))</f>
        <v>0</v>
      </c>
      <c r="M18" s="398">
        <f>L15+SUM(K15:K18)</f>
        <v>35200</v>
      </c>
      <c r="N18" s="17">
        <f>SUMIFS(Collection!$O:$O, Collection!$B:$B, "*" &amp; N$2 &amp; "*", Collection!$A:$A, "="&amp;$A18)</f>
        <v>0</v>
      </c>
      <c r="O18" s="17">
        <f>(SUMIFS('Bucket Counts'!$P:$P, 'Bucket Counts'!$D:$D, "*" &amp; O$2 &amp; "*", 'Bucket Counts'!$A:$A, "="&amp;$A18))</f>
        <v>0</v>
      </c>
      <c r="P18" s="398">
        <f>O15+SUM(N15:N18)</f>
        <v>111766.66666666667</v>
      </c>
      <c r="Q18" s="17">
        <f>SUMIFS(Collection!$O:$O, Collection!$B:$B, "*" &amp; Q$2 &amp; "*", Collection!$A:$A, "="&amp;$A18)</f>
        <v>0</v>
      </c>
      <c r="R18" s="17">
        <f>(SUMIFS('Bucket Counts'!$P:$P, 'Bucket Counts'!$D:$D, "*" &amp; R$2 &amp; "*", 'Bucket Counts'!$A:$A, "="&amp;$A18))</f>
        <v>0</v>
      </c>
      <c r="S18" s="398">
        <f>R15+SUM(Q15:Q18)</f>
        <v>178200</v>
      </c>
      <c r="T18" s="17">
        <f>SUMIFS(Collection!$O:$O, Collection!$B:$B, "*" &amp; T$2 &amp; "*", Collection!$A:$A, "="&amp;$A18)</f>
        <v>0</v>
      </c>
      <c r="U18" s="17">
        <f>(SUMIFS('Bucket Counts'!$P:$P, 'Bucket Counts'!$D:$D, "*" &amp; U$2 &amp; "*", 'Bucket Counts'!$A:$A, "="&amp;$A18))</f>
        <v>0</v>
      </c>
      <c r="V18" s="398">
        <f>U15+SUM(T15:T18)</f>
        <v>19733.333333333336</v>
      </c>
      <c r="W18" s="17">
        <f>SUMIFS(Collection!$O:$O, Collection!$B:$B, "*" &amp; W$2 &amp; "*", Collection!$A:$A, "="&amp;$A18)</f>
        <v>0</v>
      </c>
      <c r="X18" s="17">
        <f>(SUMIFS('Bucket Counts'!$P:$P, 'Bucket Counts'!$D:$D, "*" &amp; X$2 &amp; "*", 'Bucket Counts'!$A:$A, "="&amp;$A18))</f>
        <v>0</v>
      </c>
      <c r="Y18" s="398">
        <f>X15+SUM(W15:W18)</f>
        <v>140483.33333333331</v>
      </c>
      <c r="Z18" s="17">
        <f>SUMIFS(Collection!$O:$O, Collection!$B:$B, "*" &amp; Z$2 &amp; "*", Collection!$A:$A, "="&amp;$A18)</f>
        <v>0</v>
      </c>
      <c r="AA18" s="17">
        <f>(SUMIFS('Bucket Counts'!$P:$P, 'Bucket Counts'!$D:$D, "*" &amp; AA$2 &amp; "*", 'Bucket Counts'!$A:$A, "="&amp;$A18))</f>
        <v>0</v>
      </c>
      <c r="AB18" s="398">
        <f>AA15+SUM(Z15:Z18)</f>
        <v>133066.66666666666</v>
      </c>
      <c r="AC18" s="17">
        <f>SUMIFS(Collection!$O:$O, Collection!$B:$B, "*" &amp; AC$2 &amp; "*", Collection!$A:$A, "="&amp;$A18)</f>
        <v>0</v>
      </c>
      <c r="AD18" s="17">
        <f>(SUMIFS('Bucket Counts'!$P:$P, 'Bucket Counts'!$D:$D, "*" &amp; AD$2 &amp; "*", 'Bucket Counts'!$A:$A, "="&amp;$A18))</f>
        <v>0</v>
      </c>
      <c r="AE18" s="398">
        <f>AD15+SUM(AC15:AC18)</f>
        <v>96533.333333333343</v>
      </c>
      <c r="AF18" s="17">
        <f>SUMIFS(Collection!$O:$O, Collection!$B:$B, "*" &amp; AF$2 &amp; "*", Collection!$A:$A, "="&amp;$A18)</f>
        <v>0</v>
      </c>
      <c r="AG18" s="17">
        <f>(SUMIFS('Bucket Counts'!$P:$P, 'Bucket Counts'!$D:$D, "*" &amp; AG$2 &amp; "*", 'Bucket Counts'!$A:$A, "="&amp;$A18))</f>
        <v>0</v>
      </c>
      <c r="AH18" s="398">
        <f>AG15+SUM(AF15:AF18)</f>
        <v>0</v>
      </c>
      <c r="AI18" s="17">
        <f>SUMIFS(Collection!$O:$O, Collection!$B:$B, "*" &amp; AI$2 &amp; "*", Collection!$A:$A, "="&amp;$A18)</f>
        <v>0</v>
      </c>
      <c r="AJ18" s="17">
        <f>(SUMIFS('Bucket Counts'!$P:$P, 'Bucket Counts'!$D:$D, "*" &amp; AJ$2 &amp; "*", 'Bucket Counts'!$A:$A, "="&amp;$A18))</f>
        <v>0</v>
      </c>
      <c r="AK18" s="398">
        <f>AJ15+SUM(AI15:AI18)</f>
        <v>0</v>
      </c>
      <c r="AL18" s="17">
        <f>SUMIFS(Collection!$O:$O, Collection!$B:$B, "*" &amp; AL$2 &amp; "*", Collection!$A:$A, "="&amp;$A18)</f>
        <v>0</v>
      </c>
      <c r="AM18" s="17">
        <f>(SUMIFS('Bucket Counts'!$P:$P, 'Bucket Counts'!$D:$D, "*" &amp; AM$2 &amp; "*", 'Bucket Counts'!$A:$A, "="&amp;$A18))</f>
        <v>0</v>
      </c>
      <c r="AN18" s="398">
        <f>AM15+SUM(AL15:AL18)</f>
        <v>114666.66666666667</v>
      </c>
      <c r="AO18" s="17">
        <f>SUMIFS(Collection!$O:$O, Collection!$B:$B, "*" &amp; AO$2 &amp; "*", Collection!$A:$A, "="&amp;$A18)</f>
        <v>0</v>
      </c>
      <c r="AP18" s="17">
        <f>(SUMIFS('Bucket Counts'!$P:$P, 'Bucket Counts'!$D:$D, "*" &amp; AP$2 &amp; "*", 'Bucket Counts'!$A:$A, "="&amp;$A18))</f>
        <v>0</v>
      </c>
      <c r="AQ18" s="398">
        <f>AP15+SUM(AO15:AO18)</f>
        <v>69866.666666666657</v>
      </c>
      <c r="AR18" s="17">
        <f>SUMIFS(Collection!$O:$O, Collection!$B:$B, "*" &amp; AR$2 &amp; "*", Collection!$A:$A, "="&amp;$A18)</f>
        <v>0</v>
      </c>
      <c r="AS18" s="17">
        <f>(SUMIFS('Bucket Counts'!$P:$P, 'Bucket Counts'!$D:$D, "*" &amp; AS$2 &amp; "*", 'Bucket Counts'!$A:$A, "="&amp;$A18))</f>
        <v>0</v>
      </c>
      <c r="AT18" s="398">
        <f>AS15+SUM(AR15:AR18)</f>
        <v>67466.666666666672</v>
      </c>
      <c r="AU18" s="17">
        <f>SUMIFS(Collection!$O:$O, Collection!$B:$B, "*" &amp; AU$2 &amp; "*", Collection!$A:$A, "="&amp;$A18)</f>
        <v>0</v>
      </c>
      <c r="AV18" s="17">
        <f>(SUMIFS('Bucket Counts'!$P:$P, 'Bucket Counts'!$D:$D, "*" &amp; AV$2 &amp; "*", 'Bucket Counts'!$A:$A, "="&amp;$A18))</f>
        <v>0</v>
      </c>
      <c r="AW18" s="398">
        <f>AV15+SUM(AU15:AU18)</f>
        <v>83200</v>
      </c>
    </row>
    <row r="19" spans="1:49" s="390" customFormat="1">
      <c r="A19" s="16">
        <v>42889</v>
      </c>
      <c r="B19" s="397">
        <f>SUMIFS(Collection!$O:$O, Collection!$B:$B, "*" &amp; B$2 &amp; "*", Collection!$A:$A, "="&amp;$A19)</f>
        <v>58726.666666666672</v>
      </c>
      <c r="C19" s="118">
        <f>(SUMIFS('Bucket Counts'!$P:$P, 'Bucket Counts'!$D:$D, "*" &amp; C$2 &amp; "*", 'Bucket Counts'!$A:$A, "="&amp;$A19))</f>
        <v>0</v>
      </c>
      <c r="D19" s="398">
        <f>C15+SUM(B15:B19)</f>
        <v>93393.333333333343</v>
      </c>
      <c r="E19" s="397">
        <f>SUMIFS(Collection!$O:$O, Collection!$B:$B, "*" &amp; E$2 &amp; "*", Collection!$A:$A, "="&amp;$A19)</f>
        <v>51333.333333333328</v>
      </c>
      <c r="F19" s="118">
        <f>(SUMIFS('Bucket Counts'!$P:$P, 'Bucket Counts'!$D:$D, "*" &amp; F$2 &amp; "*", 'Bucket Counts'!$A:$A, "="&amp;$A19))</f>
        <v>0</v>
      </c>
      <c r="G19" s="398">
        <f>F15+SUM(E15:E19)</f>
        <v>107733.33333333333</v>
      </c>
      <c r="H19" s="397">
        <f>SUMIFS(Collection!$O:$O, Collection!$B:$B, "*" &amp; H$2 &amp; "*", Collection!$A:$A, "="&amp;$A19)</f>
        <v>0</v>
      </c>
      <c r="I19" s="118">
        <f>(SUMIFS('Bucket Counts'!$P:$P, 'Bucket Counts'!$D:$D, "*" &amp; I$2 &amp; "*", 'Bucket Counts'!$A:$A, "="&amp;$A19))</f>
        <v>0</v>
      </c>
      <c r="J19" s="398">
        <f>I15+SUM(H15:H19)</f>
        <v>38133.333333333336</v>
      </c>
      <c r="K19" s="17">
        <f>SUMIFS(Collection!$O:$O, Collection!$B:$B, "*" &amp; K$2 &amp; "*", Collection!$A:$A, "="&amp;$A19)</f>
        <v>0</v>
      </c>
      <c r="L19" s="17">
        <f>(SUMIFS('Bucket Counts'!$P:$P, 'Bucket Counts'!$D:$D, "*" &amp; L$2 &amp; "*", 'Bucket Counts'!$A:$A, "="&amp;$A19))</f>
        <v>0</v>
      </c>
      <c r="M19" s="398">
        <f>L15+SUM(K15:K19)</f>
        <v>35200</v>
      </c>
      <c r="N19" s="17">
        <f>SUMIFS(Collection!$O:$O, Collection!$B:$B, "*" &amp; N$2 &amp; "*", Collection!$A:$A, "="&amp;$A19)</f>
        <v>152093.33333333334</v>
      </c>
      <c r="O19" s="17">
        <f>(SUMIFS('Bucket Counts'!$P:$P, 'Bucket Counts'!$D:$D, "*" &amp; O$2 &amp; "*", 'Bucket Counts'!$A:$A, "="&amp;$A19))</f>
        <v>0</v>
      </c>
      <c r="P19" s="398">
        <f>O15+SUM(N15:N19)</f>
        <v>263860</v>
      </c>
      <c r="Q19" s="17">
        <f>SUMIFS(Collection!$O:$O, Collection!$B:$B, "*" &amp; Q$2 &amp; "*", Collection!$A:$A, "="&amp;$A19)</f>
        <v>0</v>
      </c>
      <c r="R19" s="17">
        <f>(SUMIFS('Bucket Counts'!$P:$P, 'Bucket Counts'!$D:$D, "*" &amp; R$2 &amp; "*", 'Bucket Counts'!$A:$A, "="&amp;$A19))</f>
        <v>0</v>
      </c>
      <c r="S19" s="398">
        <f>R15+SUM(Q15:Q19)</f>
        <v>178200</v>
      </c>
      <c r="T19" s="17">
        <f>SUMIFS(Collection!$O:$O, Collection!$B:$B, "*" &amp; T$2 &amp; "*", Collection!$A:$A, "="&amp;$A19)</f>
        <v>57416.666666666664</v>
      </c>
      <c r="U19" s="17">
        <f>(SUMIFS('Bucket Counts'!$P:$P, 'Bucket Counts'!$D:$D, "*" &amp; U$2 &amp; "*", 'Bucket Counts'!$A:$A, "="&amp;$A19))</f>
        <v>0</v>
      </c>
      <c r="V19" s="398">
        <f>U15+SUM(T15:T19)</f>
        <v>77150</v>
      </c>
      <c r="W19" s="17">
        <f>SUMIFS(Collection!$O:$O, Collection!$B:$B, "*" &amp; W$2 &amp; "*", Collection!$A:$A, "="&amp;$A19)</f>
        <v>0</v>
      </c>
      <c r="X19" s="17">
        <f>(SUMIFS('Bucket Counts'!$P:$P, 'Bucket Counts'!$D:$D, "*" &amp; X$2 &amp; "*", 'Bucket Counts'!$A:$A, "="&amp;$A19))</f>
        <v>0</v>
      </c>
      <c r="Y19" s="398">
        <f>X15+SUM(W15:W19)</f>
        <v>140483.33333333331</v>
      </c>
      <c r="Z19" s="17">
        <f>SUMIFS(Collection!$O:$O, Collection!$B:$B, "*" &amp; Z$2 &amp; "*", Collection!$A:$A, "="&amp;$A19)</f>
        <v>0</v>
      </c>
      <c r="AA19" s="17">
        <f>(SUMIFS('Bucket Counts'!$P:$P, 'Bucket Counts'!$D:$D, "*" &amp; AA$2 &amp; "*", 'Bucket Counts'!$A:$A, "="&amp;$A19))</f>
        <v>0</v>
      </c>
      <c r="AB19" s="398">
        <f>AA15+SUM(Z15:Z19)</f>
        <v>133066.66666666666</v>
      </c>
      <c r="AC19" s="17">
        <f>SUMIFS(Collection!$O:$O, Collection!$B:$B, "*" &amp; AC$2 &amp; "*", Collection!$A:$A, "="&amp;$A19)</f>
        <v>0</v>
      </c>
      <c r="AD19" s="17">
        <f>(SUMIFS('Bucket Counts'!$P:$P, 'Bucket Counts'!$D:$D, "*" &amp; AD$2 &amp; "*", 'Bucket Counts'!$A:$A, "="&amp;$A19))</f>
        <v>0</v>
      </c>
      <c r="AE19" s="398">
        <f>AD15+SUM(AC15:AC19)</f>
        <v>96533.333333333343</v>
      </c>
      <c r="AF19" s="17">
        <f>SUMIFS(Collection!$O:$O, Collection!$B:$B, "*" &amp; AF$2 &amp; "*", Collection!$A:$A, "="&amp;$A19)</f>
        <v>0</v>
      </c>
      <c r="AG19" s="17">
        <f>(SUMIFS('Bucket Counts'!$P:$P, 'Bucket Counts'!$D:$D, "*" &amp; AG$2 &amp; "*", 'Bucket Counts'!$A:$A, "="&amp;$A19))</f>
        <v>0</v>
      </c>
      <c r="AH19" s="398">
        <f>AG15+SUM(AF15:AF19)</f>
        <v>0</v>
      </c>
      <c r="AI19" s="17">
        <f>SUMIFS(Collection!$O:$O, Collection!$B:$B, "*" &amp; AI$2 &amp; "*", Collection!$A:$A, "="&amp;$A19)</f>
        <v>0</v>
      </c>
      <c r="AJ19" s="17">
        <f>(SUMIFS('Bucket Counts'!$P:$P, 'Bucket Counts'!$D:$D, "*" &amp; AJ$2 &amp; "*", 'Bucket Counts'!$A:$A, "="&amp;$A19))</f>
        <v>0</v>
      </c>
      <c r="AK19" s="398">
        <f>AJ15+SUM(AI15:AI19)</f>
        <v>0</v>
      </c>
      <c r="AL19" s="17">
        <f>SUMIFS(Collection!$O:$O, Collection!$B:$B, "*" &amp; AL$2 &amp; "*", Collection!$A:$A, "="&amp;$A19)</f>
        <v>50266.666666666664</v>
      </c>
      <c r="AM19" s="17">
        <f>(SUMIFS('Bucket Counts'!$P:$P, 'Bucket Counts'!$D:$D, "*" &amp; AM$2 &amp; "*", 'Bucket Counts'!$A:$A, "="&amp;$A19))</f>
        <v>0</v>
      </c>
      <c r="AN19" s="398">
        <f>AM15+SUM(AL15:AL19)</f>
        <v>164933.33333333334</v>
      </c>
      <c r="AO19" s="17">
        <f>SUMIFS(Collection!$O:$O, Collection!$B:$B, "*" &amp; AO$2 &amp; "*", Collection!$A:$A, "="&amp;$A19)</f>
        <v>0</v>
      </c>
      <c r="AP19" s="17">
        <f>(SUMIFS('Bucket Counts'!$P:$P, 'Bucket Counts'!$D:$D, "*" &amp; AP$2 &amp; "*", 'Bucket Counts'!$A:$A, "="&amp;$A19))</f>
        <v>0</v>
      </c>
      <c r="AQ19" s="398">
        <f>AP15+SUM(AO15:AO19)</f>
        <v>69866.666666666657</v>
      </c>
      <c r="AR19" s="17">
        <f>SUMIFS(Collection!$O:$O, Collection!$B:$B, "*" &amp; AR$2 &amp; "*", Collection!$A:$A, "="&amp;$A19)</f>
        <v>52650</v>
      </c>
      <c r="AS19" s="17">
        <f>(SUMIFS('Bucket Counts'!$P:$P, 'Bucket Counts'!$D:$D, "*" &amp; AS$2 &amp; "*", 'Bucket Counts'!$A:$A, "="&amp;$A19))</f>
        <v>0</v>
      </c>
      <c r="AT19" s="398">
        <f>AS15+SUM(AR15:AR19)</f>
        <v>120116.66666666667</v>
      </c>
      <c r="AU19" s="17">
        <f>SUMIFS(Collection!$O:$O, Collection!$B:$B, "*" &amp; AU$2 &amp; "*", Collection!$A:$A, "="&amp;$A19)</f>
        <v>0</v>
      </c>
      <c r="AV19" s="17">
        <f>(SUMIFS('Bucket Counts'!$P:$P, 'Bucket Counts'!$D:$D, "*" &amp; AV$2 &amp; "*", 'Bucket Counts'!$A:$A, "="&amp;$A19))</f>
        <v>0</v>
      </c>
      <c r="AW19" s="398">
        <f>AV15+SUM(AU15:AU19)</f>
        <v>83200</v>
      </c>
    </row>
    <row r="20" spans="1:49" s="390" customFormat="1">
      <c r="A20" s="16">
        <v>42890</v>
      </c>
      <c r="B20" s="397">
        <f>SUMIFS(Collection!$O:$O, Collection!$B:$B, "*" &amp; B$2 &amp; "*", Collection!$A:$A, "="&amp;$A20)</f>
        <v>2933.333333333333</v>
      </c>
      <c r="C20" s="118">
        <f>(SUMIFS('Bucket Counts'!$P:$P, 'Bucket Counts'!$D:$D, "*" &amp; C$2 &amp; "*", 'Bucket Counts'!$A:$A, "="&amp;$A20))</f>
        <v>0</v>
      </c>
      <c r="D20" s="398">
        <f>C15+SUM(B15:B20)</f>
        <v>96326.666666666686</v>
      </c>
      <c r="E20" s="397">
        <f>SUMIFS(Collection!$O:$O, Collection!$B:$B, "*" &amp; E$2 &amp; "*", Collection!$A:$A, "="&amp;$A20)</f>
        <v>1200</v>
      </c>
      <c r="F20" s="118">
        <f>(SUMIFS('Bucket Counts'!$P:$P, 'Bucket Counts'!$D:$D, "*" &amp; F$2 &amp; "*", 'Bucket Counts'!$A:$A, "="&amp;$A20))</f>
        <v>0</v>
      </c>
      <c r="G20" s="398">
        <f>F15+SUM(E15:E20)</f>
        <v>108933.33333333333</v>
      </c>
      <c r="H20" s="397">
        <f>SUMIFS(Collection!$O:$O, Collection!$B:$B, "*" &amp; H$2 &amp; "*", Collection!$A:$A, "="&amp;$A20)</f>
        <v>0</v>
      </c>
      <c r="I20" s="118">
        <f>(SUMIFS('Bucket Counts'!$P:$P, 'Bucket Counts'!$D:$D, "*" &amp; I$2 &amp; "*", 'Bucket Counts'!$A:$A, "="&amp;$A20))</f>
        <v>0</v>
      </c>
      <c r="J20" s="398">
        <f>I15+SUM(H15:H20)</f>
        <v>38133.333333333336</v>
      </c>
      <c r="K20" s="17">
        <f>SUMIFS(Collection!$O:$O, Collection!$B:$B, "*" &amp; K$2 &amp; "*", Collection!$A:$A, "="&amp;$A20)</f>
        <v>0</v>
      </c>
      <c r="L20" s="17">
        <f>(SUMIFS('Bucket Counts'!$P:$P, 'Bucket Counts'!$D:$D, "*" &amp; L$2 &amp; "*", 'Bucket Counts'!$A:$A, "="&amp;$A20))</f>
        <v>0</v>
      </c>
      <c r="M20" s="398">
        <f>L15+SUM(K15:K20)</f>
        <v>35200</v>
      </c>
      <c r="N20" s="17">
        <f>SUMIFS(Collection!$O:$O, Collection!$B:$B, "*" &amp; N$2 &amp; "*", Collection!$A:$A, "="&amp;$A20)</f>
        <v>55166.666666666664</v>
      </c>
      <c r="O20" s="17">
        <f>(SUMIFS('Bucket Counts'!$P:$P, 'Bucket Counts'!$D:$D, "*" &amp; O$2 &amp; "*", 'Bucket Counts'!$A:$A, "="&amp;$A20))</f>
        <v>0</v>
      </c>
      <c r="P20" s="398">
        <f>O15+SUM(N15:N20)</f>
        <v>319026.66666666669</v>
      </c>
      <c r="Q20" s="17">
        <f>SUMIFS(Collection!$O:$O, Collection!$B:$B, "*" &amp; Q$2 &amp; "*", Collection!$A:$A, "="&amp;$A20)</f>
        <v>0</v>
      </c>
      <c r="R20" s="17">
        <f>(SUMIFS('Bucket Counts'!$P:$P, 'Bucket Counts'!$D:$D, "*" &amp; R$2 &amp; "*", 'Bucket Counts'!$A:$A, "="&amp;$A20))</f>
        <v>0</v>
      </c>
      <c r="S20" s="398">
        <f>R15+SUM(Q15:Q20)</f>
        <v>178200</v>
      </c>
      <c r="T20" s="17">
        <f>SUMIFS(Collection!$O:$O, Collection!$B:$B, "*" &amp; T$2 &amp; "*", Collection!$A:$A, "="&amp;$A20)</f>
        <v>0</v>
      </c>
      <c r="U20" s="17">
        <f>(SUMIFS('Bucket Counts'!$P:$P, 'Bucket Counts'!$D:$D, "*" &amp; U$2 &amp; "*", 'Bucket Counts'!$A:$A, "="&amp;$A20))</f>
        <v>0</v>
      </c>
      <c r="V20" s="398">
        <f>U15+SUM(T15:T20)</f>
        <v>77150</v>
      </c>
      <c r="W20" s="17">
        <f>SUMIFS(Collection!$O:$O, Collection!$B:$B, "*" &amp; W$2 &amp; "*", Collection!$A:$A, "="&amp;$A20)</f>
        <v>0</v>
      </c>
      <c r="X20" s="17">
        <f>(SUMIFS('Bucket Counts'!$P:$P, 'Bucket Counts'!$D:$D, "*" &amp; X$2 &amp; "*", 'Bucket Counts'!$A:$A, "="&amp;$A20))</f>
        <v>0</v>
      </c>
      <c r="Y20" s="398">
        <f>X15+SUM(W15:W20)</f>
        <v>140483.33333333331</v>
      </c>
      <c r="Z20" s="17">
        <f>SUMIFS(Collection!$O:$O, Collection!$B:$B, "*" &amp; Z$2 &amp; "*", Collection!$A:$A, "="&amp;$A20)</f>
        <v>0</v>
      </c>
      <c r="AA20" s="17">
        <f>(SUMIFS('Bucket Counts'!$P:$P, 'Bucket Counts'!$D:$D, "*" &amp; AA$2 &amp; "*", 'Bucket Counts'!$A:$A, "="&amp;$A20))</f>
        <v>0</v>
      </c>
      <c r="AB20" s="398">
        <f>AA15+SUM(Z15:Z20)</f>
        <v>133066.66666666666</v>
      </c>
      <c r="AC20" s="17">
        <f>SUMIFS(Collection!$O:$O, Collection!$B:$B, "*" &amp; AC$2 &amp; "*", Collection!$A:$A, "="&amp;$A20)</f>
        <v>0</v>
      </c>
      <c r="AD20" s="17">
        <f>(SUMIFS('Bucket Counts'!$P:$P, 'Bucket Counts'!$D:$D, "*" &amp; AD$2 &amp; "*", 'Bucket Counts'!$A:$A, "="&amp;$A20))</f>
        <v>0</v>
      </c>
      <c r="AE20" s="398">
        <f>AD15+SUM(AC15:AC20)</f>
        <v>96533.333333333343</v>
      </c>
      <c r="AF20" s="17">
        <f>SUMIFS(Collection!$O:$O, Collection!$B:$B, "*" &amp; AF$2 &amp; "*", Collection!$A:$A, "="&amp;$A20)</f>
        <v>0</v>
      </c>
      <c r="AG20" s="17">
        <f>(SUMIFS('Bucket Counts'!$P:$P, 'Bucket Counts'!$D:$D, "*" &amp; AG$2 &amp; "*", 'Bucket Counts'!$A:$A, "="&amp;$A20))</f>
        <v>0</v>
      </c>
      <c r="AH20" s="398">
        <f>AG15+SUM(AF15:AF20)</f>
        <v>0</v>
      </c>
      <c r="AI20" s="17">
        <f>SUMIFS(Collection!$O:$O, Collection!$B:$B, "*" &amp; AI$2 &amp; "*", Collection!$A:$A, "="&amp;$A20)</f>
        <v>0</v>
      </c>
      <c r="AJ20" s="17">
        <f>(SUMIFS('Bucket Counts'!$P:$P, 'Bucket Counts'!$D:$D, "*" &amp; AJ$2 &amp; "*", 'Bucket Counts'!$A:$A, "="&amp;$A20))</f>
        <v>0</v>
      </c>
      <c r="AK20" s="398">
        <f>AJ15+SUM(AI15:AI20)</f>
        <v>0</v>
      </c>
      <c r="AL20" s="17">
        <f>SUMIFS(Collection!$O:$O, Collection!$B:$B, "*" &amp; AL$2 &amp; "*", Collection!$A:$A, "="&amp;$A20)</f>
        <v>0</v>
      </c>
      <c r="AM20" s="17">
        <f>(SUMIFS('Bucket Counts'!$P:$P, 'Bucket Counts'!$D:$D, "*" &amp; AM$2 &amp; "*", 'Bucket Counts'!$A:$A, "="&amp;$A20))</f>
        <v>0</v>
      </c>
      <c r="AN20" s="398">
        <f>AM15+SUM(AL15:AL20)</f>
        <v>164933.33333333334</v>
      </c>
      <c r="AO20" s="17">
        <f>SUMIFS(Collection!$O:$O, Collection!$B:$B, "*" &amp; AO$2 &amp; "*", Collection!$A:$A, "="&amp;$A20)</f>
        <v>0</v>
      </c>
      <c r="AP20" s="17">
        <f>(SUMIFS('Bucket Counts'!$P:$P, 'Bucket Counts'!$D:$D, "*" &amp; AP$2 &amp; "*", 'Bucket Counts'!$A:$A, "="&amp;$A20))</f>
        <v>0</v>
      </c>
      <c r="AQ20" s="398">
        <f>AP15+SUM(AO15:AO20)</f>
        <v>69866.666666666657</v>
      </c>
      <c r="AR20" s="17">
        <f>SUMIFS(Collection!$O:$O, Collection!$B:$B, "*" &amp; AR$2 &amp; "*", Collection!$A:$A, "="&amp;$A20)</f>
        <v>0</v>
      </c>
      <c r="AS20" s="17">
        <f>(SUMIFS('Bucket Counts'!$P:$P, 'Bucket Counts'!$D:$D, "*" &amp; AS$2 &amp; "*", 'Bucket Counts'!$A:$A, "="&amp;$A20))</f>
        <v>0</v>
      </c>
      <c r="AT20" s="398">
        <f>AS15+SUM(AR15:AR20)</f>
        <v>120116.66666666667</v>
      </c>
      <c r="AU20" s="17">
        <f>SUMIFS(Collection!$O:$O, Collection!$B:$B, "*" &amp; AU$2 &amp; "*", Collection!$A:$A, "="&amp;$A20)</f>
        <v>0</v>
      </c>
      <c r="AV20" s="17">
        <f>(SUMIFS('Bucket Counts'!$P:$P, 'Bucket Counts'!$D:$D, "*" &amp; AV$2 &amp; "*", 'Bucket Counts'!$A:$A, "="&amp;$A20))</f>
        <v>0</v>
      </c>
      <c r="AW20" s="398">
        <f>AV15+SUM(AU15:AU20)</f>
        <v>83200</v>
      </c>
    </row>
    <row r="21" spans="1:49">
      <c r="A21" s="16">
        <v>42891</v>
      </c>
      <c r="B21" s="397">
        <f>SUMIFS(Collection!$O:$O, Collection!$B:$B, "*" &amp; B$2 &amp; "*", Collection!$A:$A, "="&amp;$A21)</f>
        <v>0</v>
      </c>
      <c r="C21" s="118">
        <f>(SUMIFS('Bucket Counts'!$P:$P, 'Bucket Counts'!$D:$D, "*" &amp; C$2 &amp; "*", 'Bucket Counts'!$A:$A, "="&amp;$A21))</f>
        <v>108943.33333333334</v>
      </c>
      <c r="D21" s="398">
        <f>C21+B21</f>
        <v>108943.33333333334</v>
      </c>
      <c r="E21" s="397">
        <f>SUMIFS(Collection!$O:$O, Collection!$B:$B, "*" &amp; E$2 &amp; "*", Collection!$A:$A, "="&amp;$A21)</f>
        <v>0</v>
      </c>
      <c r="F21" s="118">
        <f>(SUMIFS('Bucket Counts'!$P:$P, 'Bucket Counts'!$D:$D, "*" &amp; F$2 &amp; "*", 'Bucket Counts'!$A:$A, "="&amp;$A21))</f>
        <v>0</v>
      </c>
      <c r="G21" s="398">
        <f>F21+E21</f>
        <v>0</v>
      </c>
      <c r="H21" s="397">
        <f>SUMIFS(Collection!$O:$O, Collection!$B:$B, "*" &amp; H$2 &amp; "*", Collection!$A:$A, "="&amp;$A21)</f>
        <v>0</v>
      </c>
      <c r="I21" s="118">
        <f>(SUMIFS('Bucket Counts'!$P:$P, 'Bucket Counts'!$D:$D, "*" &amp; I$2 &amp; "*", 'Bucket Counts'!$A:$A, "="&amp;$A21))</f>
        <v>53308.333333333336</v>
      </c>
      <c r="J21" s="398">
        <f>I21+H21</f>
        <v>53308.333333333336</v>
      </c>
      <c r="K21" s="17">
        <f>SUMIFS(Collection!$O:$O, Collection!$B:$B, "*" &amp; K$2 &amp; "*", Collection!$A:$A, "="&amp;$A21)</f>
        <v>100000</v>
      </c>
      <c r="L21" s="17">
        <f>(SUMIFS('Bucket Counts'!$P:$P, 'Bucket Counts'!$D:$D, "*" &amp; L$2 &amp; "*", 'Bucket Counts'!$A:$A, "="&amp;$A21))</f>
        <v>7908.8888888888887</v>
      </c>
      <c r="M21" s="398">
        <f>L21+K21</f>
        <v>107908.88888888889</v>
      </c>
      <c r="N21" s="17">
        <f>SUMIFS(Collection!$O:$O, Collection!$B:$B, "*" &amp; N$2 &amp; "*", Collection!$A:$A, "="&amp;$A21)</f>
        <v>0</v>
      </c>
      <c r="O21" s="17">
        <f>(SUMIFS('Bucket Counts'!$P:$P, 'Bucket Counts'!$D:$D, "*" &amp; O$2 &amp; "*", 'Bucket Counts'!$A:$A, "="&amp;$A21))</f>
        <v>138919.99999999997</v>
      </c>
      <c r="P21" s="398">
        <f>O21+N21</f>
        <v>138919.99999999997</v>
      </c>
      <c r="Q21" s="17">
        <f>SUMIFS(Collection!$O:$O, Collection!$B:$B, "*" &amp; Q$2 &amp; "*", Collection!$A:$A, "="&amp;$A21)</f>
        <v>0</v>
      </c>
      <c r="R21" s="17">
        <f>(SUMIFS('Bucket Counts'!$P:$P, 'Bucket Counts'!$D:$D, "*" &amp; R$2 &amp; "*", 'Bucket Counts'!$A:$A, "="&amp;$A21))</f>
        <v>46304.722222222219</v>
      </c>
      <c r="S21" s="398">
        <f>R21+Q21</f>
        <v>46304.722222222219</v>
      </c>
      <c r="T21" s="17">
        <f>SUMIFS(Collection!$O:$O, Collection!$B:$B, "*" &amp; T$2 &amp; "*", Collection!$A:$A, "="&amp;$A21)</f>
        <v>105933.33333333334</v>
      </c>
      <c r="U21" s="17">
        <f>(SUMIFS('Bucket Counts'!$P:$P, 'Bucket Counts'!$D:$D, "*" &amp; U$2 &amp; "*", 'Bucket Counts'!$A:$A, "="&amp;$A21))</f>
        <v>39096.666666666664</v>
      </c>
      <c r="V21" s="398">
        <f>U21+T21</f>
        <v>145030</v>
      </c>
      <c r="W21" s="17">
        <f>SUMIFS(Collection!$O:$O, Collection!$B:$B, "*" &amp; W$2 &amp; "*", Collection!$A:$A, "="&amp;$A21)</f>
        <v>0</v>
      </c>
      <c r="X21" s="17">
        <f>(SUMIFS('Bucket Counts'!$P:$P, 'Bucket Counts'!$D:$D, "*" &amp; X$2 &amp; "*", 'Bucket Counts'!$A:$A, "="&amp;$A21))</f>
        <v>95347.222222222219</v>
      </c>
      <c r="Y21" s="398">
        <f>X21+W21</f>
        <v>95347.222222222219</v>
      </c>
      <c r="Z21" s="17">
        <f>SUMIFS(Collection!$O:$O, Collection!$B:$B, "*" &amp; Z$2 &amp; "*", Collection!$A:$A, "="&amp;$A21)</f>
        <v>0</v>
      </c>
      <c r="AA21" s="17">
        <f>(SUMIFS('Bucket Counts'!$P:$P, 'Bucket Counts'!$D:$D, "*" &amp; AA$2 &amp; "*", 'Bucket Counts'!$A:$A, "="&amp;$A21))</f>
        <v>88226.666666666672</v>
      </c>
      <c r="AB21" s="398">
        <f>AA21+Z21</f>
        <v>88226.666666666672</v>
      </c>
      <c r="AC21" s="17">
        <f>SUMIFS(Collection!$O:$O, Collection!$B:$B, "*" &amp; AC$2 &amp; "*", Collection!$A:$A, "="&amp;$A21)</f>
        <v>0</v>
      </c>
      <c r="AD21" s="17">
        <f>(SUMIFS('Bucket Counts'!$P:$P, 'Bucket Counts'!$D:$D, "*" &amp; AD$2 &amp; "*", 'Bucket Counts'!$A:$A, "="&amp;$A21))</f>
        <v>70563.333333333328</v>
      </c>
      <c r="AE21" s="398">
        <f>AD21+AC21</f>
        <v>70563.333333333328</v>
      </c>
      <c r="AF21" s="17">
        <f>SUMIFS(Collection!$O:$O, Collection!$B:$B, "*" &amp; AF$2 &amp; "*", Collection!$A:$A, "="&amp;$A21)</f>
        <v>0</v>
      </c>
      <c r="AG21" s="17">
        <f>(SUMIFS('Bucket Counts'!$P:$P, 'Bucket Counts'!$D:$D, "*" &amp; AG$2 &amp; "*", 'Bucket Counts'!$A:$A, "="&amp;$A21))</f>
        <v>0</v>
      </c>
      <c r="AH21" s="398">
        <f>AG21+AF21</f>
        <v>0</v>
      </c>
      <c r="AI21" s="17">
        <f>SUMIFS(Collection!$O:$O, Collection!$B:$B, "*" &amp; AI$2 &amp; "*", Collection!$A:$A, "="&amp;$A21)</f>
        <v>0</v>
      </c>
      <c r="AJ21" s="17">
        <f>(SUMIFS('Bucket Counts'!$P:$P, 'Bucket Counts'!$D:$D, "*" &amp; AJ$2 &amp; "*", 'Bucket Counts'!$A:$A, "="&amp;$A21))</f>
        <v>0</v>
      </c>
      <c r="AK21" s="398">
        <f>AJ21+AI21</f>
        <v>0</v>
      </c>
      <c r="AL21" s="17">
        <f>SUMIFS(Collection!$O:$O, Collection!$B:$B, "*" &amp; AL$2 &amp; "*", Collection!$A:$A, "="&amp;$A21)</f>
        <v>0</v>
      </c>
      <c r="AM21" s="17">
        <f>(SUMIFS('Bucket Counts'!$P:$P, 'Bucket Counts'!$D:$D, "*" &amp; AM$2 &amp; "*", 'Bucket Counts'!$A:$A, "="&amp;$A21))</f>
        <v>130033.33333333333</v>
      </c>
      <c r="AN21" s="398">
        <f>AM21+AL21</f>
        <v>130033.33333333333</v>
      </c>
      <c r="AO21" s="17">
        <f>SUMIFS(Collection!$O:$O, Collection!$B:$B, "*" &amp; AO$2 &amp; "*", Collection!$A:$A, "="&amp;$A21)</f>
        <v>0</v>
      </c>
      <c r="AP21" s="17">
        <f>(SUMIFS('Bucket Counts'!$P:$P, 'Bucket Counts'!$D:$D, "*" &amp; AP$2 &amp; "*", 'Bucket Counts'!$A:$A, "="&amp;$A21))</f>
        <v>96953.333333333314</v>
      </c>
      <c r="AQ21" s="398">
        <f>AP21+AO21</f>
        <v>96953.333333333314</v>
      </c>
      <c r="AR21" s="17">
        <f>SUMIFS(Collection!$O:$O, Collection!$B:$B, "*" &amp; AR$2 &amp; "*", Collection!$A:$A, "="&amp;$A21)</f>
        <v>0</v>
      </c>
      <c r="AS21" s="17">
        <f>(SUMIFS('Bucket Counts'!$P:$P, 'Bucket Counts'!$D:$D, "*" &amp; AS$2 &amp; "*", 'Bucket Counts'!$A:$A, "="&amp;$A21))</f>
        <v>64275.555555555562</v>
      </c>
      <c r="AT21" s="398">
        <f>AS21+AR21</f>
        <v>64275.555555555562</v>
      </c>
      <c r="AU21" s="17">
        <f>SUMIFS(Collection!$O:$O, Collection!$B:$B, "*" &amp; AU$2 &amp; "*", Collection!$A:$A, "="&amp;$A21)</f>
        <v>0</v>
      </c>
      <c r="AV21" s="17">
        <f>(SUMIFS('Bucket Counts'!$P:$P, 'Bucket Counts'!$D:$D, "*" &amp; AV$2 &amp; "*", 'Bucket Counts'!$A:$A, "="&amp;$A21))</f>
        <v>2175</v>
      </c>
      <c r="AW21" s="398">
        <f>AV21+AU21</f>
        <v>2175</v>
      </c>
    </row>
    <row r="22" spans="1:49">
      <c r="A22" s="16">
        <f>1+A21</f>
        <v>42892</v>
      </c>
      <c r="B22" s="397">
        <f>SUMIFS(Collection!$O:$O, Collection!$B:$B, "*" &amp; B$2 &amp; "*", Collection!$A:$A, "="&amp;$A22)</f>
        <v>0</v>
      </c>
      <c r="C22" s="118">
        <f>(SUMIFS('Bucket Counts'!$P:$P, 'Bucket Counts'!$D:$D, "*" &amp; C$2 &amp; "*", 'Bucket Counts'!$A:$A, "="&amp;$A22))</f>
        <v>0</v>
      </c>
      <c r="D22" s="398">
        <f>C21+SUM(B21)</f>
        <v>108943.33333333334</v>
      </c>
      <c r="E22" s="397">
        <f>SUMIFS(Collection!$O:$O, Collection!$B:$B, "*" &amp; E$2 &amp; "*", Collection!$A:$A, "="&amp;$A22)</f>
        <v>0</v>
      </c>
      <c r="F22" s="118">
        <f>(SUMIFS('Bucket Counts'!$P:$P, 'Bucket Counts'!$D:$D, "*" &amp; F$2 &amp; "*", 'Bucket Counts'!$A:$A, "="&amp;$A22))</f>
        <v>0</v>
      </c>
      <c r="G22" s="398">
        <f>F21+SUM(E21)</f>
        <v>0</v>
      </c>
      <c r="H22" s="397">
        <f>SUMIFS(Collection!$O:$O, Collection!$B:$B, "*" &amp; H$2 &amp; "*", Collection!$A:$A, "="&amp;$A22)</f>
        <v>0</v>
      </c>
      <c r="I22" s="118">
        <f>(SUMIFS('Bucket Counts'!$P:$P, 'Bucket Counts'!$D:$D, "*" &amp; I$2 &amp; "*", 'Bucket Counts'!$A:$A, "="&amp;$A22))</f>
        <v>0</v>
      </c>
      <c r="J22" s="398">
        <f>I21+SUM(H21)</f>
        <v>53308.333333333336</v>
      </c>
      <c r="K22" s="17">
        <f>SUMIFS(Collection!$O:$O, Collection!$B:$B, "*" &amp; K$2 &amp; "*", Collection!$A:$A, "="&amp;$A22)</f>
        <v>18686.666666666668</v>
      </c>
      <c r="L22" s="17">
        <f>(SUMIFS('Bucket Counts'!$P:$P, 'Bucket Counts'!$D:$D, "*" &amp; L$2 &amp; "*", 'Bucket Counts'!$A:$A, "="&amp;$A22))</f>
        <v>0</v>
      </c>
      <c r="M22" s="398">
        <f>L21+SUM(K21:K22)</f>
        <v>126595.55555555556</v>
      </c>
      <c r="N22" s="17">
        <f>SUMIFS(Collection!$O:$O, Collection!$B:$B, "*" &amp; N$2 &amp; "*", Collection!$A:$A, "="&amp;$A22)</f>
        <v>0</v>
      </c>
      <c r="O22" s="17">
        <f>(SUMIFS('Bucket Counts'!$P:$P, 'Bucket Counts'!$D:$D, "*" &amp; O$2 &amp; "*", 'Bucket Counts'!$A:$A, "="&amp;$A22))</f>
        <v>0</v>
      </c>
      <c r="P22" s="398">
        <f>O21+SUM(N21:N22)</f>
        <v>138919.99999999997</v>
      </c>
      <c r="Q22" s="17">
        <f>SUMIFS(Collection!$O:$O, Collection!$B:$B, "*" &amp; Q$2 &amp; "*", Collection!$A:$A, "="&amp;$A22)</f>
        <v>0</v>
      </c>
      <c r="R22" s="17">
        <f>(SUMIFS('Bucket Counts'!$P:$P, 'Bucket Counts'!$D:$D, "*" &amp; R$2 &amp; "*", 'Bucket Counts'!$A:$A, "="&amp;$A22))</f>
        <v>0</v>
      </c>
      <c r="S22" s="398">
        <f>R21+SUM(Q21:Q22)</f>
        <v>46304.722222222219</v>
      </c>
      <c r="T22" s="17">
        <f>SUMIFS(Collection!$O:$O, Collection!$B:$B, "*" &amp; T$2 &amp; "*", Collection!$A:$A, "="&amp;$A22)</f>
        <v>0</v>
      </c>
      <c r="U22" s="17">
        <f>(SUMIFS('Bucket Counts'!$P:$P, 'Bucket Counts'!$D:$D, "*" &amp; U$2 &amp; "*", 'Bucket Counts'!$A:$A, "="&amp;$A22))</f>
        <v>0</v>
      </c>
      <c r="V22" s="398">
        <f>U21+SUM(T21:T22)</f>
        <v>145030</v>
      </c>
      <c r="W22" s="17">
        <f>SUMIFS(Collection!$O:$O, Collection!$B:$B, "*" &amp; W$2 &amp; "*", Collection!$A:$A, "="&amp;$A22)</f>
        <v>0</v>
      </c>
      <c r="X22" s="17">
        <f>(SUMIFS('Bucket Counts'!$P:$P, 'Bucket Counts'!$D:$D, "*" &amp; X$2 &amp; "*", 'Bucket Counts'!$A:$A, "="&amp;$A22))</f>
        <v>0</v>
      </c>
      <c r="Y22" s="398">
        <f>X21+SUM(W21:W22)</f>
        <v>95347.222222222219</v>
      </c>
      <c r="Z22" s="17">
        <f>SUMIFS(Collection!$O:$O, Collection!$B:$B, "*" &amp; Z$2 &amp; "*", Collection!$A:$A, "="&amp;$A22)</f>
        <v>0</v>
      </c>
      <c r="AA22" s="17">
        <f>(SUMIFS('Bucket Counts'!$P:$P, 'Bucket Counts'!$D:$D, "*" &amp; AA$2 &amp; "*", 'Bucket Counts'!$A:$A, "="&amp;$A22))</f>
        <v>0</v>
      </c>
      <c r="AB22" s="398">
        <f>AA21+SUM(Z21:Z22)</f>
        <v>88226.666666666672</v>
      </c>
      <c r="AC22" s="17">
        <f>SUMIFS(Collection!$O:$O, Collection!$B:$B, "*" &amp; AC$2 &amp; "*", Collection!$A:$A, "="&amp;$A22)</f>
        <v>0</v>
      </c>
      <c r="AD22" s="17">
        <f>(SUMIFS('Bucket Counts'!$P:$P, 'Bucket Counts'!$D:$D, "*" &amp; AD$2 &amp; "*", 'Bucket Counts'!$A:$A, "="&amp;$A22))</f>
        <v>0</v>
      </c>
      <c r="AE22" s="398">
        <f>AD21+SUM(AC21:AC22)</f>
        <v>70563.333333333328</v>
      </c>
      <c r="AF22" s="17">
        <f>SUMIFS(Collection!$O:$O, Collection!$B:$B, "*" &amp; AF$2 &amp; "*", Collection!$A:$A, "="&amp;$A22)</f>
        <v>0</v>
      </c>
      <c r="AG22" s="17">
        <f>(SUMIFS('Bucket Counts'!$P:$P, 'Bucket Counts'!$D:$D, "*" &amp; AG$2 &amp; "*", 'Bucket Counts'!$A:$A, "="&amp;$A22))</f>
        <v>0</v>
      </c>
      <c r="AH22" s="398">
        <f>AG21+SUM(AF21:AF22)</f>
        <v>0</v>
      </c>
      <c r="AI22" s="17">
        <f>SUMIFS(Collection!$O:$O, Collection!$B:$B, "*" &amp; AI$2 &amp; "*", Collection!$A:$A, "="&amp;$A22)</f>
        <v>0</v>
      </c>
      <c r="AJ22" s="17">
        <f>(SUMIFS('Bucket Counts'!$P:$P, 'Bucket Counts'!$D:$D, "*" &amp; AJ$2 &amp; "*", 'Bucket Counts'!$A:$A, "="&amp;$A22))</f>
        <v>0</v>
      </c>
      <c r="AK22" s="398">
        <f>AJ21+SUM(AI21:AI22)</f>
        <v>0</v>
      </c>
      <c r="AL22" s="17">
        <f>SUMIFS(Collection!$O:$O, Collection!$B:$B, "*" &amp; AL$2 &amp; "*", Collection!$A:$A, "="&amp;$A22)</f>
        <v>0</v>
      </c>
      <c r="AM22" s="17">
        <f>(SUMIFS('Bucket Counts'!$P:$P, 'Bucket Counts'!$D:$D, "*" &amp; AM$2 &amp; "*", 'Bucket Counts'!$A:$A, "="&amp;$A22))</f>
        <v>0</v>
      </c>
      <c r="AN22" s="398">
        <f>AM21+SUM(AL21:AL22)</f>
        <v>130033.33333333333</v>
      </c>
      <c r="AO22" s="17">
        <f>SUMIFS(Collection!$O:$O, Collection!$B:$B, "*" &amp; AO$2 &amp; "*", Collection!$A:$A, "="&amp;$A22)</f>
        <v>0</v>
      </c>
      <c r="AP22" s="17">
        <f>(SUMIFS('Bucket Counts'!$P:$P, 'Bucket Counts'!$D:$D, "*" &amp; AP$2 &amp; "*", 'Bucket Counts'!$A:$A, "="&amp;$A22))</f>
        <v>0</v>
      </c>
      <c r="AQ22" s="398">
        <f>AP21+SUM(AO21:AO22)</f>
        <v>96953.333333333314</v>
      </c>
      <c r="AR22" s="17">
        <f>SUMIFS(Collection!$O:$O, Collection!$B:$B, "*" &amp; AR$2 &amp; "*", Collection!$A:$A, "="&amp;$A22)</f>
        <v>0</v>
      </c>
      <c r="AS22" s="17">
        <f>(SUMIFS('Bucket Counts'!$P:$P, 'Bucket Counts'!$D:$D, "*" &amp; AS$2 &amp; "*", 'Bucket Counts'!$A:$A, "="&amp;$A22))</f>
        <v>0</v>
      </c>
      <c r="AT22" s="398">
        <f>AS21+SUM(AR21:AR22)</f>
        <v>64275.555555555562</v>
      </c>
      <c r="AU22" s="17">
        <f>SUMIFS(Collection!$O:$O, Collection!$B:$B, "*" &amp; AU$2 &amp; "*", Collection!$A:$A, "="&amp;$A22)</f>
        <v>0</v>
      </c>
      <c r="AV22" s="17">
        <f>(SUMIFS('Bucket Counts'!$P:$P, 'Bucket Counts'!$D:$D, "*" &amp; AV$2 &amp; "*", 'Bucket Counts'!$A:$A, "="&amp;$A22))</f>
        <v>0</v>
      </c>
      <c r="AW22" s="398">
        <f>AV21+SUM(AU21:AU22)</f>
        <v>2175</v>
      </c>
    </row>
    <row r="23" spans="1:49">
      <c r="A23" s="16">
        <f t="shared" ref="A23:A76" si="0">1+A22</f>
        <v>42893</v>
      </c>
      <c r="B23" s="397">
        <f>SUMIFS(Collection!$O:$O, Collection!$B:$B, "*" &amp; B$2 &amp; "*", Collection!$A:$A, "="&amp;$A23)</f>
        <v>77183.333333333343</v>
      </c>
      <c r="C23" s="118">
        <f>(SUMIFS('Bucket Counts'!$P:$P, 'Bucket Counts'!$D:$D, "*" &amp; C$2 &amp; "*", 'Bucket Counts'!$A:$A, "="&amp;$A23))</f>
        <v>0</v>
      </c>
      <c r="D23" s="398">
        <f>C21+SUM(B22:B23)</f>
        <v>186126.66666666669</v>
      </c>
      <c r="E23" s="397">
        <f>SUMIFS(Collection!$O:$O, Collection!$B:$B, "*" &amp; E$2 &amp; "*", Collection!$A:$A, "="&amp;$A23)</f>
        <v>0</v>
      </c>
      <c r="F23" s="118">
        <f>(SUMIFS('Bucket Counts'!$P:$P, 'Bucket Counts'!$D:$D, "*" &amp; F$2 &amp; "*", 'Bucket Counts'!$A:$A, "="&amp;$A23))</f>
        <v>0</v>
      </c>
      <c r="G23" s="398">
        <f>F21+SUM(E22:E23)</f>
        <v>0</v>
      </c>
      <c r="H23" s="397">
        <f>SUMIFS(Collection!$O:$O, Collection!$B:$B, "*" &amp; H$2 &amp; "*", Collection!$A:$A, "="&amp;$A23)</f>
        <v>0</v>
      </c>
      <c r="I23" s="118">
        <f>(SUMIFS('Bucket Counts'!$P:$P, 'Bucket Counts'!$D:$D, "*" &amp; I$2 &amp; "*", 'Bucket Counts'!$A:$A, "="&amp;$A23))</f>
        <v>0</v>
      </c>
      <c r="J23" s="398">
        <f>I21+SUM(H22:H23)</f>
        <v>53308.333333333336</v>
      </c>
      <c r="K23" s="17">
        <f>SUMIFS(Collection!$O:$O, Collection!$B:$B, "*" &amp; K$2 &amp; "*", Collection!$A:$A, "="&amp;$A23)</f>
        <v>0</v>
      </c>
      <c r="L23" s="17">
        <f>(SUMIFS('Bucket Counts'!$P:$P, 'Bucket Counts'!$D:$D, "*" &amp; L$2 &amp; "*", 'Bucket Counts'!$A:$A, "="&amp;$A23))</f>
        <v>0</v>
      </c>
      <c r="M23" s="398">
        <f>L21+SUM(K21:K23)</f>
        <v>126595.55555555556</v>
      </c>
      <c r="N23" s="17">
        <f>SUMIFS(Collection!$O:$O, Collection!$B:$B, "*" &amp; N$2 &amp; "*", Collection!$A:$A, "="&amp;$A23)</f>
        <v>0</v>
      </c>
      <c r="O23" s="17">
        <f>(SUMIFS('Bucket Counts'!$P:$P, 'Bucket Counts'!$D:$D, "*" &amp; O$2 &amp; "*", 'Bucket Counts'!$A:$A, "="&amp;$A23))</f>
        <v>0</v>
      </c>
      <c r="P23" s="398">
        <f>O21+SUM(N21:N23)</f>
        <v>138919.99999999997</v>
      </c>
      <c r="Q23" s="17">
        <f>SUMIFS(Collection!$O:$O, Collection!$B:$B, "*" &amp; Q$2 &amp; "*", Collection!$A:$A, "="&amp;$A23)</f>
        <v>0</v>
      </c>
      <c r="R23" s="17">
        <f>(SUMIFS('Bucket Counts'!$P:$P, 'Bucket Counts'!$D:$D, "*" &amp; R$2 &amp; "*", 'Bucket Counts'!$A:$A, "="&amp;$A23))</f>
        <v>0</v>
      </c>
      <c r="S23" s="398">
        <f>R21+SUM(Q21:Q23)</f>
        <v>46304.722222222219</v>
      </c>
      <c r="T23" s="17">
        <f>SUMIFS(Collection!$O:$O, Collection!$B:$B, "*" &amp; T$2 &amp; "*", Collection!$A:$A, "="&amp;$A23)</f>
        <v>0</v>
      </c>
      <c r="U23" s="17">
        <f>(SUMIFS('Bucket Counts'!$P:$P, 'Bucket Counts'!$D:$D, "*" &amp; U$2 &amp; "*", 'Bucket Counts'!$A:$A, "="&amp;$A23))</f>
        <v>0</v>
      </c>
      <c r="V23" s="398">
        <f>U21+SUM(T21:T23)</f>
        <v>145030</v>
      </c>
      <c r="W23" s="17">
        <f>SUMIFS(Collection!$O:$O, Collection!$B:$B, "*" &amp; W$2 &amp; "*", Collection!$A:$A, "="&amp;$A23)</f>
        <v>0</v>
      </c>
      <c r="X23" s="17">
        <f>(SUMIFS('Bucket Counts'!$P:$P, 'Bucket Counts'!$D:$D, "*" &amp; X$2 &amp; "*", 'Bucket Counts'!$A:$A, "="&amp;$A23))</f>
        <v>0</v>
      </c>
      <c r="Y23" s="398">
        <f>X21+SUM(W21:W23)</f>
        <v>95347.222222222219</v>
      </c>
      <c r="Z23" s="17">
        <f>SUMIFS(Collection!$O:$O, Collection!$B:$B, "*" &amp; Z$2 &amp; "*", Collection!$A:$A, "="&amp;$A23)</f>
        <v>0</v>
      </c>
      <c r="AA23" s="17">
        <f>(SUMIFS('Bucket Counts'!$P:$P, 'Bucket Counts'!$D:$D, "*" &amp; AA$2 &amp; "*", 'Bucket Counts'!$A:$A, "="&amp;$A23))</f>
        <v>0</v>
      </c>
      <c r="AB23" s="398">
        <f>AA21+SUM(Z21:Z23)</f>
        <v>88226.666666666672</v>
      </c>
      <c r="AC23" s="17">
        <f>SUMIFS(Collection!$O:$O, Collection!$B:$B, "*" &amp; AC$2 &amp; "*", Collection!$A:$A, "="&amp;$A23)</f>
        <v>0</v>
      </c>
      <c r="AD23" s="17">
        <f>(SUMIFS('Bucket Counts'!$P:$P, 'Bucket Counts'!$D:$D, "*" &amp; AD$2 &amp; "*", 'Bucket Counts'!$A:$A, "="&amp;$A23))</f>
        <v>0</v>
      </c>
      <c r="AE23" s="398">
        <f>AD21+SUM(AC21:AC23)</f>
        <v>70563.333333333328</v>
      </c>
      <c r="AF23" s="17">
        <f>SUMIFS(Collection!$O:$O, Collection!$B:$B, "*" &amp; AF$2 &amp; "*", Collection!$A:$A, "="&amp;$A23)</f>
        <v>0</v>
      </c>
      <c r="AG23" s="17">
        <f>(SUMIFS('Bucket Counts'!$P:$P, 'Bucket Counts'!$D:$D, "*" &amp; AG$2 &amp; "*", 'Bucket Counts'!$A:$A, "="&amp;$A23))</f>
        <v>0</v>
      </c>
      <c r="AH23" s="398">
        <f>AG21+SUM(AF21:AF23)</f>
        <v>0</v>
      </c>
      <c r="AI23" s="17">
        <f>SUMIFS(Collection!$O:$O, Collection!$B:$B, "*" &amp; AI$2 &amp; "*", Collection!$A:$A, "="&amp;$A23)</f>
        <v>88166.666666666672</v>
      </c>
      <c r="AJ23" s="17">
        <f>(SUMIFS('Bucket Counts'!$P:$P, 'Bucket Counts'!$D:$D, "*" &amp; AJ$2 &amp; "*", 'Bucket Counts'!$A:$A, "="&amp;$A23))</f>
        <v>0</v>
      </c>
      <c r="AK23" s="398">
        <f>AJ21+SUM(AI21:AI23)</f>
        <v>88166.666666666672</v>
      </c>
      <c r="AL23" s="17">
        <f>SUMIFS(Collection!$O:$O, Collection!$B:$B, "*" &amp; AL$2 &amp; "*", Collection!$A:$A, "="&amp;$A23)</f>
        <v>0</v>
      </c>
      <c r="AM23" s="17">
        <f>(SUMIFS('Bucket Counts'!$P:$P, 'Bucket Counts'!$D:$D, "*" &amp; AM$2 &amp; "*", 'Bucket Counts'!$A:$A, "="&amp;$A23))</f>
        <v>0</v>
      </c>
      <c r="AN23" s="398">
        <f>AM21+SUM(AL21:AL23)</f>
        <v>130033.33333333333</v>
      </c>
      <c r="AO23" s="17">
        <f>SUMIFS(Collection!$O:$O, Collection!$B:$B, "*" &amp; AO$2 &amp; "*", Collection!$A:$A, "="&amp;$A23)</f>
        <v>0</v>
      </c>
      <c r="AP23" s="17">
        <f>(SUMIFS('Bucket Counts'!$P:$P, 'Bucket Counts'!$D:$D, "*" &amp; AP$2 &amp; "*", 'Bucket Counts'!$A:$A, "="&amp;$A23))</f>
        <v>0</v>
      </c>
      <c r="AQ23" s="398">
        <f>AP21+SUM(AO21:AO23)</f>
        <v>96953.333333333314</v>
      </c>
      <c r="AR23" s="17">
        <f>SUMIFS(Collection!$O:$O, Collection!$B:$B, "*" &amp; AR$2 &amp; "*", Collection!$A:$A, "="&amp;$A23)</f>
        <v>0</v>
      </c>
      <c r="AS23" s="17">
        <f>(SUMIFS('Bucket Counts'!$P:$P, 'Bucket Counts'!$D:$D, "*" &amp; AS$2 &amp; "*", 'Bucket Counts'!$A:$A, "="&amp;$A23))</f>
        <v>0</v>
      </c>
      <c r="AT23" s="398">
        <f>AS21+SUM(AR21:AR23)</f>
        <v>64275.555555555562</v>
      </c>
      <c r="AU23" s="17">
        <f>SUMIFS(Collection!$O:$O, Collection!$B:$B, "*" &amp; AU$2 &amp; "*", Collection!$A:$A, "="&amp;$A23)</f>
        <v>38750</v>
      </c>
      <c r="AV23" s="17">
        <f>(SUMIFS('Bucket Counts'!$P:$P, 'Bucket Counts'!$D:$D, "*" &amp; AV$2 &amp; "*", 'Bucket Counts'!$A:$A, "="&amp;$A23))</f>
        <v>0</v>
      </c>
      <c r="AW23" s="398">
        <f>AV21+SUM(AU21:AU23)</f>
        <v>40925</v>
      </c>
    </row>
    <row r="24" spans="1:49">
      <c r="A24" s="16">
        <f t="shared" si="0"/>
        <v>42894</v>
      </c>
      <c r="B24" s="397">
        <f>SUMIFS(Collection!$O:$O, Collection!$B:$B, "*" &amp; B$2 &amp; "*", Collection!$A:$A, "="&amp;$A24)</f>
        <v>0</v>
      </c>
      <c r="C24" s="118">
        <f>(SUMIFS('Bucket Counts'!$P:$P, 'Bucket Counts'!$D:$D, "*" &amp; C$2 &amp; "*", 'Bucket Counts'!$A:$A, "="&amp;$A24))</f>
        <v>0</v>
      </c>
      <c r="D24" s="398">
        <f>C21+SUM(B21:B24)</f>
        <v>186126.66666666669</v>
      </c>
      <c r="E24" s="397">
        <f>SUMIFS(Collection!$O:$O, Collection!$B:$B, "*" &amp; E$2 &amp; "*", Collection!$A:$A, "="&amp;$A24)</f>
        <v>0</v>
      </c>
      <c r="F24" s="118">
        <f>(SUMIFS('Bucket Counts'!$P:$P, 'Bucket Counts'!$D:$D, "*" &amp; F$2 &amp; "*", 'Bucket Counts'!$A:$A, "="&amp;$A24))</f>
        <v>0</v>
      </c>
      <c r="G24" s="398">
        <f>F21+SUM(E21:E24)</f>
        <v>0</v>
      </c>
      <c r="H24" s="397">
        <f>SUMIFS(Collection!$O:$O, Collection!$B:$B, "*" &amp; H$2 &amp; "*", Collection!$A:$A, "="&amp;$A24)</f>
        <v>0</v>
      </c>
      <c r="I24" s="118">
        <f>(SUMIFS('Bucket Counts'!$P:$P, 'Bucket Counts'!$D:$D, "*" &amp; I$2 &amp; "*", 'Bucket Counts'!$A:$A, "="&amp;$A24))</f>
        <v>0</v>
      </c>
      <c r="J24" s="398">
        <f>I21+SUM(H21:H24)</f>
        <v>53308.333333333336</v>
      </c>
      <c r="K24" s="17">
        <f>SUMIFS(Collection!$O:$O, Collection!$B:$B, "*" &amp; K$2 &amp; "*", Collection!$A:$A, "="&amp;$A24)</f>
        <v>0</v>
      </c>
      <c r="L24" s="17">
        <f>(SUMIFS('Bucket Counts'!$P:$P, 'Bucket Counts'!$D:$D, "*" &amp; L$2 &amp; "*", 'Bucket Counts'!$A:$A, "="&amp;$A24))</f>
        <v>0</v>
      </c>
      <c r="M24" s="398">
        <f>L21+SUM(K21:K24)</f>
        <v>126595.55555555556</v>
      </c>
      <c r="N24" s="17">
        <f>SUMIFS(Collection!$O:$O, Collection!$B:$B, "*" &amp; N$2 &amp; "*", Collection!$A:$A, "="&amp;$A24)</f>
        <v>0</v>
      </c>
      <c r="O24" s="17">
        <f>(SUMIFS('Bucket Counts'!$P:$P, 'Bucket Counts'!$D:$D, "*" &amp; O$2 &amp; "*", 'Bucket Counts'!$A:$A, "="&amp;$A24))</f>
        <v>0</v>
      </c>
      <c r="P24" s="398">
        <f>O21+SUM(N21:N24)</f>
        <v>138919.99999999997</v>
      </c>
      <c r="Q24" s="17">
        <f>SUMIFS(Collection!$O:$O, Collection!$B:$B, "*" &amp; Q$2 &amp; "*", Collection!$A:$A, "="&amp;$A24)</f>
        <v>0</v>
      </c>
      <c r="R24" s="17">
        <f>(SUMIFS('Bucket Counts'!$P:$P, 'Bucket Counts'!$D:$D, "*" &amp; R$2 &amp; "*", 'Bucket Counts'!$A:$A, "="&amp;$A24))</f>
        <v>0</v>
      </c>
      <c r="S24" s="398">
        <f>R21+SUM(Q21:Q24)</f>
        <v>46304.722222222219</v>
      </c>
      <c r="T24" s="17">
        <f>SUMIFS(Collection!$O:$O, Collection!$B:$B, "*" &amp; T$2 &amp; "*", Collection!$A:$A, "="&amp;$A24)</f>
        <v>0</v>
      </c>
      <c r="U24" s="17">
        <f>(SUMIFS('Bucket Counts'!$P:$P, 'Bucket Counts'!$D:$D, "*" &amp; U$2 &amp; "*", 'Bucket Counts'!$A:$A, "="&amp;$A24))</f>
        <v>0</v>
      </c>
      <c r="V24" s="398">
        <f>U21+SUM(T21:T24)</f>
        <v>145030</v>
      </c>
      <c r="W24" s="17">
        <f>SUMIFS(Collection!$O:$O, Collection!$B:$B, "*" &amp; W$2 &amp; "*", Collection!$A:$A, "="&amp;$A24)</f>
        <v>0</v>
      </c>
      <c r="X24" s="17">
        <f>(SUMIFS('Bucket Counts'!$P:$P, 'Bucket Counts'!$D:$D, "*" &amp; X$2 &amp; "*", 'Bucket Counts'!$A:$A, "="&amp;$A24))</f>
        <v>0</v>
      </c>
      <c r="Y24" s="398">
        <f>X21+SUM(W21:W24)</f>
        <v>95347.222222222219</v>
      </c>
      <c r="Z24" s="17">
        <f>SUMIFS(Collection!$O:$O, Collection!$B:$B, "*" &amp; Z$2 &amp; "*", Collection!$A:$A, "="&amp;$A24)</f>
        <v>0</v>
      </c>
      <c r="AA24" s="17">
        <f>(SUMIFS('Bucket Counts'!$P:$P, 'Bucket Counts'!$D:$D, "*" &amp; AA$2 &amp; "*", 'Bucket Counts'!$A:$A, "="&amp;$A24))</f>
        <v>0</v>
      </c>
      <c r="AB24" s="398">
        <f>AA21+SUM(Z21:Z24)</f>
        <v>88226.666666666672</v>
      </c>
      <c r="AC24" s="17">
        <f>SUMIFS(Collection!$O:$O, Collection!$B:$B, "*" &amp; AC$2 &amp; "*", Collection!$A:$A, "="&amp;$A24)</f>
        <v>0</v>
      </c>
      <c r="AD24" s="17">
        <f>(SUMIFS('Bucket Counts'!$P:$P, 'Bucket Counts'!$D:$D, "*" &amp; AD$2 &amp; "*", 'Bucket Counts'!$A:$A, "="&amp;$A24))</f>
        <v>0</v>
      </c>
      <c r="AE24" s="398">
        <f>AD21+SUM(AC21:AC24)</f>
        <v>70563.333333333328</v>
      </c>
      <c r="AF24" s="17">
        <f>SUMIFS(Collection!$O:$O, Collection!$B:$B, "*" &amp; AF$2 &amp; "*", Collection!$A:$A, "="&amp;$A24)</f>
        <v>0</v>
      </c>
      <c r="AG24" s="17">
        <f>(SUMIFS('Bucket Counts'!$P:$P, 'Bucket Counts'!$D:$D, "*" &amp; AG$2 &amp; "*", 'Bucket Counts'!$A:$A, "="&amp;$A24))</f>
        <v>0</v>
      </c>
      <c r="AH24" s="398">
        <f>AG21+SUM(AF21:AF24)</f>
        <v>0</v>
      </c>
      <c r="AI24" s="17">
        <f>SUMIFS(Collection!$O:$O, Collection!$B:$B, "*" &amp; AI$2 &amp; "*", Collection!$A:$A, "="&amp;$A24)</f>
        <v>4391.666666666667</v>
      </c>
      <c r="AJ24" s="17">
        <f>(SUMIFS('Bucket Counts'!$P:$P, 'Bucket Counts'!$D:$D, "*" &amp; AJ$2 &amp; "*", 'Bucket Counts'!$A:$A, "="&amp;$A24))</f>
        <v>0</v>
      </c>
      <c r="AK24" s="398">
        <f>AJ21+SUM(AI21:AI24)</f>
        <v>92558.333333333343</v>
      </c>
      <c r="AL24" s="17">
        <f>SUMIFS(Collection!$O:$O, Collection!$B:$B, "*" &amp; AL$2 &amp; "*", Collection!$A:$A, "="&amp;$A24)</f>
        <v>25166.666666666668</v>
      </c>
      <c r="AM24" s="17">
        <f>(SUMIFS('Bucket Counts'!$P:$P, 'Bucket Counts'!$D:$D, "*" &amp; AM$2 &amp; "*", 'Bucket Counts'!$A:$A, "="&amp;$A24))</f>
        <v>0</v>
      </c>
      <c r="AN24" s="398">
        <f>AM21+SUM(AL21:AL24)</f>
        <v>155200</v>
      </c>
      <c r="AO24" s="17">
        <f>SUMIFS(Collection!$O:$O, Collection!$B:$B, "*" &amp; AO$2 &amp; "*", Collection!$A:$A, "="&amp;$A24)</f>
        <v>0</v>
      </c>
      <c r="AP24" s="17">
        <f>(SUMIFS('Bucket Counts'!$P:$P, 'Bucket Counts'!$D:$D, "*" &amp; AP$2 &amp; "*", 'Bucket Counts'!$A:$A, "="&amp;$A24))</f>
        <v>0</v>
      </c>
      <c r="AQ24" s="398">
        <f>AP21+SUM(AO21:AO24)</f>
        <v>96953.333333333314</v>
      </c>
      <c r="AR24" s="17">
        <f>SUMIFS(Collection!$O:$O, Collection!$B:$B, "*" &amp; AR$2 &amp; "*", Collection!$A:$A, "="&amp;$A24)</f>
        <v>0</v>
      </c>
      <c r="AS24" s="17">
        <f>(SUMIFS('Bucket Counts'!$P:$P, 'Bucket Counts'!$D:$D, "*" &amp; AS$2 &amp; "*", 'Bucket Counts'!$A:$A, "="&amp;$A24))</f>
        <v>0</v>
      </c>
      <c r="AT24" s="398">
        <f>AS21+SUM(AR21:AR24)</f>
        <v>64275.555555555562</v>
      </c>
      <c r="AU24" s="17">
        <f>SUMIFS(Collection!$O:$O, Collection!$B:$B, "*" &amp; AU$2 &amp; "*", Collection!$A:$A, "="&amp;$A24)</f>
        <v>9066.6666666666679</v>
      </c>
      <c r="AV24" s="17">
        <f>(SUMIFS('Bucket Counts'!$P:$P, 'Bucket Counts'!$D:$D, "*" &amp; AV$2 &amp; "*", 'Bucket Counts'!$A:$A, "="&amp;$A24))</f>
        <v>0</v>
      </c>
      <c r="AW24" s="398">
        <f>AV21+SUM(AU21:AU24)</f>
        <v>49991.666666666672</v>
      </c>
    </row>
    <row r="25" spans="1:49">
      <c r="A25" s="16">
        <f t="shared" si="0"/>
        <v>42895</v>
      </c>
      <c r="B25" s="397">
        <f>SUMIFS(Collection!$O:$O, Collection!$B:$B, "*" &amp; B$2 &amp; "*", Collection!$A:$A, "="&amp;$A25)</f>
        <v>0</v>
      </c>
      <c r="C25" s="118">
        <f>(SUMIFS('Bucket Counts'!$P:$P, 'Bucket Counts'!$D:$D, "*" &amp; C$2 &amp; "*", 'Bucket Counts'!$A:$A, "="&amp;$A25))</f>
        <v>87303.333333333343</v>
      </c>
      <c r="D25" s="398">
        <f>C25+B25</f>
        <v>87303.333333333343</v>
      </c>
      <c r="E25" s="397">
        <f>SUMIFS(Collection!$O:$O, Collection!$B:$B, "*" &amp; E$2 &amp; "*", Collection!$A:$A, "="&amp;$A25)</f>
        <v>0</v>
      </c>
      <c r="F25" s="118">
        <f>(SUMIFS('Bucket Counts'!$P:$P, 'Bucket Counts'!$D:$D, "*" &amp; F$2 &amp; "*", 'Bucket Counts'!$A:$A, "="&amp;$A25))</f>
        <v>0</v>
      </c>
      <c r="G25" s="398">
        <f>F25+E25</f>
        <v>0</v>
      </c>
      <c r="H25" s="397">
        <f>SUMIFS(Collection!$O:$O, Collection!$B:$B, "*" &amp; H$2 &amp; "*", Collection!$A:$A, "="&amp;$A25)</f>
        <v>0</v>
      </c>
      <c r="I25" s="118">
        <f>(SUMIFS('Bucket Counts'!$P:$P, 'Bucket Counts'!$D:$D, "*" &amp; I$2 &amp; "*", 'Bucket Counts'!$A:$A, "="&amp;$A25))</f>
        <v>50126.666666666664</v>
      </c>
      <c r="J25" s="398">
        <f>I25+H25</f>
        <v>50126.666666666664</v>
      </c>
      <c r="K25" s="17">
        <f>SUMIFS(Collection!$O:$O, Collection!$B:$B, "*" &amp; K$2 &amp; "*", Collection!$A:$A, "="&amp;$A25)</f>
        <v>0</v>
      </c>
      <c r="L25" s="17">
        <f>(SUMIFS('Bucket Counts'!$P:$P, 'Bucket Counts'!$D:$D, "*" &amp; L$2 &amp; "*", 'Bucket Counts'!$A:$A, "="&amp;$A25))</f>
        <v>39116.666666666664</v>
      </c>
      <c r="M25" s="398">
        <f>L25+K25</f>
        <v>39116.666666666664</v>
      </c>
      <c r="N25" s="17">
        <f>SUMIFS(Collection!$O:$O, Collection!$B:$B, "*" &amp; N$2 &amp; "*", Collection!$A:$A, "="&amp;$A25)</f>
        <v>0</v>
      </c>
      <c r="O25" s="17">
        <f>(SUMIFS('Bucket Counts'!$P:$P, 'Bucket Counts'!$D:$D, "*" &amp; O$2 &amp; "*", 'Bucket Counts'!$A:$A, "="&amp;$A25))</f>
        <v>147516.66666666669</v>
      </c>
      <c r="P25" s="398">
        <f>O25+N25</f>
        <v>147516.66666666669</v>
      </c>
      <c r="Q25" s="17">
        <f>SUMIFS(Collection!$O:$O, Collection!$B:$B, "*" &amp; Q$2 &amp; "*", Collection!$A:$A, "="&amp;$A25)</f>
        <v>0</v>
      </c>
      <c r="R25" s="17">
        <f>(SUMIFS('Bucket Counts'!$P:$P, 'Bucket Counts'!$D:$D, "*" &amp; R$2 &amp; "*", 'Bucket Counts'!$A:$A, "="&amp;$A25))</f>
        <v>0</v>
      </c>
      <c r="S25" s="398">
        <f>R25+Q25</f>
        <v>0</v>
      </c>
      <c r="T25" s="17">
        <f>SUMIFS(Collection!$O:$O, Collection!$B:$B, "*" &amp; T$2 &amp; "*", Collection!$A:$A, "="&amp;$A25)</f>
        <v>0</v>
      </c>
      <c r="U25" s="17">
        <f>(SUMIFS('Bucket Counts'!$P:$P, 'Bucket Counts'!$D:$D, "*" &amp; U$2 &amp; "*", 'Bucket Counts'!$A:$A, "="&amp;$A25))</f>
        <v>32666.666666666668</v>
      </c>
      <c r="V25" s="398">
        <f>U25+T25</f>
        <v>32666.666666666668</v>
      </c>
      <c r="W25" s="17">
        <f>SUMIFS(Collection!$O:$O, Collection!$B:$B, "*" &amp; W$2 &amp; "*", Collection!$A:$A, "="&amp;$A25)</f>
        <v>0</v>
      </c>
      <c r="X25" s="17">
        <f>(SUMIFS('Bucket Counts'!$P:$P, 'Bucket Counts'!$D:$D, "*" &amp; X$2 &amp; "*", 'Bucket Counts'!$A:$A, "="&amp;$A25))</f>
        <v>42716.666666666672</v>
      </c>
      <c r="Y25" s="398">
        <f>X25+W25</f>
        <v>42716.666666666672</v>
      </c>
      <c r="Z25" s="17">
        <f>SUMIFS(Collection!$O:$O, Collection!$B:$B, "*" &amp; Z$2 &amp; "*", Collection!$A:$A, "="&amp;$A25)</f>
        <v>0</v>
      </c>
      <c r="AA25" s="17">
        <f>(SUMIFS('Bucket Counts'!$P:$P, 'Bucket Counts'!$D:$D, "*" &amp; AA$2 &amp; "*", 'Bucket Counts'!$A:$A, "="&amp;$A25))</f>
        <v>93497.222222222219</v>
      </c>
      <c r="AB25" s="398">
        <f>AA25+Z25</f>
        <v>93497.222222222219</v>
      </c>
      <c r="AC25" s="17">
        <f>SUMIFS(Collection!$O:$O, Collection!$B:$B, "*" &amp; AC$2 &amp; "*", Collection!$A:$A, "="&amp;$A25)</f>
        <v>0</v>
      </c>
      <c r="AD25" s="17">
        <f>(SUMIFS('Bucket Counts'!$P:$P, 'Bucket Counts'!$D:$D, "*" &amp; AD$2 &amp; "*", 'Bucket Counts'!$A:$A, "="&amp;$A25))</f>
        <v>56509.166666666664</v>
      </c>
      <c r="AE25" s="398">
        <f>AD25+AC25</f>
        <v>56509.166666666664</v>
      </c>
      <c r="AF25" s="17">
        <f>SUMIFS(Collection!$O:$O, Collection!$B:$B, "*" &amp; AF$2 &amp; "*", Collection!$A:$A, "="&amp;$A25)</f>
        <v>0</v>
      </c>
      <c r="AG25" s="17">
        <f>(SUMIFS('Bucket Counts'!$P:$P, 'Bucket Counts'!$D:$D, "*" &amp; AG$2 &amp; "*", 'Bucket Counts'!$A:$A, "="&amp;$A25))</f>
        <v>0</v>
      </c>
      <c r="AH25" s="398">
        <f>AG25+AF25</f>
        <v>0</v>
      </c>
      <c r="AI25" s="17">
        <f>SUMIFS(Collection!$O:$O, Collection!$B:$B, "*" &amp; AI$2 &amp; "*", Collection!$A:$A, "="&amp;$A25)</f>
        <v>0</v>
      </c>
      <c r="AJ25" s="17">
        <f>(SUMIFS('Bucket Counts'!$P:$P, 'Bucket Counts'!$D:$D, "*" &amp; AJ$2 &amp; "*", 'Bucket Counts'!$A:$A, "="&amp;$A25))</f>
        <v>64533.333333333336</v>
      </c>
      <c r="AK25" s="398">
        <f>AJ25+AI25</f>
        <v>64533.333333333336</v>
      </c>
      <c r="AL25" s="17">
        <f>SUMIFS(Collection!$O:$O, Collection!$B:$B, "*" &amp; AL$2 &amp; "*", Collection!$A:$A, "="&amp;$A25)</f>
        <v>0</v>
      </c>
      <c r="AM25" s="17">
        <f>(SUMIFS('Bucket Counts'!$P:$P, 'Bucket Counts'!$D:$D, "*" &amp; AM$2 &amp; "*", 'Bucket Counts'!$A:$A, "="&amp;$A25))</f>
        <v>89683.333333333328</v>
      </c>
      <c r="AN25" s="398">
        <f>AM25+AL25</f>
        <v>89683.333333333328</v>
      </c>
      <c r="AO25" s="17">
        <f>SUMIFS(Collection!$O:$O, Collection!$B:$B, "*" &amp; AO$2 &amp; "*", Collection!$A:$A, "="&amp;$A25)</f>
        <v>0</v>
      </c>
      <c r="AP25" s="17">
        <f>(SUMIFS('Bucket Counts'!$P:$P, 'Bucket Counts'!$D:$D, "*" &amp; AP$2 &amp; "*", 'Bucket Counts'!$A:$A, "="&amp;$A25))</f>
        <v>0</v>
      </c>
      <c r="AQ25" s="398">
        <f>AP25+AO25</f>
        <v>0</v>
      </c>
      <c r="AR25" s="17">
        <f>SUMIFS(Collection!$O:$O, Collection!$B:$B, "*" &amp; AR$2 &amp; "*", Collection!$A:$A, "="&amp;$A25)</f>
        <v>0</v>
      </c>
      <c r="AS25" s="17">
        <f>(SUMIFS('Bucket Counts'!$P:$P, 'Bucket Counts'!$D:$D, "*" &amp; AS$2 &amp; "*", 'Bucket Counts'!$A:$A, "="&amp;$A25))</f>
        <v>47496.666666666664</v>
      </c>
      <c r="AT25" s="398">
        <f>AS25+AR25</f>
        <v>47496.666666666664</v>
      </c>
      <c r="AU25" s="17">
        <f>SUMIFS(Collection!$O:$O, Collection!$B:$B, "*" &amp; AU$2 &amp; "*", Collection!$A:$A, "="&amp;$A25)</f>
        <v>0</v>
      </c>
      <c r="AV25" s="17">
        <f>(SUMIFS('Bucket Counts'!$P:$P, 'Bucket Counts'!$D:$D, "*" &amp; AV$2 &amp; "*", 'Bucket Counts'!$A:$A, "="&amp;$A25))</f>
        <v>56316.666666666672</v>
      </c>
      <c r="AW25" s="398">
        <f>AV25+AU25</f>
        <v>56316.666666666672</v>
      </c>
    </row>
    <row r="26" spans="1:49">
      <c r="A26" s="16">
        <f t="shared" si="0"/>
        <v>42896</v>
      </c>
      <c r="B26" s="397">
        <f>SUMIFS(Collection!$O:$O, Collection!$B:$B, "*" &amp; B$2 &amp; "*", Collection!$A:$A, "="&amp;$A26)</f>
        <v>0</v>
      </c>
      <c r="C26" s="118">
        <f>(SUMIFS('Bucket Counts'!$P:$P, 'Bucket Counts'!$D:$D, "*" &amp; C$2 &amp; "*", 'Bucket Counts'!$A:$A, "="&amp;$A26))</f>
        <v>0</v>
      </c>
      <c r="D26" s="398">
        <f>C25+B25</f>
        <v>87303.333333333343</v>
      </c>
      <c r="E26" s="397">
        <f>SUMIFS(Collection!$O:$O, Collection!$B:$B, "*" &amp; E$2 &amp; "*", Collection!$A:$A, "="&amp;$A26)</f>
        <v>0</v>
      </c>
      <c r="F26" s="118">
        <f>(SUMIFS('Bucket Counts'!$P:$P, 'Bucket Counts'!$D:$D, "*" &amp; F$2 &amp; "*", 'Bucket Counts'!$A:$A, "="&amp;$A26))</f>
        <v>0</v>
      </c>
      <c r="G26" s="398">
        <f>F25+E25</f>
        <v>0</v>
      </c>
      <c r="H26" s="397">
        <f>SUMIFS(Collection!$O:$O, Collection!$B:$B, "*" &amp; H$2 &amp; "*", Collection!$A:$A, "="&amp;$A26)</f>
        <v>0</v>
      </c>
      <c r="I26" s="118">
        <f>(SUMIFS('Bucket Counts'!$P:$P, 'Bucket Counts'!$D:$D, "*" &amp; I$2 &amp; "*", 'Bucket Counts'!$A:$A, "="&amp;$A26))</f>
        <v>0</v>
      </c>
      <c r="J26" s="398">
        <f>I25+H25</f>
        <v>50126.666666666664</v>
      </c>
      <c r="K26" s="17">
        <f>SUMIFS(Collection!$O:$O, Collection!$B:$B, "*" &amp; K$2 &amp; "*", Collection!$A:$A, "="&amp;$A26)</f>
        <v>61733.333333333336</v>
      </c>
      <c r="L26" s="17">
        <f>(SUMIFS('Bucket Counts'!$P:$P, 'Bucket Counts'!$D:$D, "*" &amp; L$2 &amp; "*", 'Bucket Counts'!$A:$A, "="&amp;$A26))</f>
        <v>0</v>
      </c>
      <c r="M26" s="398">
        <f>L25+K25:K26</f>
        <v>100850</v>
      </c>
      <c r="N26" s="17">
        <f>SUMIFS(Collection!$O:$O, Collection!$B:$B, "*" &amp; N$2 &amp; "*", Collection!$A:$A, "="&amp;$A26)</f>
        <v>0</v>
      </c>
      <c r="O26" s="17">
        <f>(SUMIFS('Bucket Counts'!$P:$P, 'Bucket Counts'!$D:$D, "*" &amp; O$2 &amp; "*", 'Bucket Counts'!$A:$A, "="&amp;$A26))</f>
        <v>0</v>
      </c>
      <c r="P26" s="398">
        <f>O25+N25:N26</f>
        <v>147516.66666666669</v>
      </c>
      <c r="Q26" s="17">
        <f>SUMIFS(Collection!$O:$O, Collection!$B:$B, "*" &amp; Q$2 &amp; "*", Collection!$A:$A, "="&amp;$A26)</f>
        <v>0</v>
      </c>
      <c r="R26" s="17">
        <f>(SUMIFS('Bucket Counts'!$P:$P, 'Bucket Counts'!$D:$D, "*" &amp; R$2 &amp; "*", 'Bucket Counts'!$A:$A, "="&amp;$A26))</f>
        <v>0</v>
      </c>
      <c r="S26" s="398">
        <f>R25+Q25:Q26</f>
        <v>0</v>
      </c>
      <c r="T26" s="17">
        <f>SUMIFS(Collection!$O:$O, Collection!$B:$B, "*" &amp; T$2 &amp; "*", Collection!$A:$A, "="&amp;$A26)</f>
        <v>0</v>
      </c>
      <c r="U26" s="17">
        <f>(SUMIFS('Bucket Counts'!$P:$P, 'Bucket Counts'!$D:$D, "*" &amp; U$2 &amp; "*", 'Bucket Counts'!$A:$A, "="&amp;$A26))</f>
        <v>0</v>
      </c>
      <c r="V26" s="398">
        <f>U25+T25:T26</f>
        <v>32666.666666666668</v>
      </c>
      <c r="W26" s="17">
        <f>SUMIFS(Collection!$O:$O, Collection!$B:$B, "*" &amp; W$2 &amp; "*", Collection!$A:$A, "="&amp;$A26)</f>
        <v>0</v>
      </c>
      <c r="X26" s="17">
        <f>(SUMIFS('Bucket Counts'!$P:$P, 'Bucket Counts'!$D:$D, "*" &amp; X$2 &amp; "*", 'Bucket Counts'!$A:$A, "="&amp;$A26))</f>
        <v>0</v>
      </c>
      <c r="Y26" s="398">
        <f>X25+W25:W26</f>
        <v>42716.666666666672</v>
      </c>
      <c r="Z26" s="17">
        <f>SUMIFS(Collection!$O:$O, Collection!$B:$B, "*" &amp; Z$2 &amp; "*", Collection!$A:$A, "="&amp;$A26)</f>
        <v>0</v>
      </c>
      <c r="AA26" s="17">
        <f>(SUMIFS('Bucket Counts'!$P:$P, 'Bucket Counts'!$D:$D, "*" &amp; AA$2 &amp; "*", 'Bucket Counts'!$A:$A, "="&amp;$A26))</f>
        <v>0</v>
      </c>
      <c r="AB26" s="398">
        <f>AA25+Z25:Z26</f>
        <v>93497.222222222219</v>
      </c>
      <c r="AC26" s="17">
        <f>SUMIFS(Collection!$O:$O, Collection!$B:$B, "*" &amp; AC$2 &amp; "*", Collection!$A:$A, "="&amp;$A26)</f>
        <v>54200</v>
      </c>
      <c r="AD26" s="17">
        <f>(SUMIFS('Bucket Counts'!$P:$P, 'Bucket Counts'!$D:$D, "*" &amp; AD$2 &amp; "*", 'Bucket Counts'!$A:$A, "="&amp;$A26))</f>
        <v>0</v>
      </c>
      <c r="AE26" s="398">
        <f>AD25+AC25:AC26</f>
        <v>110709.16666666666</v>
      </c>
      <c r="AF26" s="17">
        <f>SUMIFS(Collection!$O:$O, Collection!$B:$B, "*" &amp; AF$2 &amp; "*", Collection!$A:$A, "="&amp;$A26)</f>
        <v>0</v>
      </c>
      <c r="AG26" s="17">
        <f>(SUMIFS('Bucket Counts'!$P:$P, 'Bucket Counts'!$D:$D, "*" &amp; AG$2 &amp; "*", 'Bucket Counts'!$A:$A, "="&amp;$A26))</f>
        <v>0</v>
      </c>
      <c r="AH26" s="398">
        <f>AG25+AF25:AF26</f>
        <v>0</v>
      </c>
      <c r="AI26" s="17">
        <f>SUMIFS(Collection!$O:$O, Collection!$B:$B, "*" &amp; AI$2 &amp; "*", Collection!$A:$A, "="&amp;$A26)</f>
        <v>0</v>
      </c>
      <c r="AJ26" s="17">
        <f>(SUMIFS('Bucket Counts'!$P:$P, 'Bucket Counts'!$D:$D, "*" &amp; AJ$2 &amp; "*", 'Bucket Counts'!$A:$A, "="&amp;$A26))</f>
        <v>0</v>
      </c>
      <c r="AK26" s="398">
        <f>AJ25+AI25:AI26</f>
        <v>64533.333333333336</v>
      </c>
      <c r="AL26" s="17">
        <f>SUMIFS(Collection!$O:$O, Collection!$B:$B, "*" &amp; AL$2 &amp; "*", Collection!$A:$A, "="&amp;$A26)</f>
        <v>0</v>
      </c>
      <c r="AM26" s="17">
        <f>(SUMIFS('Bucket Counts'!$P:$P, 'Bucket Counts'!$D:$D, "*" &amp; AM$2 &amp; "*", 'Bucket Counts'!$A:$A, "="&amp;$A26))</f>
        <v>0</v>
      </c>
      <c r="AN26" s="398">
        <f>AM25+AL25:AL26</f>
        <v>89683.333333333328</v>
      </c>
      <c r="AO26" s="17">
        <f>SUMIFS(Collection!$O:$O, Collection!$B:$B, "*" &amp; AO$2 &amp; "*", Collection!$A:$A, "="&amp;$A26)</f>
        <v>0</v>
      </c>
      <c r="AP26" s="17">
        <f>(SUMIFS('Bucket Counts'!$P:$P, 'Bucket Counts'!$D:$D, "*" &amp; AP$2 &amp; "*", 'Bucket Counts'!$A:$A, "="&amp;$A26))</f>
        <v>0</v>
      </c>
      <c r="AQ26" s="398">
        <f>AP25+AO25:AO26</f>
        <v>0</v>
      </c>
      <c r="AR26" s="17">
        <f>SUMIFS(Collection!$O:$O, Collection!$B:$B, "*" &amp; AR$2 &amp; "*", Collection!$A:$A, "="&amp;$A26)</f>
        <v>51466.666666666664</v>
      </c>
      <c r="AS26" s="17">
        <f>(SUMIFS('Bucket Counts'!$P:$P, 'Bucket Counts'!$D:$D, "*" &amp; AS$2 &amp; "*", 'Bucket Counts'!$A:$A, "="&amp;$A26))</f>
        <v>0</v>
      </c>
      <c r="AT26" s="398">
        <f>AS25+AR25:AR26</f>
        <v>98963.333333333328</v>
      </c>
      <c r="AU26" s="17">
        <f>SUMIFS(Collection!$O:$O, Collection!$B:$B, "*" &amp; AU$2 &amp; "*", Collection!$A:$A, "="&amp;$A26)</f>
        <v>0</v>
      </c>
      <c r="AV26" s="17">
        <f>(SUMIFS('Bucket Counts'!$P:$P, 'Bucket Counts'!$D:$D, "*" &amp; AV$2 &amp; "*", 'Bucket Counts'!$A:$A, "="&amp;$A26))</f>
        <v>0</v>
      </c>
      <c r="AW26" s="398">
        <f>AV25+AU25:AU26</f>
        <v>56316.666666666672</v>
      </c>
    </row>
    <row r="27" spans="1:49">
      <c r="A27" s="16">
        <f t="shared" si="0"/>
        <v>42897</v>
      </c>
      <c r="B27" s="397">
        <f>SUMIFS(Collection!$O:$O, Collection!$B:$B, "*" &amp; B$2 &amp; "*", Collection!$A:$A, "="&amp;$A27)</f>
        <v>0</v>
      </c>
      <c r="C27" s="118">
        <f>(SUMIFS('Bucket Counts'!$P:$P, 'Bucket Counts'!$D:$D, "*" &amp; C$2 &amp; "*", 'Bucket Counts'!$A:$A, "="&amp;$A27))</f>
        <v>0</v>
      </c>
      <c r="D27" s="398">
        <f>C25+SUM(B25:B27)</f>
        <v>87303.333333333343</v>
      </c>
      <c r="E27" s="397">
        <f>SUMIFS(Collection!$O:$O, Collection!$B:$B, "*" &amp; E$2 &amp; "*", Collection!$A:$A, "="&amp;$A27)</f>
        <v>0</v>
      </c>
      <c r="F27" s="118">
        <f>(SUMIFS('Bucket Counts'!$P:$P, 'Bucket Counts'!$D:$D, "*" &amp; F$2 &amp; "*", 'Bucket Counts'!$A:$A, "="&amp;$A27))</f>
        <v>0</v>
      </c>
      <c r="G27" s="398">
        <f>F25+SUM(E25:E27)</f>
        <v>0</v>
      </c>
      <c r="H27" s="397">
        <f>SUMIFS(Collection!$O:$O, Collection!$B:$B, "*" &amp; H$2 &amp; "*", Collection!$A:$A, "="&amp;$A27)</f>
        <v>0</v>
      </c>
      <c r="I27" s="118">
        <f>(SUMIFS('Bucket Counts'!$P:$P, 'Bucket Counts'!$D:$D, "*" &amp; I$2 &amp; "*", 'Bucket Counts'!$A:$A, "="&amp;$A27))</f>
        <v>0</v>
      </c>
      <c r="J27" s="398">
        <f>I25+SUM(H25:H27)</f>
        <v>50126.666666666664</v>
      </c>
      <c r="K27" s="17">
        <f>SUMIFS(Collection!$O:$O, Collection!$B:$B, "*" &amp; K$2 &amp; "*", Collection!$A:$A, "="&amp;$A27)</f>
        <v>0</v>
      </c>
      <c r="L27" s="17">
        <f>(SUMIFS('Bucket Counts'!$P:$P, 'Bucket Counts'!$D:$D, "*" &amp; L$2 &amp; "*", 'Bucket Counts'!$A:$A, "="&amp;$A27))</f>
        <v>0</v>
      </c>
      <c r="M27" s="398">
        <f>L25+SUM(K25:K27)</f>
        <v>100850</v>
      </c>
      <c r="N27" s="17">
        <f>SUMIFS(Collection!$O:$O, Collection!$B:$B, "*" &amp; N$2 &amp; "*", Collection!$A:$A, "="&amp;$A27)</f>
        <v>0</v>
      </c>
      <c r="O27" s="17">
        <f>(SUMIFS('Bucket Counts'!$P:$P, 'Bucket Counts'!$D:$D, "*" &amp; O$2 &amp; "*", 'Bucket Counts'!$A:$A, "="&amp;$A27))</f>
        <v>0</v>
      </c>
      <c r="P27" s="398">
        <f>O25+SUM(N25:N27)</f>
        <v>147516.66666666669</v>
      </c>
      <c r="Q27" s="17">
        <f>SUMIFS(Collection!$O:$O, Collection!$B:$B, "*" &amp; Q$2 &amp; "*", Collection!$A:$A, "="&amp;$A27)</f>
        <v>0</v>
      </c>
      <c r="R27" s="17">
        <f>(SUMIFS('Bucket Counts'!$P:$P, 'Bucket Counts'!$D:$D, "*" &amp; R$2 &amp; "*", 'Bucket Counts'!$A:$A, "="&amp;$A27))</f>
        <v>0</v>
      </c>
      <c r="S27" s="398">
        <f>R25+SUM(Q25:Q27)</f>
        <v>0</v>
      </c>
      <c r="T27" s="17">
        <f>SUMIFS(Collection!$O:$O, Collection!$B:$B, "*" &amp; T$2 &amp; "*", Collection!$A:$A, "="&amp;$A27)</f>
        <v>0</v>
      </c>
      <c r="U27" s="17">
        <f>(SUMIFS('Bucket Counts'!$P:$P, 'Bucket Counts'!$D:$D, "*" &amp; U$2 &amp; "*", 'Bucket Counts'!$A:$A, "="&amp;$A27))</f>
        <v>0</v>
      </c>
      <c r="V27" s="398">
        <f>U25+SUM(T25:T27)</f>
        <v>32666.666666666668</v>
      </c>
      <c r="W27" s="17">
        <f>SUMIFS(Collection!$O:$O, Collection!$B:$B, "*" &amp; W$2 &amp; "*", Collection!$A:$A, "="&amp;$A27)</f>
        <v>0</v>
      </c>
      <c r="X27" s="17">
        <f>(SUMIFS('Bucket Counts'!$P:$P, 'Bucket Counts'!$D:$D, "*" &amp; X$2 &amp; "*", 'Bucket Counts'!$A:$A, "="&amp;$A27))</f>
        <v>0</v>
      </c>
      <c r="Y27" s="398">
        <f>X25+SUM(W25:W27)</f>
        <v>42716.666666666672</v>
      </c>
      <c r="Z27" s="17">
        <f>SUMIFS(Collection!$O:$O, Collection!$B:$B, "*" &amp; Z$2 &amp; "*", Collection!$A:$A, "="&amp;$A27)</f>
        <v>0</v>
      </c>
      <c r="AA27" s="17">
        <f>(SUMIFS('Bucket Counts'!$P:$P, 'Bucket Counts'!$D:$D, "*" &amp; AA$2 &amp; "*", 'Bucket Counts'!$A:$A, "="&amp;$A27))</f>
        <v>0</v>
      </c>
      <c r="AB27" s="398">
        <f>AA25+SUM(Z25:Z27)</f>
        <v>93497.222222222219</v>
      </c>
      <c r="AC27" s="17">
        <f>SUMIFS(Collection!$O:$O, Collection!$B:$B, "*" &amp; AC$2 &amp; "*", Collection!$A:$A, "="&amp;$A27)</f>
        <v>0</v>
      </c>
      <c r="AD27" s="17">
        <f>(SUMIFS('Bucket Counts'!$P:$P, 'Bucket Counts'!$D:$D, "*" &amp; AD$2 &amp; "*", 'Bucket Counts'!$A:$A, "="&amp;$A27))</f>
        <v>0</v>
      </c>
      <c r="AE27" s="398">
        <f>AD25+SUM(AC25:AC27)</f>
        <v>110709.16666666666</v>
      </c>
      <c r="AF27" s="17">
        <f>SUMIFS(Collection!$O:$O, Collection!$B:$B, "*" &amp; AF$2 &amp; "*", Collection!$A:$A, "="&amp;$A27)</f>
        <v>0</v>
      </c>
      <c r="AG27" s="17">
        <f>(SUMIFS('Bucket Counts'!$P:$P, 'Bucket Counts'!$D:$D, "*" &amp; AG$2 &amp; "*", 'Bucket Counts'!$A:$A, "="&amp;$A27))</f>
        <v>0</v>
      </c>
      <c r="AH27" s="398">
        <f>AG25+SUM(AF25:AF27)</f>
        <v>0</v>
      </c>
      <c r="AI27" s="17">
        <f>SUMIFS(Collection!$O:$O, Collection!$B:$B, "*" &amp; AI$2 &amp; "*", Collection!$A:$A, "="&amp;$A27)</f>
        <v>0</v>
      </c>
      <c r="AJ27" s="17">
        <f>(SUMIFS('Bucket Counts'!$P:$P, 'Bucket Counts'!$D:$D, "*" &amp; AJ$2 &amp; "*", 'Bucket Counts'!$A:$A, "="&amp;$A27))</f>
        <v>0</v>
      </c>
      <c r="AK27" s="398">
        <f>AJ25+SUM(AI25:AI27)</f>
        <v>64533.333333333336</v>
      </c>
      <c r="AL27" s="17">
        <f>SUMIFS(Collection!$O:$O, Collection!$B:$B, "*" &amp; AL$2 &amp; "*", Collection!$A:$A, "="&amp;$A27)</f>
        <v>0</v>
      </c>
      <c r="AM27" s="17">
        <f>(SUMIFS('Bucket Counts'!$P:$P, 'Bucket Counts'!$D:$D, "*" &amp; AM$2 &amp; "*", 'Bucket Counts'!$A:$A, "="&amp;$A27))</f>
        <v>0</v>
      </c>
      <c r="AN27" s="398">
        <f>AM25+SUM(AL25:AL27)</f>
        <v>89683.333333333328</v>
      </c>
      <c r="AO27" s="17">
        <f>SUMIFS(Collection!$O:$O, Collection!$B:$B, "*" &amp; AO$2 &amp; "*", Collection!$A:$A, "="&amp;$A27)</f>
        <v>0</v>
      </c>
      <c r="AP27" s="17">
        <f>(SUMIFS('Bucket Counts'!$P:$P, 'Bucket Counts'!$D:$D, "*" &amp; AP$2 &amp; "*", 'Bucket Counts'!$A:$A, "="&amp;$A27))</f>
        <v>0</v>
      </c>
      <c r="AQ27" s="398">
        <f>AP25+SUM(AO25:AO27)</f>
        <v>0</v>
      </c>
      <c r="AR27" s="17">
        <f>SUMIFS(Collection!$O:$O, Collection!$B:$B, "*" &amp; AR$2 &amp; "*", Collection!$A:$A, "="&amp;$A27)</f>
        <v>0</v>
      </c>
      <c r="AS27" s="17">
        <f>(SUMIFS('Bucket Counts'!$P:$P, 'Bucket Counts'!$D:$D, "*" &amp; AS$2 &amp; "*", 'Bucket Counts'!$A:$A, "="&amp;$A27))</f>
        <v>0</v>
      </c>
      <c r="AT27" s="398">
        <f>AS25+SUM(AR25:AR27)</f>
        <v>98963.333333333328</v>
      </c>
      <c r="AU27" s="17">
        <f>SUMIFS(Collection!$O:$O, Collection!$B:$B, "*" &amp; AU$2 &amp; "*", Collection!$A:$A, "="&amp;$A27)</f>
        <v>0</v>
      </c>
      <c r="AV27" s="17">
        <f>(SUMIFS('Bucket Counts'!$P:$P, 'Bucket Counts'!$D:$D, "*" &amp; AV$2 &amp; "*", 'Bucket Counts'!$A:$A, "="&amp;$A27))</f>
        <v>0</v>
      </c>
      <c r="AW27" s="398">
        <f>AV25+SUM(AU25:AU27)</f>
        <v>56316.666666666672</v>
      </c>
    </row>
    <row r="28" spans="1:49">
      <c r="A28" s="16">
        <f t="shared" si="0"/>
        <v>42898</v>
      </c>
      <c r="B28" s="397">
        <f>SUMIFS(Collection!$O:$O, Collection!$B:$B, "*" &amp; B$2 &amp; "*", Collection!$A:$A, "="&amp;$A28)</f>
        <v>0</v>
      </c>
      <c r="C28" s="118">
        <f>(SUMIFS('Bucket Counts'!$P:$P, 'Bucket Counts'!$D:$D, "*" &amp; C$2 &amp; "*", 'Bucket Counts'!$A:$A, "="&amp;$A28))</f>
        <v>83783.333333333328</v>
      </c>
      <c r="D28" s="398">
        <f>C28+B28</f>
        <v>83783.333333333328</v>
      </c>
      <c r="E28" s="397">
        <f>SUMIFS(Collection!$O:$O, Collection!$B:$B, "*" &amp; E$2 &amp; "*", Collection!$A:$A, "="&amp;$A28)</f>
        <v>0</v>
      </c>
      <c r="F28" s="118">
        <f>(SUMIFS('Bucket Counts'!$P:$P, 'Bucket Counts'!$D:$D, "*" &amp; F$2 &amp; "*", 'Bucket Counts'!$A:$A, "="&amp;$A28))</f>
        <v>0</v>
      </c>
      <c r="G28" s="398">
        <f>F28+E28</f>
        <v>0</v>
      </c>
      <c r="H28" s="397">
        <f>SUMIFS(Collection!$O:$O, Collection!$B:$B, "*" &amp; H$2 &amp; "*", Collection!$A:$A, "="&amp;$A28)</f>
        <v>0</v>
      </c>
      <c r="I28" s="118">
        <f>(SUMIFS('Bucket Counts'!$P:$P, 'Bucket Counts'!$D:$D, "*" &amp; I$2 &amp; "*", 'Bucket Counts'!$A:$A, "="&amp;$A28))</f>
        <v>46103.333333333336</v>
      </c>
      <c r="J28" s="398">
        <f>I28+H28</f>
        <v>46103.333333333336</v>
      </c>
      <c r="K28" s="17">
        <f>SUMIFS(Collection!$O:$O, Collection!$B:$B, "*" &amp; K$2 &amp; "*", Collection!$A:$A, "="&amp;$A28)</f>
        <v>9400</v>
      </c>
      <c r="L28" s="17">
        <f>(SUMIFS('Bucket Counts'!$P:$P, 'Bucket Counts'!$D:$D, "*" &amp; L$2 &amp; "*", 'Bucket Counts'!$A:$A, "="&amp;$A28))</f>
        <v>70011.111111111109</v>
      </c>
      <c r="M28" s="398">
        <f>L28+K28</f>
        <v>79411.111111111109</v>
      </c>
      <c r="N28" s="17">
        <f>SUMIFS(Collection!$O:$O, Collection!$B:$B, "*" &amp; N$2 &amp; "*", Collection!$A:$A, "="&amp;$A28)</f>
        <v>0</v>
      </c>
      <c r="O28" s="17">
        <f>(SUMIFS('Bucket Counts'!$P:$P, 'Bucket Counts'!$D:$D, "*" &amp; O$2 &amp; "*", 'Bucket Counts'!$A:$A, "="&amp;$A28))</f>
        <v>111925</v>
      </c>
      <c r="P28" s="398">
        <f>O28+N28</f>
        <v>111925</v>
      </c>
      <c r="Q28" s="17">
        <f>SUMIFS(Collection!$O:$O, Collection!$B:$B, "*" &amp; Q$2 &amp; "*", Collection!$A:$A, "="&amp;$A28)</f>
        <v>0</v>
      </c>
      <c r="R28" s="17">
        <f>(SUMIFS('Bucket Counts'!$P:$P, 'Bucket Counts'!$D:$D, "*" &amp; R$2 &amp; "*", 'Bucket Counts'!$A:$A, "="&amp;$A28))</f>
        <v>0</v>
      </c>
      <c r="S28" s="398">
        <f>R28+Q28</f>
        <v>0</v>
      </c>
      <c r="T28" s="17">
        <f>SUMIFS(Collection!$O:$O, Collection!$B:$B, "*" &amp; T$2 &amp; "*", Collection!$A:$A, "="&amp;$A28)</f>
        <v>0</v>
      </c>
      <c r="U28" s="17">
        <f>(SUMIFS('Bucket Counts'!$P:$P, 'Bucket Counts'!$D:$D, "*" &amp; U$2 &amp; "*", 'Bucket Counts'!$A:$A, "="&amp;$A28))</f>
        <v>38150</v>
      </c>
      <c r="V28" s="398">
        <f>U28+T28</f>
        <v>38150</v>
      </c>
      <c r="W28" s="17">
        <f>SUMIFS(Collection!$O:$O, Collection!$B:$B, "*" &amp; W$2 &amp; "*", Collection!$A:$A, "="&amp;$A28)</f>
        <v>1400</v>
      </c>
      <c r="X28" s="17">
        <f>(SUMIFS('Bucket Counts'!$P:$P, 'Bucket Counts'!$D:$D, "*" &amp; X$2 &amp; "*", 'Bucket Counts'!$A:$A, "="&amp;$A28))</f>
        <v>54606.666666666664</v>
      </c>
      <c r="Y28" s="398">
        <f>X28+W28</f>
        <v>56006.666666666664</v>
      </c>
      <c r="Z28" s="17">
        <f>SUMIFS(Collection!$O:$O, Collection!$B:$B, "*" &amp; Z$2 &amp; "*", Collection!$A:$A, "="&amp;$A28)</f>
        <v>0</v>
      </c>
      <c r="AA28" s="17">
        <f>(SUMIFS('Bucket Counts'!$P:$P, 'Bucket Counts'!$D:$D, "*" &amp; AA$2 &amp; "*", 'Bucket Counts'!$A:$A, "="&amp;$A28))</f>
        <v>77303.333333333328</v>
      </c>
      <c r="AB28" s="398">
        <f>AA28+Z28</f>
        <v>77303.333333333328</v>
      </c>
      <c r="AC28" s="17">
        <f>SUMIFS(Collection!$O:$O, Collection!$B:$B, "*" &amp; AC$2 &amp; "*", Collection!$A:$A, "="&amp;$A28)</f>
        <v>53333.333333333336</v>
      </c>
      <c r="AD28" s="17">
        <f>(SUMIFS('Bucket Counts'!$P:$P, 'Bucket Counts'!$D:$D, "*" &amp; AD$2 &amp; "*", 'Bucket Counts'!$A:$A, "="&amp;$A28))</f>
        <v>86451.666666666672</v>
      </c>
      <c r="AE28" s="398">
        <f>AD28+AC28</f>
        <v>139785</v>
      </c>
      <c r="AF28" s="17">
        <f>SUMIFS(Collection!$O:$O, Collection!$B:$B, "*" &amp; AF$2 &amp; "*", Collection!$A:$A, "="&amp;$A28)</f>
        <v>65666.666666666672</v>
      </c>
      <c r="AG28" s="17">
        <f>(SUMIFS('Bucket Counts'!$P:$P, 'Bucket Counts'!$D:$D, "*" &amp; AG$2 &amp; "*", 'Bucket Counts'!$A:$A, "="&amp;$A28))</f>
        <v>0</v>
      </c>
      <c r="AH28" s="398">
        <f>AG28+AF28</f>
        <v>65666.666666666672</v>
      </c>
      <c r="AI28" s="17">
        <f>SUMIFS(Collection!$O:$O, Collection!$B:$B, "*" &amp; AI$2 &amp; "*", Collection!$A:$A, "="&amp;$A28)</f>
        <v>0</v>
      </c>
      <c r="AJ28" s="17">
        <f>(SUMIFS('Bucket Counts'!$P:$P, 'Bucket Counts'!$D:$D, "*" &amp; AJ$2 &amp; "*", 'Bucket Counts'!$A:$A, "="&amp;$A28))</f>
        <v>71136.666666666657</v>
      </c>
      <c r="AK28" s="398">
        <f>AJ28+AI28</f>
        <v>71136.666666666657</v>
      </c>
      <c r="AL28" s="17">
        <f>SUMIFS(Collection!$O:$O, Collection!$B:$B, "*" &amp; AL$2 &amp; "*", Collection!$A:$A, "="&amp;$A28)</f>
        <v>0</v>
      </c>
      <c r="AM28" s="17">
        <f>(SUMIFS('Bucket Counts'!$P:$P, 'Bucket Counts'!$D:$D, "*" &amp; AM$2 &amp; "*", 'Bucket Counts'!$A:$A, "="&amp;$A28))</f>
        <v>67206.666666666672</v>
      </c>
      <c r="AN28" s="398">
        <f>AM28+AL28</f>
        <v>67206.666666666672</v>
      </c>
      <c r="AO28" s="17">
        <f>SUMIFS(Collection!$O:$O, Collection!$B:$B, "*" &amp; AO$2 &amp; "*", Collection!$A:$A, "="&amp;$A28)</f>
        <v>0</v>
      </c>
      <c r="AP28" s="17">
        <f>(SUMIFS('Bucket Counts'!$P:$P, 'Bucket Counts'!$D:$D, "*" &amp; AP$2 &amp; "*", 'Bucket Counts'!$A:$A, "="&amp;$A28))</f>
        <v>0</v>
      </c>
      <c r="AQ28" s="398">
        <f>AP28+AO28</f>
        <v>0</v>
      </c>
      <c r="AR28" s="17">
        <f>SUMIFS(Collection!$O:$O, Collection!$B:$B, "*" &amp; AR$2 &amp; "*", Collection!$A:$A, "="&amp;$A28)</f>
        <v>4200</v>
      </c>
      <c r="AS28" s="17">
        <f>(SUMIFS('Bucket Counts'!$P:$P, 'Bucket Counts'!$D:$D, "*" &amp; AS$2 &amp; "*", 'Bucket Counts'!$A:$A, "="&amp;$A28))</f>
        <v>92913.333333333343</v>
      </c>
      <c r="AT28" s="398">
        <f>AS28+AR28</f>
        <v>97113.333333333343</v>
      </c>
      <c r="AU28" s="17">
        <f>SUMIFS(Collection!$O:$O, Collection!$B:$B, "*" &amp; AU$2 &amp; "*", Collection!$A:$A, "="&amp;$A28)</f>
        <v>0</v>
      </c>
      <c r="AV28" s="17">
        <f>(SUMIFS('Bucket Counts'!$P:$P, 'Bucket Counts'!$D:$D, "*" &amp; AV$2 &amp; "*", 'Bucket Counts'!$A:$A, "="&amp;$A28))</f>
        <v>49492.5</v>
      </c>
      <c r="AW28" s="398">
        <f>AV28+AU28</f>
        <v>49492.5</v>
      </c>
    </row>
    <row r="29" spans="1:49">
      <c r="A29" s="16">
        <f t="shared" si="0"/>
        <v>42899</v>
      </c>
      <c r="B29" s="397">
        <f>SUMIFS(Collection!$O:$O, Collection!$B:$B, "*" &amp; B$2 &amp; "*", Collection!$A:$A, "="&amp;$A29)</f>
        <v>0</v>
      </c>
      <c r="C29" s="118">
        <f>(SUMIFS('Bucket Counts'!$P:$P, 'Bucket Counts'!$D:$D, "*" &amp; C$2 &amp; "*", 'Bucket Counts'!$A:$A, "="&amp;$A29))</f>
        <v>0</v>
      </c>
      <c r="D29" s="398">
        <f>C28+SUM(B28:B29)</f>
        <v>83783.333333333328</v>
      </c>
      <c r="E29" s="397">
        <f>SUMIFS(Collection!$O:$O, Collection!$B:$B, "*" &amp; E$2 &amp; "*", Collection!$A:$A, "="&amp;$A29)</f>
        <v>0</v>
      </c>
      <c r="F29" s="118">
        <f>(SUMIFS('Bucket Counts'!$P:$P, 'Bucket Counts'!$D:$D, "*" &amp; F$2 &amp; "*", 'Bucket Counts'!$A:$A, "="&amp;$A29))</f>
        <v>0</v>
      </c>
      <c r="G29" s="398">
        <f>F28+SUM(E28:E29)</f>
        <v>0</v>
      </c>
      <c r="H29" s="397">
        <f>SUMIFS(Collection!$O:$O, Collection!$B:$B, "*" &amp; H$2 &amp; "*", Collection!$A:$A, "="&amp;$A29)</f>
        <v>0</v>
      </c>
      <c r="I29" s="118">
        <f>(SUMIFS('Bucket Counts'!$P:$P, 'Bucket Counts'!$D:$D, "*" &amp; I$2 &amp; "*", 'Bucket Counts'!$A:$A, "="&amp;$A29))</f>
        <v>0</v>
      </c>
      <c r="J29" s="398">
        <f>I28+SUM(H28:H29)</f>
        <v>46103.333333333336</v>
      </c>
      <c r="K29" s="17">
        <f>SUMIFS(Collection!$O:$O, Collection!$B:$B, "*" &amp; K$2 &amp; "*", Collection!$A:$A, "="&amp;$A29)</f>
        <v>0</v>
      </c>
      <c r="L29" s="17">
        <f>(SUMIFS('Bucket Counts'!$P:$P, 'Bucket Counts'!$D:$D, "*" &amp; L$2 &amp; "*", 'Bucket Counts'!$A:$A, "="&amp;$A29))</f>
        <v>0</v>
      </c>
      <c r="M29" s="398">
        <f>L28+SUM(K28:K29)</f>
        <v>79411.111111111109</v>
      </c>
      <c r="N29" s="17">
        <f>SUMIFS(Collection!$O:$O, Collection!$B:$B, "*" &amp; N$2 &amp; "*", Collection!$A:$A, "="&amp;$A29)</f>
        <v>0</v>
      </c>
      <c r="O29" s="17">
        <f>(SUMIFS('Bucket Counts'!$P:$P, 'Bucket Counts'!$D:$D, "*" &amp; O$2 &amp; "*", 'Bucket Counts'!$A:$A, "="&amp;$A29))</f>
        <v>0</v>
      </c>
      <c r="P29" s="398">
        <f>O28+SUM(N28:N29)</f>
        <v>111925</v>
      </c>
      <c r="Q29" s="17">
        <f>SUMIFS(Collection!$O:$O, Collection!$B:$B, "*" &amp; Q$2 &amp; "*", Collection!$A:$A, "="&amp;$A29)</f>
        <v>0</v>
      </c>
      <c r="R29" s="17">
        <f>(SUMIFS('Bucket Counts'!$P:$P, 'Bucket Counts'!$D:$D, "*" &amp; R$2 &amp; "*", 'Bucket Counts'!$A:$A, "="&amp;$A29))</f>
        <v>0</v>
      </c>
      <c r="S29" s="398">
        <f>R28+SUM(Q28:Q29)</f>
        <v>0</v>
      </c>
      <c r="T29" s="17">
        <f>SUMIFS(Collection!$O:$O, Collection!$B:$B, "*" &amp; T$2 &amp; "*", Collection!$A:$A, "="&amp;$A29)</f>
        <v>0</v>
      </c>
      <c r="U29" s="17">
        <f>(SUMIFS('Bucket Counts'!$P:$P, 'Bucket Counts'!$D:$D, "*" &amp; U$2 &amp; "*", 'Bucket Counts'!$A:$A, "="&amp;$A29))</f>
        <v>0</v>
      </c>
      <c r="V29" s="398">
        <f>U28+SUM(T28:T29)</f>
        <v>38150</v>
      </c>
      <c r="W29" s="17">
        <f>SUMIFS(Collection!$O:$O, Collection!$B:$B, "*" &amp; W$2 &amp; "*", Collection!$A:$A, "="&amp;$A29)</f>
        <v>0</v>
      </c>
      <c r="X29" s="17">
        <f>(SUMIFS('Bucket Counts'!$P:$P, 'Bucket Counts'!$D:$D, "*" &amp; X$2 &amp; "*", 'Bucket Counts'!$A:$A, "="&amp;$A29))</f>
        <v>0</v>
      </c>
      <c r="Y29" s="398">
        <f>X28+SUM(W28:W29)</f>
        <v>56006.666666666664</v>
      </c>
      <c r="Z29" s="17">
        <f>SUMIFS(Collection!$O:$O, Collection!$B:$B, "*" &amp; Z$2 &amp; "*", Collection!$A:$A, "="&amp;$A29)</f>
        <v>0</v>
      </c>
      <c r="AA29" s="17">
        <f>(SUMIFS('Bucket Counts'!$P:$P, 'Bucket Counts'!$D:$D, "*" &amp; AA$2 &amp; "*", 'Bucket Counts'!$A:$A, "="&amp;$A29))</f>
        <v>0</v>
      </c>
      <c r="AB29" s="398">
        <f>AA28+SUM(Z28:Z29)</f>
        <v>77303.333333333328</v>
      </c>
      <c r="AC29" s="17">
        <f>SUMIFS(Collection!$O:$O, Collection!$B:$B, "*" &amp; AC$2 &amp; "*", Collection!$A:$A, "="&amp;$A29)</f>
        <v>0</v>
      </c>
      <c r="AD29" s="17">
        <f>(SUMIFS('Bucket Counts'!$P:$P, 'Bucket Counts'!$D:$D, "*" &amp; AD$2 &amp; "*", 'Bucket Counts'!$A:$A, "="&amp;$A29))</f>
        <v>0</v>
      </c>
      <c r="AE29" s="398">
        <f>AD28+SUM(AC28:AC29)</f>
        <v>139785</v>
      </c>
      <c r="AF29" s="17">
        <f>SUMIFS(Collection!$O:$O, Collection!$B:$B, "*" &amp; AF$2 &amp; "*", Collection!$A:$A, "="&amp;$A29)</f>
        <v>0</v>
      </c>
      <c r="AG29" s="17">
        <f>(SUMIFS('Bucket Counts'!$P:$P, 'Bucket Counts'!$D:$D, "*" &amp; AG$2 &amp; "*", 'Bucket Counts'!$A:$A, "="&amp;$A29))</f>
        <v>0</v>
      </c>
      <c r="AH29" s="398">
        <f>AG28+SUM(AF28:AF29)</f>
        <v>65666.666666666672</v>
      </c>
      <c r="AI29" s="17">
        <f>SUMIFS(Collection!$O:$O, Collection!$B:$B, "*" &amp; AI$2 &amp; "*", Collection!$A:$A, "="&amp;$A29)</f>
        <v>0</v>
      </c>
      <c r="AJ29" s="17">
        <f>(SUMIFS('Bucket Counts'!$P:$P, 'Bucket Counts'!$D:$D, "*" &amp; AJ$2 &amp; "*", 'Bucket Counts'!$A:$A, "="&amp;$A29))</f>
        <v>0</v>
      </c>
      <c r="AK29" s="398">
        <f>AJ28+SUM(AI28:AI29)</f>
        <v>71136.666666666657</v>
      </c>
      <c r="AL29" s="17">
        <f>SUMIFS(Collection!$O:$O, Collection!$B:$B, "*" &amp; AL$2 &amp; "*", Collection!$A:$A, "="&amp;$A29)</f>
        <v>0</v>
      </c>
      <c r="AM29" s="17">
        <f>(SUMIFS('Bucket Counts'!$P:$P, 'Bucket Counts'!$D:$D, "*" &amp; AM$2 &amp; "*", 'Bucket Counts'!$A:$A, "="&amp;$A29))</f>
        <v>0</v>
      </c>
      <c r="AN29" s="398">
        <f>AM28+SUM(AL28:AL29)</f>
        <v>67206.666666666672</v>
      </c>
      <c r="AO29" s="17">
        <f>SUMIFS(Collection!$O:$O, Collection!$B:$B, "*" &amp; AO$2 &amp; "*", Collection!$A:$A, "="&amp;$A29)</f>
        <v>0</v>
      </c>
      <c r="AP29" s="17">
        <f>(SUMIFS('Bucket Counts'!$P:$P, 'Bucket Counts'!$D:$D, "*" &amp; AP$2 &amp; "*", 'Bucket Counts'!$A:$A, "="&amp;$A29))</f>
        <v>0</v>
      </c>
      <c r="AQ29" s="398">
        <f>AP28+SUM(AO28:AO29)</f>
        <v>0</v>
      </c>
      <c r="AR29" s="17">
        <f>SUMIFS(Collection!$O:$O, Collection!$B:$B, "*" &amp; AR$2 &amp; "*", Collection!$A:$A, "="&amp;$A29)</f>
        <v>0</v>
      </c>
      <c r="AS29" s="17">
        <f>(SUMIFS('Bucket Counts'!$P:$P, 'Bucket Counts'!$D:$D, "*" &amp; AS$2 &amp; "*", 'Bucket Counts'!$A:$A, "="&amp;$A29))</f>
        <v>0</v>
      </c>
      <c r="AT29" s="398">
        <f>AS28+SUM(AR28:AR29)</f>
        <v>97113.333333333343</v>
      </c>
      <c r="AU29" s="17">
        <f>SUMIFS(Collection!$O:$O, Collection!$B:$B, "*" &amp; AU$2 &amp; "*", Collection!$A:$A, "="&amp;$A29)</f>
        <v>0</v>
      </c>
      <c r="AV29" s="17">
        <f>(SUMIFS('Bucket Counts'!$P:$P, 'Bucket Counts'!$D:$D, "*" &amp; AV$2 &amp; "*", 'Bucket Counts'!$A:$A, "="&amp;$A29))</f>
        <v>0</v>
      </c>
      <c r="AW29" s="398">
        <f>AV28+SUM(AU28:AU29)</f>
        <v>49492.5</v>
      </c>
    </row>
    <row r="30" spans="1:49">
      <c r="A30" s="16">
        <f t="shared" si="0"/>
        <v>42900</v>
      </c>
      <c r="B30" s="397">
        <f>SUMIFS(Collection!$O:$O, Collection!$B:$B, "*" &amp; B$2 &amp; "*", Collection!$A:$A, "="&amp;$A30)</f>
        <v>57866.666666666664</v>
      </c>
      <c r="C30" s="118">
        <f>(SUMIFS('Bucket Counts'!$P:$P, 'Bucket Counts'!$D:$D, "*" &amp; C$2 &amp; "*", 'Bucket Counts'!$A:$A, "="&amp;$A30))</f>
        <v>0</v>
      </c>
      <c r="D30" s="398">
        <f>C28+SUM(B28:B30)</f>
        <v>141650</v>
      </c>
      <c r="E30" s="397">
        <f>SUMIFS(Collection!$O:$O, Collection!$B:$B, "*" &amp; E$2 &amp; "*", Collection!$A:$A, "="&amp;$A30)</f>
        <v>0</v>
      </c>
      <c r="F30" s="118">
        <f>(SUMIFS('Bucket Counts'!$P:$P, 'Bucket Counts'!$D:$D, "*" &amp; F$2 &amp; "*", 'Bucket Counts'!$A:$A, "="&amp;$A30))</f>
        <v>0</v>
      </c>
      <c r="G30" s="398">
        <f>F28+SUM(E28:E30)</f>
        <v>0</v>
      </c>
      <c r="H30" s="397">
        <f>SUMIFS(Collection!$O:$O, Collection!$B:$B, "*" &amp; H$2 &amp; "*", Collection!$A:$A, "="&amp;$A30)</f>
        <v>0</v>
      </c>
      <c r="I30" s="118">
        <f>(SUMIFS('Bucket Counts'!$P:$P, 'Bucket Counts'!$D:$D, "*" &amp; I$2 &amp; "*", 'Bucket Counts'!$A:$A, "="&amp;$A30))</f>
        <v>0</v>
      </c>
      <c r="J30" s="398">
        <f>I28+SUM(H28:H30)</f>
        <v>46103.333333333336</v>
      </c>
      <c r="K30" s="17">
        <f>SUMIFS(Collection!$O:$O, Collection!$B:$B, "*" &amp; K$2 &amp; "*", Collection!$A:$A, "="&amp;$A30)</f>
        <v>0</v>
      </c>
      <c r="L30" s="17">
        <f>(SUMIFS('Bucket Counts'!$P:$P, 'Bucket Counts'!$D:$D, "*" &amp; L$2 &amp; "*", 'Bucket Counts'!$A:$A, "="&amp;$A30))</f>
        <v>0</v>
      </c>
      <c r="M30" s="398">
        <f>L28+SUM(K28:K30)</f>
        <v>79411.111111111109</v>
      </c>
      <c r="N30" s="17">
        <f>SUMIFS(Collection!$O:$O, Collection!$B:$B, "*" &amp; N$2 &amp; "*", Collection!$A:$A, "="&amp;$A30)</f>
        <v>39000</v>
      </c>
      <c r="O30" s="17">
        <f>(SUMIFS('Bucket Counts'!$P:$P, 'Bucket Counts'!$D:$D, "*" &amp; O$2 &amp; "*", 'Bucket Counts'!$A:$A, "="&amp;$A30))</f>
        <v>0</v>
      </c>
      <c r="P30" s="398">
        <f>O28+SUM(N28:N30)</f>
        <v>150925</v>
      </c>
      <c r="Q30" s="17">
        <f>SUMIFS(Collection!$O:$O, Collection!$B:$B, "*" &amp; Q$2 &amp; "*", Collection!$A:$A, "="&amp;$A30)</f>
        <v>79566.666666666672</v>
      </c>
      <c r="R30" s="17">
        <f>(SUMIFS('Bucket Counts'!$P:$P, 'Bucket Counts'!$D:$D, "*" &amp; R$2 &amp; "*", 'Bucket Counts'!$A:$A, "="&amp;$A30))</f>
        <v>0</v>
      </c>
      <c r="S30" s="398">
        <f>R28+SUM(Q28:Q30)</f>
        <v>79566.666666666672</v>
      </c>
      <c r="T30" s="17">
        <f>SUMIFS(Collection!$O:$O, Collection!$B:$B, "*" &amp; T$2 &amp; "*", Collection!$A:$A, "="&amp;$A30)</f>
        <v>0</v>
      </c>
      <c r="U30" s="17">
        <f>(SUMIFS('Bucket Counts'!$P:$P, 'Bucket Counts'!$D:$D, "*" &amp; U$2 &amp; "*", 'Bucket Counts'!$A:$A, "="&amp;$A30))</f>
        <v>0</v>
      </c>
      <c r="V30" s="398">
        <f>U28+SUM(T28:T30)</f>
        <v>38150</v>
      </c>
      <c r="W30" s="17">
        <f>SUMIFS(Collection!$O:$O, Collection!$B:$B, "*" &amp; W$2 &amp; "*", Collection!$A:$A, "="&amp;$A30)</f>
        <v>134800</v>
      </c>
      <c r="X30" s="17">
        <f>(SUMIFS('Bucket Counts'!$P:$P, 'Bucket Counts'!$D:$D, "*" &amp; X$2 &amp; "*", 'Bucket Counts'!$A:$A, "="&amp;$A30))</f>
        <v>0</v>
      </c>
      <c r="Y30" s="398">
        <f>X28+SUM(W28:W30)</f>
        <v>190806.66666666666</v>
      </c>
      <c r="Z30" s="17">
        <f>SUMIFS(Collection!$O:$O, Collection!$B:$B, "*" &amp; Z$2 &amp; "*", Collection!$A:$A, "="&amp;$A30)</f>
        <v>0</v>
      </c>
      <c r="AA30" s="17">
        <f>(SUMIFS('Bucket Counts'!$P:$P, 'Bucket Counts'!$D:$D, "*" &amp; AA$2 &amp; "*", 'Bucket Counts'!$A:$A, "="&amp;$A30))</f>
        <v>0</v>
      </c>
      <c r="AB30" s="398">
        <f>AA28+SUM(Z28:Z30)</f>
        <v>77303.333333333328</v>
      </c>
      <c r="AC30" s="17">
        <f>SUMIFS(Collection!$O:$O, Collection!$B:$B, "*" &amp; AC$2 &amp; "*", Collection!$A:$A, "="&amp;$A30)</f>
        <v>0</v>
      </c>
      <c r="AD30" s="17">
        <f>(SUMIFS('Bucket Counts'!$P:$P, 'Bucket Counts'!$D:$D, "*" &amp; AD$2 &amp; "*", 'Bucket Counts'!$A:$A, "="&amp;$A30))</f>
        <v>0</v>
      </c>
      <c r="AE30" s="398">
        <f>AD28+SUM(AC28:AC30)</f>
        <v>139785</v>
      </c>
      <c r="AF30" s="17">
        <f>SUMIFS(Collection!$O:$O, Collection!$B:$B, "*" &amp; AF$2 &amp; "*", Collection!$A:$A, "="&amp;$A30)</f>
        <v>0</v>
      </c>
      <c r="AG30" s="17">
        <f>(SUMIFS('Bucket Counts'!$P:$P, 'Bucket Counts'!$D:$D, "*" &amp; AG$2 &amp; "*", 'Bucket Counts'!$A:$A, "="&amp;$A30))</f>
        <v>0</v>
      </c>
      <c r="AH30" s="398">
        <f>AG28+SUM(AF28:AF30)</f>
        <v>65666.666666666672</v>
      </c>
      <c r="AI30" s="17">
        <f>SUMIFS(Collection!$O:$O, Collection!$B:$B, "*" &amp; AI$2 &amp; "*", Collection!$A:$A, "="&amp;$A30)</f>
        <v>0</v>
      </c>
      <c r="AJ30" s="17">
        <f>(SUMIFS('Bucket Counts'!$P:$P, 'Bucket Counts'!$D:$D, "*" &amp; AJ$2 &amp; "*", 'Bucket Counts'!$A:$A, "="&amp;$A30))</f>
        <v>0</v>
      </c>
      <c r="AK30" s="398">
        <f>AJ28+SUM(AI28:AI30)</f>
        <v>71136.666666666657</v>
      </c>
      <c r="AL30" s="17">
        <f>SUMIFS(Collection!$O:$O, Collection!$B:$B, "*" &amp; AL$2 &amp; "*", Collection!$A:$A, "="&amp;$A30)</f>
        <v>0</v>
      </c>
      <c r="AM30" s="17">
        <f>(SUMIFS('Bucket Counts'!$P:$P, 'Bucket Counts'!$D:$D, "*" &amp; AM$2 &amp; "*", 'Bucket Counts'!$A:$A, "="&amp;$A30))</f>
        <v>0</v>
      </c>
      <c r="AN30" s="398">
        <f>AM28+SUM(AL28:AL30)</f>
        <v>67206.666666666672</v>
      </c>
      <c r="AO30" s="17">
        <f>SUMIFS(Collection!$O:$O, Collection!$B:$B, "*" &amp; AO$2 &amp; "*", Collection!$A:$A, "="&amp;$A30)</f>
        <v>0</v>
      </c>
      <c r="AP30" s="17">
        <f>(SUMIFS('Bucket Counts'!$P:$P, 'Bucket Counts'!$D:$D, "*" &amp; AP$2 &amp; "*", 'Bucket Counts'!$A:$A, "="&amp;$A30))</f>
        <v>0</v>
      </c>
      <c r="AQ30" s="398">
        <f>AP28+SUM(AO28:AO30)</f>
        <v>0</v>
      </c>
      <c r="AR30" s="17">
        <f>SUMIFS(Collection!$O:$O, Collection!$B:$B, "*" &amp; AR$2 &amp; "*", Collection!$A:$A, "="&amp;$A30)</f>
        <v>0</v>
      </c>
      <c r="AS30" s="17">
        <f>(SUMIFS('Bucket Counts'!$P:$P, 'Bucket Counts'!$D:$D, "*" &amp; AS$2 &amp; "*", 'Bucket Counts'!$A:$A, "="&amp;$A30))</f>
        <v>0</v>
      </c>
      <c r="AT30" s="398">
        <f>AS28+SUM(AR28:AR30)</f>
        <v>97113.333333333343</v>
      </c>
      <c r="AU30" s="17">
        <f>SUMIFS(Collection!$O:$O, Collection!$B:$B, "*" &amp; AU$2 &amp; "*", Collection!$A:$A, "="&amp;$A30)</f>
        <v>0</v>
      </c>
      <c r="AV30" s="17">
        <f>(SUMIFS('Bucket Counts'!$P:$P, 'Bucket Counts'!$D:$D, "*" &amp; AV$2 &amp; "*", 'Bucket Counts'!$A:$A, "="&amp;$A30))</f>
        <v>0</v>
      </c>
      <c r="AW30" s="398">
        <f>AV28+SUM(AU28:AU30)</f>
        <v>49492.5</v>
      </c>
    </row>
    <row r="31" spans="1:49">
      <c r="A31" s="16">
        <f t="shared" si="0"/>
        <v>42901</v>
      </c>
      <c r="B31" s="397">
        <f>SUMIFS(Collection!$O:$O, Collection!$B:$B, "*" &amp; B$2 &amp; "*", Collection!$A:$A, "="&amp;$A31)</f>
        <v>47233.333333333336</v>
      </c>
      <c r="C31" s="118">
        <f>(SUMIFS('Bucket Counts'!$P:$P, 'Bucket Counts'!$D:$D, "*" &amp; C$2 &amp; "*", 'Bucket Counts'!$A:$A, "="&amp;$A31))</f>
        <v>94250</v>
      </c>
      <c r="D31" s="398">
        <f>C31+B31</f>
        <v>141483.33333333334</v>
      </c>
      <c r="E31" s="397">
        <f>SUMIFS(Collection!$O:$O, Collection!$B:$B, "*" &amp; E$2 &amp; "*", Collection!$A:$A, "="&amp;$A31)</f>
        <v>0</v>
      </c>
      <c r="F31" s="118">
        <f>(SUMIFS('Bucket Counts'!$P:$P, 'Bucket Counts'!$D:$D, "*" &amp; F$2 &amp; "*", 'Bucket Counts'!$A:$A, "="&amp;$A31))</f>
        <v>0</v>
      </c>
      <c r="G31" s="398">
        <f>F31+E31</f>
        <v>0</v>
      </c>
      <c r="H31" s="397">
        <f>SUMIFS(Collection!$O:$O, Collection!$B:$B, "*" &amp; H$2 &amp; "*", Collection!$A:$A, "="&amp;$A31)</f>
        <v>0</v>
      </c>
      <c r="I31" s="118">
        <f>(SUMIFS('Bucket Counts'!$P:$P, 'Bucket Counts'!$D:$D, "*" &amp; I$2 &amp; "*", 'Bucket Counts'!$A:$A, "="&amp;$A31))</f>
        <v>25116.666666666664</v>
      </c>
      <c r="J31" s="398">
        <f>I31+H31</f>
        <v>25116.666666666664</v>
      </c>
      <c r="K31" s="17">
        <f>SUMIFS(Collection!$O:$O, Collection!$B:$B, "*" &amp; K$2 &amp; "*", Collection!$A:$A, "="&amp;$A31)</f>
        <v>0</v>
      </c>
      <c r="L31" s="17">
        <f>(SUMIFS('Bucket Counts'!$P:$P, 'Bucket Counts'!$D:$D, "*" &amp; L$2 &amp; "*", 'Bucket Counts'!$A:$A, "="&amp;$A31))</f>
        <v>69823.333333333328</v>
      </c>
      <c r="M31" s="398">
        <f>L31+K31</f>
        <v>69823.333333333328</v>
      </c>
      <c r="N31" s="17">
        <f>SUMIFS(Collection!$O:$O, Collection!$B:$B, "*" &amp; N$2 &amp; "*", Collection!$A:$A, "="&amp;$A31)</f>
        <v>48666.666666666664</v>
      </c>
      <c r="O31" s="17">
        <f>(SUMIFS('Bucket Counts'!$P:$P, 'Bucket Counts'!$D:$D, "*" &amp; O$2 &amp; "*", 'Bucket Counts'!$A:$A, "="&amp;$A31))</f>
        <v>129910</v>
      </c>
      <c r="P31" s="398">
        <f>O31+N31</f>
        <v>178576.66666666666</v>
      </c>
      <c r="Q31" s="17">
        <f>SUMIFS(Collection!$O:$O, Collection!$B:$B, "*" &amp; Q$2 &amp; "*", Collection!$A:$A, "="&amp;$A31)</f>
        <v>48000</v>
      </c>
      <c r="R31" s="17">
        <f>(SUMIFS('Bucket Counts'!$P:$P, 'Bucket Counts'!$D:$D, "*" &amp; R$2 &amp; "*", 'Bucket Counts'!$A:$A, "="&amp;$A31))</f>
        <v>0</v>
      </c>
      <c r="S31" s="398">
        <f>R31+Q31</f>
        <v>48000</v>
      </c>
      <c r="T31" s="17">
        <f>SUMIFS(Collection!$O:$O, Collection!$B:$B, "*" &amp; T$2 &amp; "*", Collection!$A:$A, "="&amp;$A31)</f>
        <v>58800</v>
      </c>
      <c r="U31" s="17">
        <f>(SUMIFS('Bucket Counts'!$P:$P, 'Bucket Counts'!$D:$D, "*" &amp; U$2 &amp; "*", 'Bucket Counts'!$A:$A, "="&amp;$A31))</f>
        <v>21824.999999999996</v>
      </c>
      <c r="V31" s="398">
        <f>U31+T31</f>
        <v>80625</v>
      </c>
      <c r="W31" s="17">
        <f>SUMIFS(Collection!$O:$O, Collection!$B:$B, "*" &amp; W$2 &amp; "*", Collection!$A:$A, "="&amp;$A31)</f>
        <v>45400</v>
      </c>
      <c r="X31" s="17">
        <f>(SUMIFS('Bucket Counts'!$P:$P, 'Bucket Counts'!$D:$D, "*" &amp; X$2 &amp; "*", 'Bucket Counts'!$A:$A, "="&amp;$A31))</f>
        <v>98686.666666666672</v>
      </c>
      <c r="Y31" s="398">
        <f>X31+W31</f>
        <v>144086.66666666669</v>
      </c>
      <c r="Z31" s="17">
        <f>SUMIFS(Collection!$O:$O, Collection!$B:$B, "*" &amp; Z$2 &amp; "*", Collection!$A:$A, "="&amp;$A31)</f>
        <v>0</v>
      </c>
      <c r="AA31" s="17">
        <f>(SUMIFS('Bucket Counts'!$P:$P, 'Bucket Counts'!$D:$D, "*" &amp; AA$2 &amp; "*", 'Bucket Counts'!$A:$A, "="&amp;$A31))</f>
        <v>52096.666666666664</v>
      </c>
      <c r="AB31" s="398">
        <f>AA31+Z31</f>
        <v>52096.666666666664</v>
      </c>
      <c r="AC31" s="17">
        <f>SUMIFS(Collection!$O:$O, Collection!$B:$B, "*" &amp; AC$2 &amp; "*", Collection!$A:$A, "="&amp;$A31)</f>
        <v>0</v>
      </c>
      <c r="AD31" s="17">
        <f>(SUMIFS('Bucket Counts'!$P:$P, 'Bucket Counts'!$D:$D, "*" &amp; AD$2 &amp; "*", 'Bucket Counts'!$A:$A, "="&amp;$A31))</f>
        <v>132258.33333333334</v>
      </c>
      <c r="AE31" s="398">
        <f>AD31+AC31</f>
        <v>132258.33333333334</v>
      </c>
      <c r="AF31" s="17">
        <f>SUMIFS(Collection!$O:$O, Collection!$B:$B, "*" &amp; AF$2 &amp; "*", Collection!$A:$A, "="&amp;$A31)</f>
        <v>0</v>
      </c>
      <c r="AG31" s="17">
        <f>(SUMIFS('Bucket Counts'!$P:$P, 'Bucket Counts'!$D:$D, "*" &amp; AG$2 &amp; "*", 'Bucket Counts'!$A:$A, "="&amp;$A31))</f>
        <v>64266.666666666672</v>
      </c>
      <c r="AH31" s="398">
        <f>AG31+AF31</f>
        <v>64266.666666666672</v>
      </c>
      <c r="AI31" s="17">
        <f>SUMIFS(Collection!$O:$O, Collection!$B:$B, "*" &amp; AI$2 &amp; "*", Collection!$A:$A, "="&amp;$A31)</f>
        <v>483.33333333333337</v>
      </c>
      <c r="AJ31" s="17">
        <f>(SUMIFS('Bucket Counts'!$P:$P, 'Bucket Counts'!$D:$D, "*" &amp; AJ$2 &amp; "*", 'Bucket Counts'!$A:$A, "="&amp;$A31))</f>
        <v>28333.333333333332</v>
      </c>
      <c r="AK31" s="398">
        <f>AJ31+AI31</f>
        <v>28816.666666666664</v>
      </c>
      <c r="AL31" s="17">
        <f>SUMIFS(Collection!$O:$O, Collection!$B:$B, "*" &amp; AL$2 &amp; "*", Collection!$A:$A, "="&amp;$A31)</f>
        <v>18166.666666666668</v>
      </c>
      <c r="AM31" s="17">
        <f>(SUMIFS('Bucket Counts'!$P:$P, 'Bucket Counts'!$D:$D, "*" &amp; AM$2 &amp; "*", 'Bucket Counts'!$A:$A, "="&amp;$A31))</f>
        <v>54416.666666666664</v>
      </c>
      <c r="AN31" s="398">
        <f>AM31+AL31</f>
        <v>72583.333333333328</v>
      </c>
      <c r="AO31" s="17">
        <f>SUMIFS(Collection!$O:$O, Collection!$B:$B, "*" &amp; AO$2 &amp; "*", Collection!$A:$A, "="&amp;$A31)</f>
        <v>0</v>
      </c>
      <c r="AP31" s="17">
        <f>(SUMIFS('Bucket Counts'!$P:$P, 'Bucket Counts'!$D:$D, "*" &amp; AP$2 &amp; "*", 'Bucket Counts'!$A:$A, "="&amp;$A31))</f>
        <v>0</v>
      </c>
      <c r="AQ31" s="398">
        <f>AP31+AO31</f>
        <v>0</v>
      </c>
      <c r="AR31" s="17">
        <f>SUMIFS(Collection!$O:$O, Collection!$B:$B, "*" &amp; AR$2 &amp; "*", Collection!$A:$A, "="&amp;$A31)</f>
        <v>0</v>
      </c>
      <c r="AS31" s="17">
        <f>(SUMIFS('Bucket Counts'!$P:$P, 'Bucket Counts'!$D:$D, "*" &amp; AS$2 &amp; "*", 'Bucket Counts'!$A:$A, "="&amp;$A31))</f>
        <v>74338.333333333328</v>
      </c>
      <c r="AT31" s="398">
        <f>AS31+AR31</f>
        <v>74338.333333333328</v>
      </c>
      <c r="AU31" s="17">
        <f>SUMIFS(Collection!$O:$O, Collection!$B:$B, "*" &amp; AU$2 &amp; "*", Collection!$A:$A, "="&amp;$A31)</f>
        <v>0</v>
      </c>
      <c r="AV31" s="17">
        <f>(SUMIFS('Bucket Counts'!$P:$P, 'Bucket Counts'!$D:$D, "*" &amp; AV$2 &amp; "*", 'Bucket Counts'!$A:$A, "="&amp;$A31))</f>
        <v>33256.666666666672</v>
      </c>
      <c r="AW31" s="398">
        <f>AV31+AU31</f>
        <v>33256.666666666672</v>
      </c>
    </row>
    <row r="32" spans="1:49">
      <c r="A32" s="16">
        <f t="shared" si="0"/>
        <v>42902</v>
      </c>
      <c r="B32" s="397">
        <f>SUMIFS(Collection!$O:$O, Collection!$B:$B, "*" &amp; B$2 &amp; "*", Collection!$A:$A, "="&amp;$A32)</f>
        <v>0</v>
      </c>
      <c r="C32" s="118">
        <f>(SUMIFS('Bucket Counts'!$P:$P, 'Bucket Counts'!$D:$D, "*" &amp; C$2 &amp; "*", 'Bucket Counts'!$A:$A, "="&amp;$A32))</f>
        <v>0</v>
      </c>
      <c r="D32" s="398">
        <f>C31+SUM(B31:B32)</f>
        <v>141483.33333333334</v>
      </c>
      <c r="E32" s="397">
        <f>SUMIFS(Collection!$O:$O, Collection!$B:$B, "*" &amp; E$2 &amp; "*", Collection!$A:$A, "="&amp;$A32)</f>
        <v>0</v>
      </c>
      <c r="F32" s="118">
        <f>(SUMIFS('Bucket Counts'!$P:$P, 'Bucket Counts'!$D:$D, "*" &amp; F$2 &amp; "*", 'Bucket Counts'!$A:$A, "="&amp;$A32))</f>
        <v>0</v>
      </c>
      <c r="G32" s="398">
        <f>F31+SUM(E31:E32)</f>
        <v>0</v>
      </c>
      <c r="H32" s="397">
        <f>SUMIFS(Collection!$O:$O, Collection!$B:$B, "*" &amp; H$2 &amp; "*", Collection!$A:$A, "="&amp;$A32)</f>
        <v>0</v>
      </c>
      <c r="I32" s="118">
        <f>(SUMIFS('Bucket Counts'!$P:$P, 'Bucket Counts'!$D:$D, "*" &amp; I$2 &amp; "*", 'Bucket Counts'!$A:$A, "="&amp;$A32))</f>
        <v>0</v>
      </c>
      <c r="J32" s="398">
        <f>I31+SUM(H31:H32)</f>
        <v>25116.666666666664</v>
      </c>
      <c r="K32" s="17">
        <f>SUMIFS(Collection!$O:$O, Collection!$B:$B, "*" &amp; K$2 &amp; "*", Collection!$A:$A, "="&amp;$A32)</f>
        <v>0</v>
      </c>
      <c r="L32" s="17">
        <f>(SUMIFS('Bucket Counts'!$P:$P, 'Bucket Counts'!$D:$D, "*" &amp; L$2 &amp; "*", 'Bucket Counts'!$A:$A, "="&amp;$A32))</f>
        <v>0</v>
      </c>
      <c r="M32" s="398">
        <f>L31+SUM(K31:K32)</f>
        <v>69823.333333333328</v>
      </c>
      <c r="N32" s="17">
        <f>SUMIFS(Collection!$O:$O, Collection!$B:$B, "*" &amp; N$2 &amp; "*", Collection!$A:$A, "="&amp;$A32)</f>
        <v>0</v>
      </c>
      <c r="O32" s="17">
        <f>(SUMIFS('Bucket Counts'!$P:$P, 'Bucket Counts'!$D:$D, "*" &amp; O$2 &amp; "*", 'Bucket Counts'!$A:$A, "="&amp;$A32))</f>
        <v>0</v>
      </c>
      <c r="P32" s="398">
        <f>O31+SUM(N31:N32)</f>
        <v>178576.66666666666</v>
      </c>
      <c r="Q32" s="17">
        <f>SUMIFS(Collection!$O:$O, Collection!$B:$B, "*" &amp; Q$2 &amp; "*", Collection!$A:$A, "="&amp;$A32)</f>
        <v>0</v>
      </c>
      <c r="R32" s="17">
        <f>(SUMIFS('Bucket Counts'!$P:$P, 'Bucket Counts'!$D:$D, "*" &amp; R$2 &amp; "*", 'Bucket Counts'!$A:$A, "="&amp;$A32))</f>
        <v>0</v>
      </c>
      <c r="S32" s="398">
        <f>R31+SUM(Q31:Q32)</f>
        <v>48000</v>
      </c>
      <c r="T32" s="17">
        <f>SUMIFS(Collection!$O:$O, Collection!$B:$B, "*" &amp; T$2 &amp; "*", Collection!$A:$A, "="&amp;$A32)</f>
        <v>0</v>
      </c>
      <c r="U32" s="17">
        <f>(SUMIFS('Bucket Counts'!$P:$P, 'Bucket Counts'!$D:$D, "*" &amp; U$2 &amp; "*", 'Bucket Counts'!$A:$A, "="&amp;$A32))</f>
        <v>0</v>
      </c>
      <c r="V32" s="398">
        <f>U31+SUM(T31:T32)</f>
        <v>80625</v>
      </c>
      <c r="W32" s="17">
        <f>SUMIFS(Collection!$O:$O, Collection!$B:$B, "*" &amp; W$2 &amp; "*", Collection!$A:$A, "="&amp;$A32)</f>
        <v>0</v>
      </c>
      <c r="X32" s="17">
        <f>(SUMIFS('Bucket Counts'!$P:$P, 'Bucket Counts'!$D:$D, "*" &amp; X$2 &amp; "*", 'Bucket Counts'!$A:$A, "="&amp;$A32))</f>
        <v>0</v>
      </c>
      <c r="Y32" s="398">
        <f>X31+SUM(W31:W32)</f>
        <v>144086.66666666669</v>
      </c>
      <c r="Z32" s="17">
        <f>SUMIFS(Collection!$O:$O, Collection!$B:$B, "*" &amp; Z$2 &amp; "*", Collection!$A:$A, "="&amp;$A32)</f>
        <v>0</v>
      </c>
      <c r="AA32" s="17">
        <f>(SUMIFS('Bucket Counts'!$P:$P, 'Bucket Counts'!$D:$D, "*" &amp; AA$2 &amp; "*", 'Bucket Counts'!$A:$A, "="&amp;$A32))</f>
        <v>0</v>
      </c>
      <c r="AB32" s="398">
        <f>AA31+SUM(Z31:Z32)</f>
        <v>52096.666666666664</v>
      </c>
      <c r="AC32" s="17">
        <f>SUMIFS(Collection!$O:$O, Collection!$B:$B, "*" &amp; AC$2 &amp; "*", Collection!$A:$A, "="&amp;$A32)</f>
        <v>0</v>
      </c>
      <c r="AD32" s="17">
        <f>(SUMIFS('Bucket Counts'!$P:$P, 'Bucket Counts'!$D:$D, "*" &amp; AD$2 &amp; "*", 'Bucket Counts'!$A:$A, "="&amp;$A32))</f>
        <v>0</v>
      </c>
      <c r="AE32" s="398">
        <f>AD31+SUM(AC31:AC32)</f>
        <v>132258.33333333334</v>
      </c>
      <c r="AF32" s="17">
        <f>SUMIFS(Collection!$O:$O, Collection!$B:$B, "*" &amp; AF$2 &amp; "*", Collection!$A:$A, "="&amp;$A32)</f>
        <v>0</v>
      </c>
      <c r="AG32" s="17">
        <f>(SUMIFS('Bucket Counts'!$P:$P, 'Bucket Counts'!$D:$D, "*" &amp; AG$2 &amp; "*", 'Bucket Counts'!$A:$A, "="&amp;$A32))</f>
        <v>0</v>
      </c>
      <c r="AH32" s="398">
        <f>AG31+SUM(AF31:AF32)</f>
        <v>64266.666666666672</v>
      </c>
      <c r="AI32" s="17">
        <f>SUMIFS(Collection!$O:$O, Collection!$B:$B, "*" &amp; AI$2 &amp; "*", Collection!$A:$A, "="&amp;$A32)</f>
        <v>0</v>
      </c>
      <c r="AJ32" s="17">
        <f>(SUMIFS('Bucket Counts'!$P:$P, 'Bucket Counts'!$D:$D, "*" &amp; AJ$2 &amp; "*", 'Bucket Counts'!$A:$A, "="&amp;$A32))</f>
        <v>0</v>
      </c>
      <c r="AK32" s="398">
        <f>AJ31+SUM(AI31:AI32)</f>
        <v>28816.666666666664</v>
      </c>
      <c r="AL32" s="17">
        <f>SUMIFS(Collection!$O:$O, Collection!$B:$B, "*" &amp; AL$2 &amp; "*", Collection!$A:$A, "="&amp;$A32)</f>
        <v>0</v>
      </c>
      <c r="AM32" s="17">
        <f>(SUMIFS('Bucket Counts'!$P:$P, 'Bucket Counts'!$D:$D, "*" &amp; AM$2 &amp; "*", 'Bucket Counts'!$A:$A, "="&amp;$A32))</f>
        <v>0</v>
      </c>
      <c r="AN32" s="398">
        <f>AM31+SUM(AL31:AL32)</f>
        <v>72583.333333333328</v>
      </c>
      <c r="AO32" s="17">
        <f>SUMIFS(Collection!$O:$O, Collection!$B:$B, "*" &amp; AO$2 &amp; "*", Collection!$A:$A, "="&amp;$A32)</f>
        <v>0</v>
      </c>
      <c r="AP32" s="17">
        <f>(SUMIFS('Bucket Counts'!$P:$P, 'Bucket Counts'!$D:$D, "*" &amp; AP$2 &amp; "*", 'Bucket Counts'!$A:$A, "="&amp;$A32))</f>
        <v>0</v>
      </c>
      <c r="AQ32" s="398">
        <f>AP31+SUM(AO31:AO32)</f>
        <v>0</v>
      </c>
      <c r="AR32" s="17">
        <f>SUMIFS(Collection!$O:$O, Collection!$B:$B, "*" &amp; AR$2 &amp; "*", Collection!$A:$A, "="&amp;$A32)</f>
        <v>0</v>
      </c>
      <c r="AS32" s="17">
        <f>(SUMIFS('Bucket Counts'!$P:$P, 'Bucket Counts'!$D:$D, "*" &amp; AS$2 &amp; "*", 'Bucket Counts'!$A:$A, "="&amp;$A32))</f>
        <v>0</v>
      </c>
      <c r="AT32" s="398">
        <f>AS31+SUM(AR31:AR32)</f>
        <v>74338.333333333328</v>
      </c>
      <c r="AU32" s="17">
        <f>SUMIFS(Collection!$O:$O, Collection!$B:$B, "*" &amp; AU$2 &amp; "*", Collection!$A:$A, "="&amp;$A32)</f>
        <v>0</v>
      </c>
      <c r="AV32" s="17">
        <f>(SUMIFS('Bucket Counts'!$P:$P, 'Bucket Counts'!$D:$D, "*" &amp; AV$2 &amp; "*", 'Bucket Counts'!$A:$A, "="&amp;$A32))</f>
        <v>0</v>
      </c>
      <c r="AW32" s="398">
        <f>AV31+SUM(AU31:AU32)</f>
        <v>33256.666666666672</v>
      </c>
    </row>
    <row r="33" spans="1:49">
      <c r="A33" s="16">
        <f t="shared" si="0"/>
        <v>42903</v>
      </c>
      <c r="B33" s="397">
        <f>SUMIFS(Collection!$O:$O, Collection!$B:$B, "*" &amp; B$2 &amp; "*", Collection!$A:$A, "="&amp;$A33)</f>
        <v>666.66666666666663</v>
      </c>
      <c r="C33" s="118">
        <f>(SUMIFS('Bucket Counts'!$P:$P, 'Bucket Counts'!$D:$D, "*" &amp; C$2 &amp; "*", 'Bucket Counts'!$A:$A, "="&amp;$A33))</f>
        <v>0</v>
      </c>
      <c r="D33" s="398">
        <f>C31+SUM(B31:B33)</f>
        <v>142150</v>
      </c>
      <c r="E33" s="397">
        <f>SUMIFS(Collection!$O:$O, Collection!$B:$B, "*" &amp; E$2 &amp; "*", Collection!$A:$A, "="&amp;$A33)</f>
        <v>0</v>
      </c>
      <c r="F33" s="118">
        <f>(SUMIFS('Bucket Counts'!$P:$P, 'Bucket Counts'!$D:$D, "*" &amp; F$2 &amp; "*", 'Bucket Counts'!$A:$A, "="&amp;$A33))</f>
        <v>0</v>
      </c>
      <c r="G33" s="398">
        <f>F31+SUM(E31:E33)</f>
        <v>0</v>
      </c>
      <c r="H33" s="397">
        <f>SUMIFS(Collection!$O:$O, Collection!$B:$B, "*" &amp; H$2 &amp; "*", Collection!$A:$A, "="&amp;$A33)</f>
        <v>0</v>
      </c>
      <c r="I33" s="118">
        <f>(SUMIFS('Bucket Counts'!$P:$P, 'Bucket Counts'!$D:$D, "*" &amp; I$2 &amp; "*", 'Bucket Counts'!$A:$A, "="&amp;$A33))</f>
        <v>0</v>
      </c>
      <c r="J33" s="398">
        <f>I31+SUM(H31:H33)</f>
        <v>25116.666666666664</v>
      </c>
      <c r="K33" s="17">
        <f>SUMIFS(Collection!$O:$O, Collection!$B:$B, "*" &amp; K$2 &amp; "*", Collection!$A:$A, "="&amp;$A33)</f>
        <v>0</v>
      </c>
      <c r="L33" s="17">
        <f>(SUMIFS('Bucket Counts'!$P:$P, 'Bucket Counts'!$D:$D, "*" &amp; L$2 &amp; "*", 'Bucket Counts'!$A:$A, "="&amp;$A33))</f>
        <v>0</v>
      </c>
      <c r="M33" s="398">
        <f>L31+SUM(K31:K33)</f>
        <v>69823.333333333328</v>
      </c>
      <c r="N33" s="17">
        <f>SUMIFS(Collection!$O:$O, Collection!$B:$B, "*" &amp; N$2 &amp; "*", Collection!$A:$A, "="&amp;$A33)</f>
        <v>1166.6666666666667</v>
      </c>
      <c r="O33" s="17">
        <f>(SUMIFS('Bucket Counts'!$P:$P, 'Bucket Counts'!$D:$D, "*" &amp; O$2 &amp; "*", 'Bucket Counts'!$A:$A, "="&amp;$A33))</f>
        <v>0</v>
      </c>
      <c r="P33" s="398">
        <f>O31+SUM(N31:N33)</f>
        <v>179743.33333333331</v>
      </c>
      <c r="Q33" s="17">
        <f>SUMIFS(Collection!$O:$O, Collection!$B:$B, "*" &amp; Q$2 &amp; "*", Collection!$A:$A, "="&amp;$A33)</f>
        <v>1866.6666666666665</v>
      </c>
      <c r="R33" s="17">
        <f>(SUMIFS('Bucket Counts'!$P:$P, 'Bucket Counts'!$D:$D, "*" &amp; R$2 &amp; "*", 'Bucket Counts'!$A:$A, "="&amp;$A33))</f>
        <v>0</v>
      </c>
      <c r="S33" s="398">
        <f>R31+SUM(Q31:Q33)</f>
        <v>49866.666666666664</v>
      </c>
      <c r="T33" s="17">
        <f>SUMIFS(Collection!$O:$O, Collection!$B:$B, "*" &amp; T$2 &amp; "*", Collection!$A:$A, "="&amp;$A33)</f>
        <v>65333.333333333328</v>
      </c>
      <c r="U33" s="17">
        <f>(SUMIFS('Bucket Counts'!$P:$P, 'Bucket Counts'!$D:$D, "*" &amp; U$2 &amp; "*", 'Bucket Counts'!$A:$A, "="&amp;$A33))</f>
        <v>0</v>
      </c>
      <c r="V33" s="398">
        <f>U31+SUM(T31:T33)</f>
        <v>145958.33333333331</v>
      </c>
      <c r="W33" s="17">
        <f>SUMIFS(Collection!$O:$O, Collection!$B:$B, "*" &amp; W$2 &amp; "*", Collection!$A:$A, "="&amp;$A33)</f>
        <v>59833.333333333336</v>
      </c>
      <c r="X33" s="17">
        <f>(SUMIFS('Bucket Counts'!$P:$P, 'Bucket Counts'!$D:$D, "*" &amp; X$2 &amp; "*", 'Bucket Counts'!$A:$A, "="&amp;$A33))</f>
        <v>0</v>
      </c>
      <c r="Y33" s="398">
        <f>X31+SUM(W31:W33)</f>
        <v>203920</v>
      </c>
      <c r="Z33" s="17">
        <f>SUMIFS(Collection!$O:$O, Collection!$B:$B, "*" &amp; Z$2 &amp; "*", Collection!$A:$A, "="&amp;$A33)</f>
        <v>0</v>
      </c>
      <c r="AA33" s="17">
        <f>(SUMIFS('Bucket Counts'!$P:$P, 'Bucket Counts'!$D:$D, "*" &amp; AA$2 &amp; "*", 'Bucket Counts'!$A:$A, "="&amp;$A33))</f>
        <v>0</v>
      </c>
      <c r="AB33" s="398">
        <f>AA31+SUM(Z31:Z33)</f>
        <v>52096.666666666664</v>
      </c>
      <c r="AC33" s="17">
        <f>SUMIFS(Collection!$O:$O, Collection!$B:$B, "*" &amp; AC$2 &amp; "*", Collection!$A:$A, "="&amp;$A33)</f>
        <v>31150</v>
      </c>
      <c r="AD33" s="17">
        <f>(SUMIFS('Bucket Counts'!$P:$P, 'Bucket Counts'!$D:$D, "*" &amp; AD$2 &amp; "*", 'Bucket Counts'!$A:$A, "="&amp;$A33))</f>
        <v>0</v>
      </c>
      <c r="AE33" s="398">
        <f>AD31+SUM(AC31:AC33)</f>
        <v>163408.33333333334</v>
      </c>
      <c r="AF33" s="17">
        <f>SUMIFS(Collection!$O:$O, Collection!$B:$B, "*" &amp; AF$2 &amp; "*", Collection!$A:$A, "="&amp;$A33)</f>
        <v>0</v>
      </c>
      <c r="AG33" s="17">
        <f>(SUMIFS('Bucket Counts'!$P:$P, 'Bucket Counts'!$D:$D, "*" &amp; AG$2 &amp; "*", 'Bucket Counts'!$A:$A, "="&amp;$A33))</f>
        <v>0</v>
      </c>
      <c r="AH33" s="398">
        <f>AG31+SUM(AF31:AF33)</f>
        <v>64266.666666666672</v>
      </c>
      <c r="AI33" s="17">
        <f>SUMIFS(Collection!$O:$O, Collection!$B:$B, "*" &amp; AI$2 &amp; "*", Collection!$A:$A, "="&amp;$A33)</f>
        <v>111333.33333333333</v>
      </c>
      <c r="AJ33" s="17">
        <f>(SUMIFS('Bucket Counts'!$P:$P, 'Bucket Counts'!$D:$D, "*" &amp; AJ$2 &amp; "*", 'Bucket Counts'!$A:$A, "="&amp;$A33))</f>
        <v>0</v>
      </c>
      <c r="AK33" s="398">
        <f>AJ31+SUM(AI31:AI33)</f>
        <v>140150</v>
      </c>
      <c r="AL33" s="17">
        <f>SUMIFS(Collection!$O:$O, Collection!$B:$B, "*" &amp; AL$2 &amp; "*", Collection!$A:$A, "="&amp;$A33)</f>
        <v>12800</v>
      </c>
      <c r="AM33" s="17">
        <f>(SUMIFS('Bucket Counts'!$P:$P, 'Bucket Counts'!$D:$D, "*" &amp; AM$2 &amp; "*", 'Bucket Counts'!$A:$A, "="&amp;$A33))</f>
        <v>0</v>
      </c>
      <c r="AN33" s="398">
        <f>AM31+SUM(AL31:AL33)</f>
        <v>85383.333333333328</v>
      </c>
      <c r="AO33" s="17">
        <f>SUMIFS(Collection!$O:$O, Collection!$B:$B, "*" &amp; AO$2 &amp; "*", Collection!$A:$A, "="&amp;$A33)</f>
        <v>0</v>
      </c>
      <c r="AP33" s="17">
        <f>(SUMIFS('Bucket Counts'!$P:$P, 'Bucket Counts'!$D:$D, "*" &amp; AP$2 &amp; "*", 'Bucket Counts'!$A:$A, "="&amp;$A33))</f>
        <v>0</v>
      </c>
      <c r="AQ33" s="398">
        <f>AP31+SUM(AO31:AO33)</f>
        <v>0</v>
      </c>
      <c r="AR33" s="17">
        <f>SUMIFS(Collection!$O:$O, Collection!$B:$B, "*" &amp; AR$2 &amp; "*", Collection!$A:$A, "="&amp;$A33)</f>
        <v>0</v>
      </c>
      <c r="AS33" s="17">
        <f>(SUMIFS('Bucket Counts'!$P:$P, 'Bucket Counts'!$D:$D, "*" &amp; AS$2 &amp; "*", 'Bucket Counts'!$A:$A, "="&amp;$A33))</f>
        <v>0</v>
      </c>
      <c r="AT33" s="398">
        <f>AS31+SUM(AR31:AR33)</f>
        <v>74338.333333333328</v>
      </c>
      <c r="AU33" s="17">
        <f>SUMIFS(Collection!$O:$O, Collection!$B:$B, "*" &amp; AU$2 &amp; "*", Collection!$A:$A, "="&amp;$A33)</f>
        <v>0</v>
      </c>
      <c r="AV33" s="17">
        <f>(SUMIFS('Bucket Counts'!$P:$P, 'Bucket Counts'!$D:$D, "*" &amp; AV$2 &amp; "*", 'Bucket Counts'!$A:$A, "="&amp;$A33))</f>
        <v>0</v>
      </c>
      <c r="AW33" s="398">
        <f>AV31+SUM(AU31:AU33)</f>
        <v>33256.666666666672</v>
      </c>
    </row>
    <row r="34" spans="1:49">
      <c r="A34" s="16">
        <f t="shared" si="0"/>
        <v>42904</v>
      </c>
      <c r="B34" s="397">
        <f>SUMIFS(Collection!$O:$O, Collection!$B:$B, "*" &amp; B$2 &amp; "*", Collection!$A:$A, "="&amp;$A34)</f>
        <v>0</v>
      </c>
      <c r="C34" s="118">
        <f>(SUMIFS('Bucket Counts'!$P:$P, 'Bucket Counts'!$D:$D, "*" &amp; C$2 &amp; "*", 'Bucket Counts'!$A:$A, "="&amp;$A34))</f>
        <v>0</v>
      </c>
      <c r="D34" s="398">
        <f>C31+SUM(B31:B34)</f>
        <v>142150</v>
      </c>
      <c r="E34" s="397">
        <f>SUMIFS(Collection!$O:$O, Collection!$B:$B, "*" &amp; E$2 &amp; "*", Collection!$A:$A, "="&amp;$A34)</f>
        <v>0</v>
      </c>
      <c r="F34" s="118">
        <f>(SUMIFS('Bucket Counts'!$P:$P, 'Bucket Counts'!$D:$D, "*" &amp; F$2 &amp; "*", 'Bucket Counts'!$A:$A, "="&amp;$A34))</f>
        <v>0</v>
      </c>
      <c r="G34" s="398">
        <f>F31+SUM(E31:E34)</f>
        <v>0</v>
      </c>
      <c r="H34" s="397">
        <f>SUMIFS(Collection!$O:$O, Collection!$B:$B, "*" &amp; H$2 &amp; "*", Collection!$A:$A, "="&amp;$A34)</f>
        <v>0</v>
      </c>
      <c r="I34" s="118">
        <f>(SUMIFS('Bucket Counts'!$P:$P, 'Bucket Counts'!$D:$D, "*" &amp; I$2 &amp; "*", 'Bucket Counts'!$A:$A, "="&amp;$A34))</f>
        <v>0</v>
      </c>
      <c r="J34" s="398">
        <f>I31+SUM(H31:H34)</f>
        <v>25116.666666666664</v>
      </c>
      <c r="K34" s="17">
        <f>SUMIFS(Collection!$O:$O, Collection!$B:$B, "*" &amp; K$2 &amp; "*", Collection!$A:$A, "="&amp;$A34)</f>
        <v>0</v>
      </c>
      <c r="L34" s="17">
        <f>(SUMIFS('Bucket Counts'!$P:$P, 'Bucket Counts'!$D:$D, "*" &amp; L$2 &amp; "*", 'Bucket Counts'!$A:$A, "="&amp;$A34))</f>
        <v>0</v>
      </c>
      <c r="M34" s="398">
        <f>L31+SUM(K31:K34)</f>
        <v>69823.333333333328</v>
      </c>
      <c r="N34" s="17">
        <f>SUMIFS(Collection!$O:$O, Collection!$B:$B, "*" &amp; N$2 &amp; "*", Collection!$A:$A, "="&amp;$A34)</f>
        <v>0</v>
      </c>
      <c r="O34" s="17">
        <f>(SUMIFS('Bucket Counts'!$P:$P, 'Bucket Counts'!$D:$D, "*" &amp; O$2 &amp; "*", 'Bucket Counts'!$A:$A, "="&amp;$A34))</f>
        <v>0</v>
      </c>
      <c r="P34" s="398">
        <f>O31+SUM(N31:N34)</f>
        <v>179743.33333333331</v>
      </c>
      <c r="Q34" s="17">
        <f>SUMIFS(Collection!$O:$O, Collection!$B:$B, "*" &amp; Q$2 &amp; "*", Collection!$A:$A, "="&amp;$A34)</f>
        <v>0</v>
      </c>
      <c r="R34" s="17">
        <f>(SUMIFS('Bucket Counts'!$P:$P, 'Bucket Counts'!$D:$D, "*" &amp; R$2 &amp; "*", 'Bucket Counts'!$A:$A, "="&amp;$A34))</f>
        <v>0</v>
      </c>
      <c r="S34" s="398">
        <f>R31+SUM(Q31:Q34)</f>
        <v>49866.666666666664</v>
      </c>
      <c r="T34" s="17">
        <f>SUMIFS(Collection!$O:$O, Collection!$B:$B, "*" &amp; T$2 &amp; "*", Collection!$A:$A, "="&amp;$A34)</f>
        <v>0</v>
      </c>
      <c r="U34" s="17">
        <f>(SUMIFS('Bucket Counts'!$P:$P, 'Bucket Counts'!$D:$D, "*" &amp; U$2 &amp; "*", 'Bucket Counts'!$A:$A, "="&amp;$A34))</f>
        <v>0</v>
      </c>
      <c r="V34" s="398">
        <f>U31+SUM(T31:T34)</f>
        <v>145958.33333333331</v>
      </c>
      <c r="W34" s="17">
        <f>SUMIFS(Collection!$O:$O, Collection!$B:$B, "*" &amp; W$2 &amp; "*", Collection!$A:$A, "="&amp;$A34)</f>
        <v>0</v>
      </c>
      <c r="X34" s="17">
        <f>(SUMIFS('Bucket Counts'!$P:$P, 'Bucket Counts'!$D:$D, "*" &amp; X$2 &amp; "*", 'Bucket Counts'!$A:$A, "="&amp;$A34))</f>
        <v>0</v>
      </c>
      <c r="Y34" s="398">
        <f>X31+SUM(W31:W34)</f>
        <v>203920</v>
      </c>
      <c r="Z34" s="17">
        <f>SUMIFS(Collection!$O:$O, Collection!$B:$B, "*" &amp; Z$2 &amp; "*", Collection!$A:$A, "="&amp;$A34)</f>
        <v>0</v>
      </c>
      <c r="AA34" s="17">
        <f>(SUMIFS('Bucket Counts'!$P:$P, 'Bucket Counts'!$D:$D, "*" &amp; AA$2 &amp; "*", 'Bucket Counts'!$A:$A, "="&amp;$A34))</f>
        <v>0</v>
      </c>
      <c r="AB34" s="398">
        <f>AA31+SUM(Z31:Z34)</f>
        <v>52096.666666666664</v>
      </c>
      <c r="AC34" s="17">
        <f>SUMIFS(Collection!$O:$O, Collection!$B:$B, "*" &amp; AC$2 &amp; "*", Collection!$A:$A, "="&amp;$A34)</f>
        <v>0</v>
      </c>
      <c r="AD34" s="17">
        <f>(SUMIFS('Bucket Counts'!$P:$P, 'Bucket Counts'!$D:$D, "*" &amp; AD$2 &amp; "*", 'Bucket Counts'!$A:$A, "="&amp;$A34))</f>
        <v>0</v>
      </c>
      <c r="AE34" s="398">
        <f>AD31+SUM(AC31:AC34)</f>
        <v>163408.33333333334</v>
      </c>
      <c r="AF34" s="17">
        <f>SUMIFS(Collection!$O:$O, Collection!$B:$B, "*" &amp; AF$2 &amp; "*", Collection!$A:$A, "="&amp;$A34)</f>
        <v>0</v>
      </c>
      <c r="AG34" s="17">
        <f>(SUMIFS('Bucket Counts'!$P:$P, 'Bucket Counts'!$D:$D, "*" &amp; AG$2 &amp; "*", 'Bucket Counts'!$A:$A, "="&amp;$A34))</f>
        <v>0</v>
      </c>
      <c r="AH34" s="398">
        <f>AG31+SUM(AF31:AF34)</f>
        <v>64266.666666666672</v>
      </c>
      <c r="AI34" s="17">
        <f>SUMIFS(Collection!$O:$O, Collection!$B:$B, "*" &amp; AI$2 &amp; "*", Collection!$A:$A, "="&amp;$A34)</f>
        <v>0</v>
      </c>
      <c r="AJ34" s="17">
        <f>(SUMIFS('Bucket Counts'!$P:$P, 'Bucket Counts'!$D:$D, "*" &amp; AJ$2 &amp; "*", 'Bucket Counts'!$A:$A, "="&amp;$A34))</f>
        <v>0</v>
      </c>
      <c r="AK34" s="398">
        <f>AJ31+SUM(AI31:AI34)</f>
        <v>140150</v>
      </c>
      <c r="AL34" s="17">
        <f>SUMIFS(Collection!$O:$O, Collection!$B:$B, "*" &amp; AL$2 &amp; "*", Collection!$A:$A, "="&amp;$A34)</f>
        <v>0</v>
      </c>
      <c r="AM34" s="17">
        <f>(SUMIFS('Bucket Counts'!$P:$P, 'Bucket Counts'!$D:$D, "*" &amp; AM$2 &amp; "*", 'Bucket Counts'!$A:$A, "="&amp;$A34))</f>
        <v>0</v>
      </c>
      <c r="AN34" s="398">
        <f>AM31+SUM(AL31:AL34)</f>
        <v>85383.333333333328</v>
      </c>
      <c r="AO34" s="17">
        <f>SUMIFS(Collection!$O:$O, Collection!$B:$B, "*" &amp; AO$2 &amp; "*", Collection!$A:$A, "="&amp;$A34)</f>
        <v>0</v>
      </c>
      <c r="AP34" s="17">
        <f>(SUMIFS('Bucket Counts'!$P:$P, 'Bucket Counts'!$D:$D, "*" &amp; AP$2 &amp; "*", 'Bucket Counts'!$A:$A, "="&amp;$A34))</f>
        <v>0</v>
      </c>
      <c r="AQ34" s="398">
        <f>AP31+SUM(AO31:AO34)</f>
        <v>0</v>
      </c>
      <c r="AR34" s="17">
        <f>SUMIFS(Collection!$O:$O, Collection!$B:$B, "*" &amp; AR$2 &amp; "*", Collection!$A:$A, "="&amp;$A34)</f>
        <v>0</v>
      </c>
      <c r="AS34" s="17">
        <f>(SUMIFS('Bucket Counts'!$P:$P, 'Bucket Counts'!$D:$D, "*" &amp; AS$2 &amp; "*", 'Bucket Counts'!$A:$A, "="&amp;$A34))</f>
        <v>0</v>
      </c>
      <c r="AT34" s="398">
        <f>AS31+SUM(AR31:AR34)</f>
        <v>74338.333333333328</v>
      </c>
      <c r="AU34" s="17">
        <f>SUMIFS(Collection!$O:$O, Collection!$B:$B, "*" &amp; AU$2 &amp; "*", Collection!$A:$A, "="&amp;$A34)</f>
        <v>0</v>
      </c>
      <c r="AV34" s="17">
        <f>(SUMIFS('Bucket Counts'!$P:$P, 'Bucket Counts'!$D:$D, "*" &amp; AV$2 &amp; "*", 'Bucket Counts'!$A:$A, "="&amp;$A34))</f>
        <v>0</v>
      </c>
      <c r="AW34" s="398">
        <f>AV31+SUM(AU31:AU34)</f>
        <v>33256.666666666672</v>
      </c>
    </row>
    <row r="35" spans="1:49">
      <c r="A35" s="16">
        <f t="shared" si="0"/>
        <v>42905</v>
      </c>
      <c r="B35" s="397">
        <f>SUMIFS(Collection!$O:$O, Collection!$B:$B, "*" &amp; B$2 &amp; "*", Collection!$A:$A, "="&amp;$A35)</f>
        <v>0</v>
      </c>
      <c r="C35" s="118">
        <f>(SUMIFS('Bucket Counts'!$P:$P, 'Bucket Counts'!$D:$D, "*" &amp; C$2 &amp; "*", 'Bucket Counts'!$A:$A, "="&amp;$A35))</f>
        <v>74000</v>
      </c>
      <c r="D35" s="398">
        <f>C35+B35</f>
        <v>74000</v>
      </c>
      <c r="E35" s="397">
        <f>SUMIFS(Collection!$O:$O, Collection!$B:$B, "*" &amp; E$2 &amp; "*", Collection!$A:$A, "="&amp;$A35)</f>
        <v>0</v>
      </c>
      <c r="F35" s="118">
        <f>(SUMIFS('Bucket Counts'!$P:$P, 'Bucket Counts'!$D:$D, "*" &amp; F$2 &amp; "*", 'Bucket Counts'!$A:$A, "="&amp;$A35))</f>
        <v>0</v>
      </c>
      <c r="G35" s="398">
        <f>F35+E35</f>
        <v>0</v>
      </c>
      <c r="H35" s="397">
        <f>SUMIFS(Collection!$O:$O, Collection!$B:$B, "*" &amp; H$2 &amp; "*", Collection!$A:$A, "="&amp;$A35)</f>
        <v>0</v>
      </c>
      <c r="I35" s="118">
        <f>(SUMIFS('Bucket Counts'!$P:$P, 'Bucket Counts'!$D:$D, "*" &amp; I$2 &amp; "*", 'Bucket Counts'!$A:$A, "="&amp;$A35))</f>
        <v>20360</v>
      </c>
      <c r="J35" s="398">
        <f>I35+H35</f>
        <v>20360</v>
      </c>
      <c r="K35" s="17">
        <f>SUMIFS(Collection!$O:$O, Collection!$B:$B, "*" &amp; K$2 &amp; "*", Collection!$A:$A, "="&amp;$A35)</f>
        <v>59640</v>
      </c>
      <c r="L35" s="17">
        <f>(SUMIFS('Bucket Counts'!$P:$P, 'Bucket Counts'!$D:$D, "*" &amp; L$2 &amp; "*", 'Bucket Counts'!$A:$A, "="&amp;$A35))</f>
        <v>65113.333333333336</v>
      </c>
      <c r="M35" s="398">
        <f>L35+K35</f>
        <v>124753.33333333334</v>
      </c>
      <c r="N35" s="17">
        <f>SUMIFS(Collection!$O:$O, Collection!$B:$B, "*" &amp; N$2 &amp; "*", Collection!$A:$A, "="&amp;$A35)</f>
        <v>0</v>
      </c>
      <c r="O35" s="17">
        <f>(SUMIFS('Bucket Counts'!$P:$P, 'Bucket Counts'!$D:$D, "*" &amp; O$2 &amp; "*", 'Bucket Counts'!$A:$A, "="&amp;$A35))</f>
        <v>103206.66666666666</v>
      </c>
      <c r="P35" s="398">
        <f>O35+N35</f>
        <v>103206.66666666666</v>
      </c>
      <c r="Q35" s="17">
        <f>SUMIFS(Collection!$O:$O, Collection!$B:$B, "*" &amp; Q$2 &amp; "*", Collection!$A:$A, "="&amp;$A35)</f>
        <v>0</v>
      </c>
      <c r="R35" s="17">
        <f>(SUMIFS('Bucket Counts'!$P:$P, 'Bucket Counts'!$D:$D, "*" &amp; R$2 &amp; "*", 'Bucket Counts'!$A:$A, "="&amp;$A35))</f>
        <v>0</v>
      </c>
      <c r="S35" s="398">
        <f>R35+Q35</f>
        <v>0</v>
      </c>
      <c r="T35" s="17">
        <f>SUMIFS(Collection!$O:$O, Collection!$B:$B, "*" &amp; T$2 &amp; "*", Collection!$A:$A, "="&amp;$A35)</f>
        <v>86020</v>
      </c>
      <c r="U35" s="17">
        <f>(SUMIFS('Bucket Counts'!$P:$P, 'Bucket Counts'!$D:$D, "*" &amp; U$2 &amp; "*", 'Bucket Counts'!$A:$A, "="&amp;$A35))</f>
        <v>55603.333333333336</v>
      </c>
      <c r="V35" s="398">
        <f>U35+T35</f>
        <v>141623.33333333334</v>
      </c>
      <c r="W35" s="17">
        <f>SUMIFS(Collection!$O:$O, Collection!$B:$B, "*" &amp; W$2 &amp; "*", Collection!$A:$A, "="&amp;$A35)</f>
        <v>0</v>
      </c>
      <c r="X35" s="17">
        <f>(SUMIFS('Bucket Counts'!$P:$P, 'Bucket Counts'!$D:$D, "*" &amp; X$2 &amp; "*", 'Bucket Counts'!$A:$A, "="&amp;$A35))</f>
        <v>47473.333333333343</v>
      </c>
      <c r="Y35" s="398">
        <f>X35+W35</f>
        <v>47473.333333333343</v>
      </c>
      <c r="Z35" s="17">
        <f>SUMIFS(Collection!$O:$O, Collection!$B:$B, "*" &amp; Z$2 &amp; "*", Collection!$A:$A, "="&amp;$A35)</f>
        <v>53456.666666666672</v>
      </c>
      <c r="AA35" s="17">
        <f>(SUMIFS('Bucket Counts'!$P:$P, 'Bucket Counts'!$D:$D, "*" &amp; AA$2 &amp; "*", 'Bucket Counts'!$A:$A, "="&amp;$A35))</f>
        <v>26033.333333333328</v>
      </c>
      <c r="AB35" s="398">
        <f>AA35+Z35</f>
        <v>79490</v>
      </c>
      <c r="AC35" s="17">
        <f>SUMIFS(Collection!$O:$O, Collection!$B:$B, "*" &amp; AC$2 &amp; "*", Collection!$A:$A, "="&amp;$A35)</f>
        <v>125</v>
      </c>
      <c r="AD35" s="17">
        <f>(SUMIFS('Bucket Counts'!$P:$P, 'Bucket Counts'!$D:$D, "*" &amp; AD$2 &amp; "*", 'Bucket Counts'!$A:$A, "="&amp;$A35))</f>
        <v>99826.666666666657</v>
      </c>
      <c r="AE35" s="398">
        <f>AD35+AC35</f>
        <v>99951.666666666657</v>
      </c>
      <c r="AF35" s="17">
        <f>SUMIFS(Collection!$O:$O, Collection!$B:$B, "*" &amp; AF$2 &amp; "*", Collection!$A:$A, "="&amp;$A35)</f>
        <v>0</v>
      </c>
      <c r="AG35" s="17">
        <f>(SUMIFS('Bucket Counts'!$P:$P, 'Bucket Counts'!$D:$D, "*" &amp; AG$2 &amp; "*", 'Bucket Counts'!$A:$A, "="&amp;$A35))</f>
        <v>37566.666666666672</v>
      </c>
      <c r="AH35" s="398">
        <f>AG35+AF35</f>
        <v>37566.666666666672</v>
      </c>
      <c r="AI35" s="17">
        <f>SUMIFS(Collection!$O:$O, Collection!$B:$B, "*" &amp; AI$2 &amp; "*", Collection!$A:$A, "="&amp;$A35)</f>
        <v>50000</v>
      </c>
      <c r="AJ35" s="17">
        <f>(SUMIFS('Bucket Counts'!$P:$P, 'Bucket Counts'!$D:$D, "*" &amp; AJ$2 &amp; "*", 'Bucket Counts'!$A:$A, "="&amp;$A35))</f>
        <v>102833.33333333334</v>
      </c>
      <c r="AK35" s="398">
        <f>AJ35+AI35</f>
        <v>152833.33333333334</v>
      </c>
      <c r="AL35" s="17">
        <f>SUMIFS(Collection!$O:$O, Collection!$B:$B, "*" &amp; AL$2 &amp; "*", Collection!$A:$A, "="&amp;$A35)</f>
        <v>0</v>
      </c>
      <c r="AM35" s="17">
        <f>(SUMIFS('Bucket Counts'!$P:$P, 'Bucket Counts'!$D:$D, "*" &amp; AM$2 &amp; "*", 'Bucket Counts'!$A:$A, "="&amp;$A35))</f>
        <v>35666.666666666664</v>
      </c>
      <c r="AN35" s="398">
        <f>AM35+AL35</f>
        <v>35666.666666666664</v>
      </c>
      <c r="AO35" s="17">
        <f>SUMIFS(Collection!$O:$O, Collection!$B:$B, "*" &amp; AO$2 &amp; "*", Collection!$A:$A, "="&amp;$A35)</f>
        <v>0</v>
      </c>
      <c r="AP35" s="17">
        <f>(SUMIFS('Bucket Counts'!$P:$P, 'Bucket Counts'!$D:$D, "*" &amp; AP$2 &amp; "*", 'Bucket Counts'!$A:$A, "="&amp;$A35))</f>
        <v>0</v>
      </c>
      <c r="AQ35" s="398">
        <f>AP35+AO35</f>
        <v>0</v>
      </c>
      <c r="AR35" s="17">
        <f>SUMIFS(Collection!$O:$O, Collection!$B:$B, "*" &amp; AR$2 &amp; "*", Collection!$A:$A, "="&amp;$A35)</f>
        <v>51150</v>
      </c>
      <c r="AS35" s="17">
        <f>(SUMIFS('Bucket Counts'!$P:$P, 'Bucket Counts'!$D:$D, "*" &amp; AS$2 &amp; "*", 'Bucket Counts'!$A:$A, "="&amp;$A35))</f>
        <v>40340</v>
      </c>
      <c r="AT35" s="398">
        <f>AS35+AR35</f>
        <v>91490</v>
      </c>
      <c r="AU35" s="17">
        <f>SUMIFS(Collection!$O:$O, Collection!$B:$B, "*" &amp; AU$2 &amp; "*", Collection!$A:$A, "="&amp;$A35)</f>
        <v>0</v>
      </c>
      <c r="AV35" s="17">
        <f>(SUMIFS('Bucket Counts'!$P:$P, 'Bucket Counts'!$D:$D, "*" &amp; AV$2 &amp; "*", 'Bucket Counts'!$A:$A, "="&amp;$A35))</f>
        <v>35316.666666666664</v>
      </c>
      <c r="AW35" s="398">
        <f>AV35+AU35</f>
        <v>35316.666666666664</v>
      </c>
    </row>
    <row r="36" spans="1:49">
      <c r="A36" s="16">
        <f t="shared" si="0"/>
        <v>42906</v>
      </c>
      <c r="B36" s="397">
        <f>SUMIFS(Collection!$O:$O, Collection!$B:$B, "*" &amp; B$2 &amp; "*", Collection!$A:$A, "="&amp;$A36)</f>
        <v>0</v>
      </c>
      <c r="C36" s="118">
        <f>(SUMIFS('Bucket Counts'!$P:$P, 'Bucket Counts'!$D:$D, "*" &amp; C$2 &amp; "*", 'Bucket Counts'!$A:$A, "="&amp;$A36))</f>
        <v>0</v>
      </c>
      <c r="D36" s="398">
        <f>C35+SUM(B35:B36)</f>
        <v>74000</v>
      </c>
      <c r="E36" s="397">
        <f>SUMIFS(Collection!$O:$O, Collection!$B:$B, "*" &amp; E$2 &amp; "*", Collection!$A:$A, "="&amp;$A36)</f>
        <v>0</v>
      </c>
      <c r="F36" s="118">
        <f>(SUMIFS('Bucket Counts'!$P:$P, 'Bucket Counts'!$D:$D, "*" &amp; F$2 &amp; "*", 'Bucket Counts'!$A:$A, "="&amp;$A36))</f>
        <v>0</v>
      </c>
      <c r="G36" s="398">
        <f>F35+SUM(E35:E36)</f>
        <v>0</v>
      </c>
      <c r="H36" s="397">
        <f>SUMIFS(Collection!$O:$O, Collection!$B:$B, "*" &amp; H$2 &amp; "*", Collection!$A:$A, "="&amp;$A36)</f>
        <v>0</v>
      </c>
      <c r="I36" s="118">
        <f>(SUMIFS('Bucket Counts'!$P:$P, 'Bucket Counts'!$D:$D, "*" &amp; I$2 &amp; "*", 'Bucket Counts'!$A:$A, "="&amp;$A36))</f>
        <v>0</v>
      </c>
      <c r="J36" s="398">
        <f>I35+SUM(H35:H36)</f>
        <v>20360</v>
      </c>
      <c r="K36" s="17">
        <f>SUMIFS(Collection!$O:$O, Collection!$B:$B, "*" &amp; K$2 &amp; "*", Collection!$A:$A, "="&amp;$A36)</f>
        <v>0</v>
      </c>
      <c r="L36" s="17">
        <f>(SUMIFS('Bucket Counts'!$P:$P, 'Bucket Counts'!$D:$D, "*" &amp; L$2 &amp; "*", 'Bucket Counts'!$A:$A, "="&amp;$A36))</f>
        <v>0</v>
      </c>
      <c r="M36" s="398">
        <f>L35+SUM(K35:K36)</f>
        <v>124753.33333333334</v>
      </c>
      <c r="N36" s="17">
        <f>SUMIFS(Collection!$O:$O, Collection!$B:$B, "*" &amp; N$2 &amp; "*", Collection!$A:$A, "="&amp;$A36)</f>
        <v>0</v>
      </c>
      <c r="O36" s="17">
        <f>(SUMIFS('Bucket Counts'!$P:$P, 'Bucket Counts'!$D:$D, "*" &amp; O$2 &amp; "*", 'Bucket Counts'!$A:$A, "="&amp;$A36))</f>
        <v>0</v>
      </c>
      <c r="P36" s="398">
        <f>O35+SUM(N35:N36)</f>
        <v>103206.66666666666</v>
      </c>
      <c r="Q36" s="17">
        <f>SUMIFS(Collection!$O:$O, Collection!$B:$B, "*" &amp; Q$2 &amp; "*", Collection!$A:$A, "="&amp;$A36)</f>
        <v>0</v>
      </c>
      <c r="R36" s="17">
        <f>(SUMIFS('Bucket Counts'!$P:$P, 'Bucket Counts'!$D:$D, "*" &amp; R$2 &amp; "*", 'Bucket Counts'!$A:$A, "="&amp;$A36))</f>
        <v>0</v>
      </c>
      <c r="S36" s="398">
        <f>R35+SUM(Q35:Q36)</f>
        <v>0</v>
      </c>
      <c r="T36" s="17">
        <f>SUMIFS(Collection!$O:$O, Collection!$B:$B, "*" &amp; T$2 &amp; "*", Collection!$A:$A, "="&amp;$A36)</f>
        <v>0</v>
      </c>
      <c r="U36" s="17">
        <f>(SUMIFS('Bucket Counts'!$P:$P, 'Bucket Counts'!$D:$D, "*" &amp; U$2 &amp; "*", 'Bucket Counts'!$A:$A, "="&amp;$A36))</f>
        <v>0</v>
      </c>
      <c r="V36" s="398">
        <f>U35+SUM(T35:T36)</f>
        <v>141623.33333333334</v>
      </c>
      <c r="W36" s="17">
        <f>SUMIFS(Collection!$O:$O, Collection!$B:$B, "*" &amp; W$2 &amp; "*", Collection!$A:$A, "="&amp;$A36)</f>
        <v>0</v>
      </c>
      <c r="X36" s="17">
        <f>(SUMIFS('Bucket Counts'!$P:$P, 'Bucket Counts'!$D:$D, "*" &amp; X$2 &amp; "*", 'Bucket Counts'!$A:$A, "="&amp;$A36))</f>
        <v>0</v>
      </c>
      <c r="Y36" s="398">
        <f>X35+SUM(W35:W36)</f>
        <v>47473.333333333343</v>
      </c>
      <c r="Z36" s="17">
        <f>SUMIFS(Collection!$O:$O, Collection!$B:$B, "*" &amp; Z$2 &amp; "*", Collection!$A:$A, "="&amp;$A36)</f>
        <v>0</v>
      </c>
      <c r="AA36" s="17">
        <f>(SUMIFS('Bucket Counts'!$P:$P, 'Bucket Counts'!$D:$D, "*" &amp; AA$2 &amp; "*", 'Bucket Counts'!$A:$A, "="&amp;$A36))</f>
        <v>0</v>
      </c>
      <c r="AB36" s="398">
        <f>AA35+SUM(Z35:Z36)</f>
        <v>79490</v>
      </c>
      <c r="AC36" s="17">
        <f>SUMIFS(Collection!$O:$O, Collection!$B:$B, "*" &amp; AC$2 &amp; "*", Collection!$A:$A, "="&amp;$A36)</f>
        <v>0</v>
      </c>
      <c r="AD36" s="17">
        <f>(SUMIFS('Bucket Counts'!$P:$P, 'Bucket Counts'!$D:$D, "*" &amp; AD$2 &amp; "*", 'Bucket Counts'!$A:$A, "="&amp;$A36))</f>
        <v>0</v>
      </c>
      <c r="AE36" s="398">
        <f>AD35+SUM(AC35:AC36)</f>
        <v>99951.666666666657</v>
      </c>
      <c r="AF36" s="17">
        <f>SUMIFS(Collection!$O:$O, Collection!$B:$B, "*" &amp; AF$2 &amp; "*", Collection!$A:$A, "="&amp;$A36)</f>
        <v>0</v>
      </c>
      <c r="AG36" s="17">
        <f>(SUMIFS('Bucket Counts'!$P:$P, 'Bucket Counts'!$D:$D, "*" &amp; AG$2 &amp; "*", 'Bucket Counts'!$A:$A, "="&amp;$A36))</f>
        <v>0</v>
      </c>
      <c r="AH36" s="398">
        <f>AG35+SUM(AF35:AF36)</f>
        <v>37566.666666666672</v>
      </c>
      <c r="AI36" s="17">
        <f>SUMIFS(Collection!$O:$O, Collection!$B:$B, "*" &amp; AI$2 &amp; "*", Collection!$A:$A, "="&amp;$A36)</f>
        <v>0</v>
      </c>
      <c r="AJ36" s="17">
        <f>(SUMIFS('Bucket Counts'!$P:$P, 'Bucket Counts'!$D:$D, "*" &amp; AJ$2 &amp; "*", 'Bucket Counts'!$A:$A, "="&amp;$A36))</f>
        <v>0</v>
      </c>
      <c r="AK36" s="398">
        <f>AJ35+SUM(AI35:AI36)</f>
        <v>152833.33333333334</v>
      </c>
      <c r="AL36" s="17">
        <f>SUMIFS(Collection!$O:$O, Collection!$B:$B, "*" &amp; AL$2 &amp; "*", Collection!$A:$A, "="&amp;$A36)</f>
        <v>0</v>
      </c>
      <c r="AM36" s="17">
        <f>(SUMIFS('Bucket Counts'!$P:$P, 'Bucket Counts'!$D:$D, "*" &amp; AM$2 &amp; "*", 'Bucket Counts'!$A:$A, "="&amp;$A36))</f>
        <v>0</v>
      </c>
      <c r="AN36" s="398">
        <f>AM35+SUM(AL35:AL36)</f>
        <v>35666.666666666664</v>
      </c>
      <c r="AO36" s="17">
        <f>SUMIFS(Collection!$O:$O, Collection!$B:$B, "*" &amp; AO$2 &amp; "*", Collection!$A:$A, "="&amp;$A36)</f>
        <v>0</v>
      </c>
      <c r="AP36" s="17">
        <f>(SUMIFS('Bucket Counts'!$P:$P, 'Bucket Counts'!$D:$D, "*" &amp; AP$2 &amp; "*", 'Bucket Counts'!$A:$A, "="&amp;$A36))</f>
        <v>0</v>
      </c>
      <c r="AQ36" s="398">
        <f>AP35+SUM(AO35:AO36)</f>
        <v>0</v>
      </c>
      <c r="AR36" s="17">
        <f>SUMIFS(Collection!$O:$O, Collection!$B:$B, "*" &amp; AR$2 &amp; "*", Collection!$A:$A, "="&amp;$A36)</f>
        <v>52533.333333333336</v>
      </c>
      <c r="AS36" s="17">
        <f>(SUMIFS('Bucket Counts'!$P:$P, 'Bucket Counts'!$D:$D, "*" &amp; AS$2 &amp; "*", 'Bucket Counts'!$A:$A, "="&amp;$A36))</f>
        <v>0</v>
      </c>
      <c r="AT36" s="398">
        <f>AS35+SUM(AR35:AR36)</f>
        <v>144023.33333333334</v>
      </c>
      <c r="AU36" s="17">
        <f>SUMIFS(Collection!$O:$O, Collection!$B:$B, "*" &amp; AU$2 &amp; "*", Collection!$A:$A, "="&amp;$A36)</f>
        <v>0</v>
      </c>
      <c r="AV36" s="17">
        <f>(SUMIFS('Bucket Counts'!$P:$P, 'Bucket Counts'!$D:$D, "*" &amp; AV$2 &amp; "*", 'Bucket Counts'!$A:$A, "="&amp;$A36))</f>
        <v>0</v>
      </c>
      <c r="AW36" s="398">
        <f>AV35+SUM(AU35:AU36)</f>
        <v>35316.666666666664</v>
      </c>
    </row>
    <row r="37" spans="1:49">
      <c r="A37" s="16">
        <f t="shared" si="0"/>
        <v>42907</v>
      </c>
      <c r="B37" s="397">
        <f>SUMIFS(Collection!$O:$O, Collection!$B:$B, "*" &amp; B$2 &amp; "*", Collection!$A:$A, "="&amp;$A37)</f>
        <v>0</v>
      </c>
      <c r="C37" s="118">
        <f>(SUMIFS('Bucket Counts'!$P:$P, 'Bucket Counts'!$D:$D, "*" &amp; C$2 &amp; "*", 'Bucket Counts'!$A:$A, "="&amp;$A37))</f>
        <v>0</v>
      </c>
      <c r="D37" s="398">
        <f>C35+SUM(B35:B37)</f>
        <v>74000</v>
      </c>
      <c r="E37" s="397">
        <f>SUMIFS(Collection!$O:$O, Collection!$B:$B, "*" &amp; E$2 &amp; "*", Collection!$A:$A, "="&amp;$A37)</f>
        <v>0</v>
      </c>
      <c r="F37" s="118">
        <f>(SUMIFS('Bucket Counts'!$P:$P, 'Bucket Counts'!$D:$D, "*" &amp; F$2 &amp; "*", 'Bucket Counts'!$A:$A, "="&amp;$A37))</f>
        <v>0</v>
      </c>
      <c r="G37" s="398">
        <f>F35+SUM(E35:E37)</f>
        <v>0</v>
      </c>
      <c r="H37" s="397">
        <f>SUMIFS(Collection!$O:$O, Collection!$B:$B, "*" &amp; H$2 &amp; "*", Collection!$A:$A, "="&amp;$A37)</f>
        <v>0</v>
      </c>
      <c r="I37" s="118">
        <f>(SUMIFS('Bucket Counts'!$P:$P, 'Bucket Counts'!$D:$D, "*" &amp; I$2 &amp; "*", 'Bucket Counts'!$A:$A, "="&amp;$A37))</f>
        <v>0</v>
      </c>
      <c r="J37" s="398">
        <f>I35+SUM(H35:H37)</f>
        <v>20360</v>
      </c>
      <c r="K37" s="17">
        <f>SUMIFS(Collection!$O:$O, Collection!$B:$B, "*" &amp; K$2 &amp; "*", Collection!$A:$A, "="&amp;$A37)</f>
        <v>0</v>
      </c>
      <c r="L37" s="17">
        <f>(SUMIFS('Bucket Counts'!$P:$P, 'Bucket Counts'!$D:$D, "*" &amp; L$2 &amp; "*", 'Bucket Counts'!$A:$A, "="&amp;$A37))</f>
        <v>0</v>
      </c>
      <c r="M37" s="398">
        <f>L35+SUM(K35:K37)</f>
        <v>124753.33333333334</v>
      </c>
      <c r="N37" s="17">
        <f>SUMIFS(Collection!$O:$O, Collection!$B:$B, "*" &amp; N$2 &amp; "*", Collection!$A:$A, "="&amp;$A37)</f>
        <v>0</v>
      </c>
      <c r="O37" s="17">
        <f>(SUMIFS('Bucket Counts'!$P:$P, 'Bucket Counts'!$D:$D, "*" &amp; O$2 &amp; "*", 'Bucket Counts'!$A:$A, "="&amp;$A37))</f>
        <v>0</v>
      </c>
      <c r="P37" s="398">
        <f>O35+SUM(N35:N37)</f>
        <v>103206.66666666666</v>
      </c>
      <c r="Q37" s="17">
        <f>SUMIFS(Collection!$O:$O, Collection!$B:$B, "*" &amp; Q$2 &amp; "*", Collection!$A:$A, "="&amp;$A37)</f>
        <v>0</v>
      </c>
      <c r="R37" s="17">
        <f>(SUMIFS('Bucket Counts'!$P:$P, 'Bucket Counts'!$D:$D, "*" &amp; R$2 &amp; "*", 'Bucket Counts'!$A:$A, "="&amp;$A37))</f>
        <v>0</v>
      </c>
      <c r="S37" s="398">
        <f>R35+SUM(Q35:Q37)</f>
        <v>0</v>
      </c>
      <c r="T37" s="17">
        <f>SUMIFS(Collection!$O:$O, Collection!$B:$B, "*" &amp; T$2 &amp; "*", Collection!$A:$A, "="&amp;$A37)</f>
        <v>0</v>
      </c>
      <c r="U37" s="17">
        <f>(SUMIFS('Bucket Counts'!$P:$P, 'Bucket Counts'!$D:$D, "*" &amp; U$2 &amp; "*", 'Bucket Counts'!$A:$A, "="&amp;$A37))</f>
        <v>0</v>
      </c>
      <c r="V37" s="398">
        <f>U35+SUM(T35:T37)</f>
        <v>141623.33333333334</v>
      </c>
      <c r="W37" s="17">
        <f>SUMIFS(Collection!$O:$O, Collection!$B:$B, "*" &amp; W$2 &amp; "*", Collection!$A:$A, "="&amp;$A37)</f>
        <v>0</v>
      </c>
      <c r="X37" s="17">
        <f>(SUMIFS('Bucket Counts'!$P:$P, 'Bucket Counts'!$D:$D, "*" &amp; X$2 &amp; "*", 'Bucket Counts'!$A:$A, "="&amp;$A37))</f>
        <v>0</v>
      </c>
      <c r="Y37" s="398">
        <f>X35+SUM(W35:W37)</f>
        <v>47473.333333333343</v>
      </c>
      <c r="Z37" s="17">
        <f>SUMIFS(Collection!$O:$O, Collection!$B:$B, "*" &amp; Z$2 &amp; "*", Collection!$A:$A, "="&amp;$A37)</f>
        <v>0</v>
      </c>
      <c r="AA37" s="17">
        <f>(SUMIFS('Bucket Counts'!$P:$P, 'Bucket Counts'!$D:$D, "*" &amp; AA$2 &amp; "*", 'Bucket Counts'!$A:$A, "="&amp;$A37))</f>
        <v>0</v>
      </c>
      <c r="AB37" s="398">
        <f>AA35+SUM(Z35:Z37)</f>
        <v>79490</v>
      </c>
      <c r="AC37" s="17">
        <f>SUMIFS(Collection!$O:$O, Collection!$B:$B, "*" &amp; AC$2 &amp; "*", Collection!$A:$A, "="&amp;$A37)</f>
        <v>0</v>
      </c>
      <c r="AD37" s="17">
        <f>(SUMIFS('Bucket Counts'!$P:$P, 'Bucket Counts'!$D:$D, "*" &amp; AD$2 &amp; "*", 'Bucket Counts'!$A:$A, "="&amp;$A37))</f>
        <v>0</v>
      </c>
      <c r="AE37" s="398">
        <f>AD35+SUM(AC35:AC37)</f>
        <v>99951.666666666657</v>
      </c>
      <c r="AF37" s="17">
        <f>SUMIFS(Collection!$O:$O, Collection!$B:$B, "*" &amp; AF$2 &amp; "*", Collection!$A:$A, "="&amp;$A37)</f>
        <v>0</v>
      </c>
      <c r="AG37" s="17">
        <f>(SUMIFS('Bucket Counts'!$P:$P, 'Bucket Counts'!$D:$D, "*" &amp; AG$2 &amp; "*", 'Bucket Counts'!$A:$A, "="&amp;$A37))</f>
        <v>0</v>
      </c>
      <c r="AH37" s="398">
        <f>AG35+SUM(AF35:AF37)</f>
        <v>37566.666666666672</v>
      </c>
      <c r="AI37" s="17">
        <f>SUMIFS(Collection!$O:$O, Collection!$B:$B, "*" &amp; AI$2 &amp; "*", Collection!$A:$A, "="&amp;$A37)</f>
        <v>0</v>
      </c>
      <c r="AJ37" s="17">
        <f>(SUMIFS('Bucket Counts'!$P:$P, 'Bucket Counts'!$D:$D, "*" &amp; AJ$2 &amp; "*", 'Bucket Counts'!$A:$A, "="&amp;$A37))</f>
        <v>0</v>
      </c>
      <c r="AK37" s="398">
        <f>AJ35+SUM(AI35:AI37)</f>
        <v>152833.33333333334</v>
      </c>
      <c r="AL37" s="17">
        <f>SUMIFS(Collection!$O:$O, Collection!$B:$B, "*" &amp; AL$2 &amp; "*", Collection!$A:$A, "="&amp;$A37)</f>
        <v>0</v>
      </c>
      <c r="AM37" s="17">
        <f>(SUMIFS('Bucket Counts'!$P:$P, 'Bucket Counts'!$D:$D, "*" &amp; AM$2 &amp; "*", 'Bucket Counts'!$A:$A, "="&amp;$A37))</f>
        <v>0</v>
      </c>
      <c r="AN37" s="398">
        <f>AM35+SUM(AL35:AL37)</f>
        <v>35666.666666666664</v>
      </c>
      <c r="AO37" s="17">
        <f>SUMIFS(Collection!$O:$O, Collection!$B:$B, "*" &amp; AO$2 &amp; "*", Collection!$A:$A, "="&amp;$A37)</f>
        <v>0</v>
      </c>
      <c r="AP37" s="17">
        <f>(SUMIFS('Bucket Counts'!$P:$P, 'Bucket Counts'!$D:$D, "*" &amp; AP$2 &amp; "*", 'Bucket Counts'!$A:$A, "="&amp;$A37))</f>
        <v>0</v>
      </c>
      <c r="AQ37" s="398">
        <f>AP35+SUM(AO35:AO37)</f>
        <v>0</v>
      </c>
      <c r="AR37" s="17">
        <f>SUMIFS(Collection!$O:$O, Collection!$B:$B, "*" &amp; AR$2 &amp; "*", Collection!$A:$A, "="&amp;$A37)</f>
        <v>0</v>
      </c>
      <c r="AS37" s="17">
        <f>(SUMIFS('Bucket Counts'!$P:$P, 'Bucket Counts'!$D:$D, "*" &amp; AS$2 &amp; "*", 'Bucket Counts'!$A:$A, "="&amp;$A37))</f>
        <v>0</v>
      </c>
      <c r="AT37" s="398">
        <f>AS35+SUM(AR35:AR37)</f>
        <v>144023.33333333334</v>
      </c>
      <c r="AU37" s="17">
        <f>SUMIFS(Collection!$O:$O, Collection!$B:$B, "*" &amp; AU$2 &amp; "*", Collection!$A:$A, "="&amp;$A37)</f>
        <v>0</v>
      </c>
      <c r="AV37" s="17">
        <f>(SUMIFS('Bucket Counts'!$P:$P, 'Bucket Counts'!$D:$D, "*" &amp; AV$2 &amp; "*", 'Bucket Counts'!$A:$A, "="&amp;$A37))</f>
        <v>0</v>
      </c>
      <c r="AW37" s="398">
        <f>AV35+SUM(AU35:AU37)</f>
        <v>35316.666666666664</v>
      </c>
    </row>
    <row r="38" spans="1:49">
      <c r="A38" s="16">
        <f t="shared" si="0"/>
        <v>42908</v>
      </c>
      <c r="B38" s="397">
        <f>SUMIFS(Collection!$O:$O, Collection!$B:$B, "*" &amp; B$2 &amp; "*", Collection!$A:$A, "="&amp;$A38)</f>
        <v>0</v>
      </c>
      <c r="C38" s="118">
        <f>(SUMIFS('Bucket Counts'!$P:$P, 'Bucket Counts'!$D:$D, "*" &amp; C$2 &amp; "*", 'Bucket Counts'!$A:$A, "="&amp;$A38))</f>
        <v>24358.333333333336</v>
      </c>
      <c r="D38" s="398">
        <f>C38+B38</f>
        <v>24358.333333333336</v>
      </c>
      <c r="E38" s="397">
        <f>SUMIFS(Collection!$O:$O, Collection!$B:$B, "*" &amp; E$2 &amp; "*", Collection!$A:$A, "="&amp;$A38)</f>
        <v>0</v>
      </c>
      <c r="F38" s="118">
        <f>(SUMIFS('Bucket Counts'!$P:$P, 'Bucket Counts'!$D:$D, "*" &amp; F$2 &amp; "*", 'Bucket Counts'!$A:$A, "="&amp;$A38))</f>
        <v>0</v>
      </c>
      <c r="G38" s="398">
        <f>F38+E38</f>
        <v>0</v>
      </c>
      <c r="H38" s="397">
        <f>SUMIFS(Collection!$O:$O, Collection!$B:$B, "*" &amp; H$2 &amp; "*", Collection!$A:$A, "="&amp;$A38)</f>
        <v>33.333333333333329</v>
      </c>
      <c r="I38" s="118">
        <f>(SUMIFS('Bucket Counts'!$P:$P, 'Bucket Counts'!$D:$D, "*" &amp; I$2 &amp; "*", 'Bucket Counts'!$A:$A, "="&amp;$A38))</f>
        <v>9720</v>
      </c>
      <c r="J38" s="398">
        <f>I38+H38</f>
        <v>9753.3333333333339</v>
      </c>
      <c r="K38" s="17">
        <f>SUMIFS(Collection!$O:$O, Collection!$B:$B, "*" &amp; K$2 &amp; "*", Collection!$A:$A, "="&amp;$A38)</f>
        <v>888.8888888888888</v>
      </c>
      <c r="L38" s="17">
        <f>(SUMIFS('Bucket Counts'!$P:$P, 'Bucket Counts'!$D:$D, "*" &amp; L$2 &amp; "*", 'Bucket Counts'!$A:$A, "="&amp;$A38))</f>
        <v>64806.666666666657</v>
      </c>
      <c r="M38" s="398">
        <f>L38+K38</f>
        <v>65695.555555555547</v>
      </c>
      <c r="N38" s="17">
        <f>SUMIFS(Collection!$O:$O, Collection!$B:$B, "*" &amp; N$2 &amp; "*", Collection!$A:$A, "="&amp;$A38)</f>
        <v>0</v>
      </c>
      <c r="O38" s="17">
        <f>(SUMIFS('Bucket Counts'!$P:$P, 'Bucket Counts'!$D:$D, "*" &amp; O$2 &amp; "*", 'Bucket Counts'!$A:$A, "="&amp;$A38))</f>
        <v>26591.666666666664</v>
      </c>
      <c r="P38" s="398">
        <f>O38+N38</f>
        <v>26591.666666666664</v>
      </c>
      <c r="Q38" s="17">
        <f>SUMIFS(Collection!$O:$O, Collection!$B:$B, "*" &amp; Q$2 &amp; "*", Collection!$A:$A, "="&amp;$A38)</f>
        <v>866.66666666666663</v>
      </c>
      <c r="R38" s="17">
        <f>(SUMIFS('Bucket Counts'!$P:$P, 'Bucket Counts'!$D:$D, "*" &amp; R$2 &amp; "*", 'Bucket Counts'!$A:$A, "="&amp;$A38))</f>
        <v>0</v>
      </c>
      <c r="S38" s="398">
        <f>R38+Q38</f>
        <v>866.66666666666663</v>
      </c>
      <c r="T38" s="17">
        <f>SUMIFS(Collection!$O:$O, Collection!$B:$B, "*" &amp; T$2 &amp; "*", Collection!$A:$A, "="&amp;$A38)</f>
        <v>0</v>
      </c>
      <c r="U38" s="17">
        <f>(SUMIFS('Bucket Counts'!$P:$P, 'Bucket Counts'!$D:$D, "*" &amp; U$2 &amp; "*", 'Bucket Counts'!$A:$A, "="&amp;$A38))</f>
        <v>86901.666666666657</v>
      </c>
      <c r="V38" s="398">
        <f>U38+T38</f>
        <v>86901.666666666657</v>
      </c>
      <c r="W38" s="17">
        <f>SUMIFS(Collection!$O:$O, Collection!$B:$B, "*" &amp; W$2 &amp; "*", Collection!$A:$A, "="&amp;$A38)</f>
        <v>0</v>
      </c>
      <c r="X38" s="17">
        <f>(SUMIFS('Bucket Counts'!$P:$P, 'Bucket Counts'!$D:$D, "*" &amp; X$2 &amp; "*", 'Bucket Counts'!$A:$A, "="&amp;$A38))</f>
        <v>23826.666666666668</v>
      </c>
      <c r="Y38" s="398">
        <f>X38+W38</f>
        <v>23826.666666666668</v>
      </c>
      <c r="Z38" s="17">
        <f>SUMIFS(Collection!$O:$O, Collection!$B:$B, "*" &amp; Z$2 &amp; "*", Collection!$A:$A, "="&amp;$A38)</f>
        <v>1564.4444444444443</v>
      </c>
      <c r="AA38" s="17">
        <f>(SUMIFS('Bucket Counts'!$P:$P, 'Bucket Counts'!$D:$D, "*" &amp; AA$2 &amp; "*", 'Bucket Counts'!$A:$A, "="&amp;$A38))</f>
        <v>42553.333333333336</v>
      </c>
      <c r="AB38" s="398">
        <f>AA38+Z38</f>
        <v>44117.777777777781</v>
      </c>
      <c r="AC38" s="17">
        <f>SUMIFS(Collection!$O:$O, Collection!$B:$B, "*" &amp; AC$2 &amp; "*", Collection!$A:$A, "="&amp;$A38)</f>
        <v>0</v>
      </c>
      <c r="AD38" s="17">
        <f>(SUMIFS('Bucket Counts'!$P:$P, 'Bucket Counts'!$D:$D, "*" &amp; AD$2 &amp; "*", 'Bucket Counts'!$A:$A, "="&amp;$A38))</f>
        <v>76741.666666666672</v>
      </c>
      <c r="AE38" s="398">
        <f>AD38+AC38</f>
        <v>76741.666666666672</v>
      </c>
      <c r="AF38" s="17">
        <f>SUMIFS(Collection!$O:$O, Collection!$B:$B, "*" &amp; AF$2 &amp; "*", Collection!$A:$A, "="&amp;$A38)</f>
        <v>0</v>
      </c>
      <c r="AG38" s="17">
        <f>(SUMIFS('Bucket Counts'!$P:$P, 'Bucket Counts'!$D:$D, "*" &amp; AG$2 &amp; "*", 'Bucket Counts'!$A:$A, "="&amp;$A38))</f>
        <v>28180</v>
      </c>
      <c r="AH38" s="398">
        <f>AG38+AF38</f>
        <v>28180</v>
      </c>
      <c r="AI38" s="17">
        <f>SUMIFS(Collection!$O:$O, Collection!$B:$B, "*" &amp; AI$2 &amp; "*", Collection!$A:$A, "="&amp;$A38)</f>
        <v>995.55555555555554</v>
      </c>
      <c r="AJ38" s="17">
        <f>(SUMIFS('Bucket Counts'!$P:$P, 'Bucket Counts'!$D:$D, "*" &amp; AJ$2 &amp; "*", 'Bucket Counts'!$A:$A, "="&amp;$A38))</f>
        <v>88626.666666666672</v>
      </c>
      <c r="AK38" s="398">
        <f>AJ38+AI38</f>
        <v>89622.222222222234</v>
      </c>
      <c r="AL38" s="17">
        <f>SUMIFS(Collection!$O:$O, Collection!$B:$B, "*" &amp; AL$2 &amp; "*", Collection!$A:$A, "="&amp;$A38)</f>
        <v>0</v>
      </c>
      <c r="AM38" s="17">
        <f>(SUMIFS('Bucket Counts'!$P:$P, 'Bucket Counts'!$D:$D, "*" &amp; AM$2 &amp; "*", 'Bucket Counts'!$A:$A, "="&amp;$A38))</f>
        <v>27966.666666666664</v>
      </c>
      <c r="AN38" s="398">
        <f>AM38+AL38</f>
        <v>27966.666666666664</v>
      </c>
      <c r="AO38" s="17">
        <f>SUMIFS(Collection!$O:$O, Collection!$B:$B, "*" &amp; AO$2 &amp; "*", Collection!$A:$A, "="&amp;$A38)</f>
        <v>0</v>
      </c>
      <c r="AP38" s="17">
        <f>(SUMIFS('Bucket Counts'!$P:$P, 'Bucket Counts'!$D:$D, "*" &amp; AP$2 &amp; "*", 'Bucket Counts'!$A:$A, "="&amp;$A38))</f>
        <v>0</v>
      </c>
      <c r="AQ38" s="398">
        <f>AP38+AO38</f>
        <v>0</v>
      </c>
      <c r="AR38" s="17">
        <f>SUMIFS(Collection!$O:$O, Collection!$B:$B, "*" &amp; AR$2 &amp; "*", Collection!$A:$A, "="&amp;$A38)</f>
        <v>193.33333333333331</v>
      </c>
      <c r="AS38" s="17">
        <f>(SUMIFS('Bucket Counts'!$P:$P, 'Bucket Counts'!$D:$D, "*" &amp; AS$2 &amp; "*", 'Bucket Counts'!$A:$A, "="&amp;$A38))</f>
        <v>75920</v>
      </c>
      <c r="AT38" s="398">
        <f>AS38+AR38</f>
        <v>76113.333333333328</v>
      </c>
      <c r="AU38" s="17">
        <f>SUMIFS(Collection!$O:$O, Collection!$B:$B, "*" &amp; AU$2 &amp; "*", Collection!$A:$A, "="&amp;$A38)</f>
        <v>0</v>
      </c>
      <c r="AV38" s="17">
        <f>(SUMIFS('Bucket Counts'!$P:$P, 'Bucket Counts'!$D:$D, "*" &amp; AV$2 &amp; "*", 'Bucket Counts'!$A:$A, "="&amp;$A38))</f>
        <v>29233.333333333336</v>
      </c>
      <c r="AW38" s="398">
        <f>AV38+AU38</f>
        <v>29233.333333333336</v>
      </c>
    </row>
    <row r="39" spans="1:49">
      <c r="A39" s="16">
        <f t="shared" si="0"/>
        <v>42909</v>
      </c>
      <c r="B39" s="397">
        <f>SUMIFS(Collection!$O:$O, Collection!$B:$B, "*" &amp; B$2 &amp; "*", Collection!$A:$A, "="&amp;$A39)</f>
        <v>0</v>
      </c>
      <c r="C39" s="118">
        <f>(SUMIFS('Bucket Counts'!$P:$P, 'Bucket Counts'!$D:$D, "*" &amp; C$2 &amp; "*", 'Bucket Counts'!$A:$A, "="&amp;$A39))</f>
        <v>0</v>
      </c>
      <c r="D39" s="398">
        <f>C38+SUM(B38:B39)</f>
        <v>24358.333333333336</v>
      </c>
      <c r="E39" s="397">
        <f>SUMIFS(Collection!$O:$O, Collection!$B:$B, "*" &amp; E$2 &amp; "*", Collection!$A:$A, "="&amp;$A39)</f>
        <v>0</v>
      </c>
      <c r="F39" s="118">
        <f>(SUMIFS('Bucket Counts'!$P:$P, 'Bucket Counts'!$D:$D, "*" &amp; F$2 &amp; "*", 'Bucket Counts'!$A:$A, "="&amp;$A39))</f>
        <v>0</v>
      </c>
      <c r="G39" s="398">
        <f>F38+SUM(E38:E39)</f>
        <v>0</v>
      </c>
      <c r="H39" s="397">
        <f>SUMIFS(Collection!$O:$O, Collection!$B:$B, "*" &amp; H$2 &amp; "*", Collection!$A:$A, "="&amp;$A39)</f>
        <v>0</v>
      </c>
      <c r="I39" s="118">
        <f>(SUMIFS('Bucket Counts'!$P:$P, 'Bucket Counts'!$D:$D, "*" &amp; I$2 &amp; "*", 'Bucket Counts'!$A:$A, "="&amp;$A39))</f>
        <v>0</v>
      </c>
      <c r="J39" s="398">
        <f>I38+SUM(H38:H39)</f>
        <v>9753.3333333333339</v>
      </c>
      <c r="K39" s="17">
        <f>SUMIFS(Collection!$O:$O, Collection!$B:$B, "*" &amp; K$2 &amp; "*", Collection!$A:$A, "="&amp;$A39)</f>
        <v>0</v>
      </c>
      <c r="L39" s="17">
        <f>(SUMIFS('Bucket Counts'!$P:$P, 'Bucket Counts'!$D:$D, "*" &amp; L$2 &amp; "*", 'Bucket Counts'!$A:$A, "="&amp;$A39))</f>
        <v>0</v>
      </c>
      <c r="M39" s="398">
        <f>L38+SUM(K38:K39)</f>
        <v>65695.555555555547</v>
      </c>
      <c r="N39" s="17">
        <f>SUMIFS(Collection!$O:$O, Collection!$B:$B, "*" &amp; N$2 &amp; "*", Collection!$A:$A, "="&amp;$A39)</f>
        <v>0</v>
      </c>
      <c r="O39" s="17">
        <f>(SUMIFS('Bucket Counts'!$P:$P, 'Bucket Counts'!$D:$D, "*" &amp; O$2 &amp; "*", 'Bucket Counts'!$A:$A, "="&amp;$A39))</f>
        <v>0</v>
      </c>
      <c r="P39" s="398">
        <f>O38+SUM(N38:N39)</f>
        <v>26591.666666666664</v>
      </c>
      <c r="Q39" s="17">
        <f>SUMIFS(Collection!$O:$O, Collection!$B:$B, "*" &amp; Q$2 &amp; "*", Collection!$A:$A, "="&amp;$A39)</f>
        <v>0</v>
      </c>
      <c r="R39" s="17">
        <f>(SUMIFS('Bucket Counts'!$P:$P, 'Bucket Counts'!$D:$D, "*" &amp; R$2 &amp; "*", 'Bucket Counts'!$A:$A, "="&amp;$A39))</f>
        <v>0</v>
      </c>
      <c r="S39" s="398">
        <f>R38+SUM(Q38:Q39)</f>
        <v>866.66666666666663</v>
      </c>
      <c r="T39" s="17">
        <f>SUMIFS(Collection!$O:$O, Collection!$B:$B, "*" &amp; T$2 &amp; "*", Collection!$A:$A, "="&amp;$A39)</f>
        <v>0</v>
      </c>
      <c r="U39" s="17">
        <f>(SUMIFS('Bucket Counts'!$P:$P, 'Bucket Counts'!$D:$D, "*" &amp; U$2 &amp; "*", 'Bucket Counts'!$A:$A, "="&amp;$A39))</f>
        <v>0</v>
      </c>
      <c r="V39" s="398">
        <f>U38+SUM(T38:T39)</f>
        <v>86901.666666666657</v>
      </c>
      <c r="W39" s="17">
        <f>SUMIFS(Collection!$O:$O, Collection!$B:$B, "*" &amp; W$2 &amp; "*", Collection!$A:$A, "="&amp;$A39)</f>
        <v>0</v>
      </c>
      <c r="X39" s="17">
        <f>(SUMIFS('Bucket Counts'!$P:$P, 'Bucket Counts'!$D:$D, "*" &amp; X$2 &amp; "*", 'Bucket Counts'!$A:$A, "="&amp;$A39))</f>
        <v>0</v>
      </c>
      <c r="Y39" s="398">
        <f>X38+SUM(W38:W39)</f>
        <v>23826.666666666668</v>
      </c>
      <c r="Z39" s="17">
        <f>SUMIFS(Collection!$O:$O, Collection!$B:$B, "*" &amp; Z$2 &amp; "*", Collection!$A:$A, "="&amp;$A39)</f>
        <v>0</v>
      </c>
      <c r="AA39" s="17">
        <f>(SUMIFS('Bucket Counts'!$P:$P, 'Bucket Counts'!$D:$D, "*" &amp; AA$2 &amp; "*", 'Bucket Counts'!$A:$A, "="&amp;$A39))</f>
        <v>0</v>
      </c>
      <c r="AB39" s="398">
        <f>AA38+SUM(Z38:Z39)</f>
        <v>44117.777777777781</v>
      </c>
      <c r="AC39" s="17">
        <f>SUMIFS(Collection!$O:$O, Collection!$B:$B, "*" &amp; AC$2 &amp; "*", Collection!$A:$A, "="&amp;$A39)</f>
        <v>0</v>
      </c>
      <c r="AD39" s="17">
        <f>(SUMIFS('Bucket Counts'!$P:$P, 'Bucket Counts'!$D:$D, "*" &amp; AD$2 &amp; "*", 'Bucket Counts'!$A:$A, "="&amp;$A39))</f>
        <v>0</v>
      </c>
      <c r="AE39" s="398">
        <f>AD38+SUM(AC38:AC39)</f>
        <v>76741.666666666672</v>
      </c>
      <c r="AF39" s="17">
        <f>SUMIFS(Collection!$O:$O, Collection!$B:$B, "*" &amp; AF$2 &amp; "*", Collection!$A:$A, "="&amp;$A39)</f>
        <v>0</v>
      </c>
      <c r="AG39" s="17">
        <f>(SUMIFS('Bucket Counts'!$P:$P, 'Bucket Counts'!$D:$D, "*" &amp; AG$2 &amp; "*", 'Bucket Counts'!$A:$A, "="&amp;$A39))</f>
        <v>0</v>
      </c>
      <c r="AH39" s="398">
        <f>AG38+SUM(AF38:AF39)</f>
        <v>28180</v>
      </c>
      <c r="AI39" s="17">
        <f>SUMIFS(Collection!$O:$O, Collection!$B:$B, "*" &amp; AI$2 &amp; "*", Collection!$A:$A, "="&amp;$A39)</f>
        <v>0</v>
      </c>
      <c r="AJ39" s="17">
        <f>(SUMIFS('Bucket Counts'!$P:$P, 'Bucket Counts'!$D:$D, "*" &amp; AJ$2 &amp; "*", 'Bucket Counts'!$A:$A, "="&amp;$A39))</f>
        <v>0</v>
      </c>
      <c r="AK39" s="398">
        <f>AJ38+SUM(AI38:AI39)</f>
        <v>89622.222222222234</v>
      </c>
      <c r="AL39" s="17">
        <f>SUMIFS(Collection!$O:$O, Collection!$B:$B, "*" &amp; AL$2 &amp; "*", Collection!$A:$A, "="&amp;$A39)</f>
        <v>0</v>
      </c>
      <c r="AM39" s="17">
        <f>(SUMIFS('Bucket Counts'!$P:$P, 'Bucket Counts'!$D:$D, "*" &amp; AM$2 &amp; "*", 'Bucket Counts'!$A:$A, "="&amp;$A39))</f>
        <v>0</v>
      </c>
      <c r="AN39" s="398">
        <f>AM38+SUM(AL38:AL39)</f>
        <v>27966.666666666664</v>
      </c>
      <c r="AO39" s="17">
        <f>SUMIFS(Collection!$O:$O, Collection!$B:$B, "*" &amp; AO$2 &amp; "*", Collection!$A:$A, "="&amp;$A39)</f>
        <v>0</v>
      </c>
      <c r="AP39" s="17">
        <f>(SUMIFS('Bucket Counts'!$P:$P, 'Bucket Counts'!$D:$D, "*" &amp; AP$2 &amp; "*", 'Bucket Counts'!$A:$A, "="&amp;$A39))</f>
        <v>0</v>
      </c>
      <c r="AQ39" s="398">
        <f>AP38+SUM(AO38:AO39)</f>
        <v>0</v>
      </c>
      <c r="AR39" s="17">
        <f>SUMIFS(Collection!$O:$O, Collection!$B:$B, "*" &amp; AR$2 &amp; "*", Collection!$A:$A, "="&amp;$A39)</f>
        <v>0</v>
      </c>
      <c r="AS39" s="17">
        <f>(SUMIFS('Bucket Counts'!$P:$P, 'Bucket Counts'!$D:$D, "*" &amp; AS$2 &amp; "*", 'Bucket Counts'!$A:$A, "="&amp;$A39))</f>
        <v>0</v>
      </c>
      <c r="AT39" s="398">
        <f>AS38+SUM(AR38:AR39)</f>
        <v>76113.333333333328</v>
      </c>
      <c r="AU39" s="17">
        <f>SUMIFS(Collection!$O:$O, Collection!$B:$B, "*" &amp; AU$2 &amp; "*", Collection!$A:$A, "="&amp;$A39)</f>
        <v>0</v>
      </c>
      <c r="AV39" s="17">
        <f>(SUMIFS('Bucket Counts'!$P:$P, 'Bucket Counts'!$D:$D, "*" &amp; AV$2 &amp; "*", 'Bucket Counts'!$A:$A, "="&amp;$A39))</f>
        <v>0</v>
      </c>
      <c r="AW39" s="398">
        <f>AV38+SUM(AU38:AU39)</f>
        <v>29233.333333333336</v>
      </c>
    </row>
    <row r="40" spans="1:49">
      <c r="A40" s="16">
        <f t="shared" si="0"/>
        <v>42910</v>
      </c>
      <c r="B40" s="397">
        <f>SUMIFS(Collection!$O:$O, Collection!$B:$B, "*" &amp; B$2 &amp; "*", Collection!$A:$A, "="&amp;$A40)</f>
        <v>0</v>
      </c>
      <c r="C40" s="118">
        <f>(SUMIFS('Bucket Counts'!$P:$P, 'Bucket Counts'!$D:$D, "*" &amp; C$2 &amp; "*", 'Bucket Counts'!$A:$A, "="&amp;$A40))</f>
        <v>0</v>
      </c>
      <c r="D40" s="398">
        <f>C38+SUM(B38:B40)</f>
        <v>24358.333333333336</v>
      </c>
      <c r="E40" s="397">
        <f>SUMIFS(Collection!$O:$O, Collection!$B:$B, "*" &amp; E$2 &amp; "*", Collection!$A:$A, "="&amp;$A40)</f>
        <v>0</v>
      </c>
      <c r="F40" s="118">
        <f>(SUMIFS('Bucket Counts'!$P:$P, 'Bucket Counts'!$D:$D, "*" &amp; F$2 &amp; "*", 'Bucket Counts'!$A:$A, "="&amp;$A40))</f>
        <v>0</v>
      </c>
      <c r="G40" s="398">
        <f>F38+SUM(E38:E40)</f>
        <v>0</v>
      </c>
      <c r="H40" s="397">
        <f>SUMIFS(Collection!$O:$O, Collection!$B:$B, "*" &amp; H$2 &amp; "*", Collection!$A:$A, "="&amp;$A40)</f>
        <v>0</v>
      </c>
      <c r="I40" s="118">
        <f>(SUMIFS('Bucket Counts'!$P:$P, 'Bucket Counts'!$D:$D, "*" &amp; I$2 &amp; "*", 'Bucket Counts'!$A:$A, "="&amp;$A40))</f>
        <v>0</v>
      </c>
      <c r="J40" s="398">
        <f>I38+SUM(H38:H40)</f>
        <v>9753.3333333333339</v>
      </c>
      <c r="K40" s="17">
        <f>SUMIFS(Collection!$O:$O, Collection!$B:$B, "*" &amp; K$2 &amp; "*", Collection!$A:$A, "="&amp;$A40)</f>
        <v>0</v>
      </c>
      <c r="L40" s="17">
        <f>(SUMIFS('Bucket Counts'!$P:$P, 'Bucket Counts'!$D:$D, "*" &amp; L$2 &amp; "*", 'Bucket Counts'!$A:$A, "="&amp;$A40))</f>
        <v>0</v>
      </c>
      <c r="M40" s="398">
        <f>L38+SUM(K38:K40)</f>
        <v>65695.555555555547</v>
      </c>
      <c r="N40" s="17">
        <f>SUMIFS(Collection!$O:$O, Collection!$B:$B, "*" &amp; N$2 &amp; "*", Collection!$A:$A, "="&amp;$A40)</f>
        <v>0</v>
      </c>
      <c r="O40" s="17">
        <f>(SUMIFS('Bucket Counts'!$P:$P, 'Bucket Counts'!$D:$D, "*" &amp; O$2 &amp; "*", 'Bucket Counts'!$A:$A, "="&amp;$A40))</f>
        <v>0</v>
      </c>
      <c r="P40" s="398">
        <f>O38+SUM(N38:N40)</f>
        <v>26591.666666666664</v>
      </c>
      <c r="Q40" s="17">
        <f>SUMIFS(Collection!$O:$O, Collection!$B:$B, "*" &amp; Q$2 &amp; "*", Collection!$A:$A, "="&amp;$A40)</f>
        <v>77566.666666666657</v>
      </c>
      <c r="R40" s="17">
        <f>(SUMIFS('Bucket Counts'!$P:$P, 'Bucket Counts'!$D:$D, "*" &amp; R$2 &amp; "*", 'Bucket Counts'!$A:$A, "="&amp;$A40))</f>
        <v>0</v>
      </c>
      <c r="S40" s="398">
        <f>R38+SUM(Q38:Q40)</f>
        <v>78433.333333333328</v>
      </c>
      <c r="T40" s="17">
        <f>SUMIFS(Collection!$O:$O, Collection!$B:$B, "*" &amp; T$2 &amp; "*", Collection!$A:$A, "="&amp;$A40)</f>
        <v>0</v>
      </c>
      <c r="U40" s="17">
        <f>(SUMIFS('Bucket Counts'!$P:$P, 'Bucket Counts'!$D:$D, "*" &amp; U$2 &amp; "*", 'Bucket Counts'!$A:$A, "="&amp;$A40))</f>
        <v>0</v>
      </c>
      <c r="V40" s="398">
        <f>U38+SUM(T38:T40)</f>
        <v>86901.666666666657</v>
      </c>
      <c r="W40" s="17">
        <f>SUMIFS(Collection!$O:$O, Collection!$B:$B, "*" &amp; W$2 &amp; "*", Collection!$A:$A, "="&amp;$A40)</f>
        <v>0</v>
      </c>
      <c r="X40" s="17">
        <f>(SUMIFS('Bucket Counts'!$P:$P, 'Bucket Counts'!$D:$D, "*" &amp; X$2 &amp; "*", 'Bucket Counts'!$A:$A, "="&amp;$A40))</f>
        <v>0</v>
      </c>
      <c r="Y40" s="398">
        <f>X38+SUM(W38:W40)</f>
        <v>23826.666666666668</v>
      </c>
      <c r="Z40" s="17">
        <f>SUMIFS(Collection!$O:$O, Collection!$B:$B, "*" &amp; Z$2 &amp; "*", Collection!$A:$A, "="&amp;$A40)</f>
        <v>0</v>
      </c>
      <c r="AA40" s="17">
        <f>(SUMIFS('Bucket Counts'!$P:$P, 'Bucket Counts'!$D:$D, "*" &amp; AA$2 &amp; "*", 'Bucket Counts'!$A:$A, "="&amp;$A40))</f>
        <v>0</v>
      </c>
      <c r="AB40" s="398">
        <f>AA38+SUM(Z38:Z40)</f>
        <v>44117.777777777781</v>
      </c>
      <c r="AC40" s="17">
        <f>SUMIFS(Collection!$O:$O, Collection!$B:$B, "*" &amp; AC$2 &amp; "*", Collection!$A:$A, "="&amp;$A40)</f>
        <v>10000</v>
      </c>
      <c r="AD40" s="17">
        <f>(SUMIFS('Bucket Counts'!$P:$P, 'Bucket Counts'!$D:$D, "*" &amp; AD$2 &amp; "*", 'Bucket Counts'!$A:$A, "="&amp;$A40))</f>
        <v>0</v>
      </c>
      <c r="AE40" s="398">
        <f>AD38+SUM(AC38:AC40)</f>
        <v>86741.666666666672</v>
      </c>
      <c r="AF40" s="17">
        <f>SUMIFS(Collection!$O:$O, Collection!$B:$B, "*" &amp; AF$2 &amp; "*", Collection!$A:$A, "="&amp;$A40)</f>
        <v>0</v>
      </c>
      <c r="AG40" s="17">
        <f>(SUMIFS('Bucket Counts'!$P:$P, 'Bucket Counts'!$D:$D, "*" &amp; AG$2 &amp; "*", 'Bucket Counts'!$A:$A, "="&amp;$A40))</f>
        <v>0</v>
      </c>
      <c r="AH40" s="398">
        <f>AG38+SUM(AF38:AF40)</f>
        <v>28180</v>
      </c>
      <c r="AI40" s="17">
        <f>SUMIFS(Collection!$O:$O, Collection!$B:$B, "*" &amp; AI$2 &amp; "*", Collection!$A:$A, "="&amp;$A40)</f>
        <v>0</v>
      </c>
      <c r="AJ40" s="17">
        <f>(SUMIFS('Bucket Counts'!$P:$P, 'Bucket Counts'!$D:$D, "*" &amp; AJ$2 &amp; "*", 'Bucket Counts'!$A:$A, "="&amp;$A40))</f>
        <v>0</v>
      </c>
      <c r="AK40" s="398">
        <f>AJ38+SUM(AI38:AI40)</f>
        <v>89622.222222222234</v>
      </c>
      <c r="AL40" s="17">
        <f>SUMIFS(Collection!$O:$O, Collection!$B:$B, "*" &amp; AL$2 &amp; "*", Collection!$A:$A, "="&amp;$A40)</f>
        <v>0</v>
      </c>
      <c r="AM40" s="17">
        <f>(SUMIFS('Bucket Counts'!$P:$P, 'Bucket Counts'!$D:$D, "*" &amp; AM$2 &amp; "*", 'Bucket Counts'!$A:$A, "="&amp;$A40))</f>
        <v>0</v>
      </c>
      <c r="AN40" s="398">
        <f>AM38+SUM(AL38:AL40)</f>
        <v>27966.666666666664</v>
      </c>
      <c r="AO40" s="17">
        <f>SUMIFS(Collection!$O:$O, Collection!$B:$B, "*" &amp; AO$2 &amp; "*", Collection!$A:$A, "="&amp;$A40)</f>
        <v>0</v>
      </c>
      <c r="AP40" s="17">
        <f>(SUMIFS('Bucket Counts'!$P:$P, 'Bucket Counts'!$D:$D, "*" &amp; AP$2 &amp; "*", 'Bucket Counts'!$A:$A, "="&amp;$A40))</f>
        <v>0</v>
      </c>
      <c r="AQ40" s="398">
        <f>AP38+SUM(AO38:AO40)</f>
        <v>0</v>
      </c>
      <c r="AR40" s="17">
        <f>SUMIFS(Collection!$O:$O, Collection!$B:$B, "*" &amp; AR$2 &amp; "*", Collection!$A:$A, "="&amp;$A40)</f>
        <v>0</v>
      </c>
      <c r="AS40" s="17">
        <f>(SUMIFS('Bucket Counts'!$P:$P, 'Bucket Counts'!$D:$D, "*" &amp; AS$2 &amp; "*", 'Bucket Counts'!$A:$A, "="&amp;$A40))</f>
        <v>0</v>
      </c>
      <c r="AT40" s="398">
        <f>AS38+SUM(AR38:AR40)</f>
        <v>76113.333333333328</v>
      </c>
      <c r="AU40" s="17">
        <f>SUMIFS(Collection!$O:$O, Collection!$B:$B, "*" &amp; AU$2 &amp; "*", Collection!$A:$A, "="&amp;$A40)</f>
        <v>0</v>
      </c>
      <c r="AV40" s="17">
        <f>(SUMIFS('Bucket Counts'!$P:$P, 'Bucket Counts'!$D:$D, "*" &amp; AV$2 &amp; "*", 'Bucket Counts'!$A:$A, "="&amp;$A40))</f>
        <v>0</v>
      </c>
      <c r="AW40" s="398">
        <f>AV38+SUM(AU38:AU40)</f>
        <v>29233.333333333336</v>
      </c>
    </row>
    <row r="41" spans="1:49">
      <c r="A41" s="16">
        <f t="shared" si="0"/>
        <v>42911</v>
      </c>
      <c r="B41" s="397">
        <f>SUMIFS(Collection!$O:$O, Collection!$B:$B, "*" &amp; B$2 &amp; "*", Collection!$A:$A, "="&amp;$A41)</f>
        <v>0</v>
      </c>
      <c r="C41" s="118">
        <f>(SUMIFS('Bucket Counts'!$P:$P, 'Bucket Counts'!$D:$D, "*" &amp; C$2 &amp; "*", 'Bucket Counts'!$A:$A, "="&amp;$A41))</f>
        <v>0</v>
      </c>
      <c r="D41" s="398">
        <f>C38+SUM(B38:B41)</f>
        <v>24358.333333333336</v>
      </c>
      <c r="E41" s="397">
        <f>SUMIFS(Collection!$O:$O, Collection!$B:$B, "*" &amp; E$2 &amp; "*", Collection!$A:$A, "="&amp;$A41)</f>
        <v>0</v>
      </c>
      <c r="F41" s="118">
        <f>(SUMIFS('Bucket Counts'!$P:$P, 'Bucket Counts'!$D:$D, "*" &amp; F$2 &amp; "*", 'Bucket Counts'!$A:$A, "="&amp;$A41))</f>
        <v>0</v>
      </c>
      <c r="G41" s="398">
        <f>F38+SUM(E38:E41)</f>
        <v>0</v>
      </c>
      <c r="H41" s="397">
        <f>SUMIFS(Collection!$O:$O, Collection!$B:$B, "*" &amp; H$2 &amp; "*", Collection!$A:$A, "="&amp;$A41)</f>
        <v>0</v>
      </c>
      <c r="I41" s="118">
        <f>(SUMIFS('Bucket Counts'!$P:$P, 'Bucket Counts'!$D:$D, "*" &amp; I$2 &amp; "*", 'Bucket Counts'!$A:$A, "="&amp;$A41))</f>
        <v>0</v>
      </c>
      <c r="J41" s="398">
        <f>I38+SUM(H38:H41)</f>
        <v>9753.3333333333339</v>
      </c>
      <c r="K41" s="17">
        <f>SUMIFS(Collection!$O:$O, Collection!$B:$B, "*" &amp; K$2 &amp; "*", Collection!$A:$A, "="&amp;$A41)</f>
        <v>0</v>
      </c>
      <c r="L41" s="17">
        <f>(SUMIFS('Bucket Counts'!$P:$P, 'Bucket Counts'!$D:$D, "*" &amp; L$2 &amp; "*", 'Bucket Counts'!$A:$A, "="&amp;$A41))</f>
        <v>0</v>
      </c>
      <c r="M41" s="398">
        <f>L38+SUM(K38:K41)</f>
        <v>65695.555555555547</v>
      </c>
      <c r="N41" s="17">
        <f>SUMIFS(Collection!$O:$O, Collection!$B:$B, "*" &amp; N$2 &amp; "*", Collection!$A:$A, "="&amp;$A41)</f>
        <v>0</v>
      </c>
      <c r="O41" s="17">
        <f>(SUMIFS('Bucket Counts'!$P:$P, 'Bucket Counts'!$D:$D, "*" &amp; O$2 &amp; "*", 'Bucket Counts'!$A:$A, "="&amp;$A41))</f>
        <v>0</v>
      </c>
      <c r="P41" s="398">
        <f>O38+SUM(N38:N41)</f>
        <v>26591.666666666664</v>
      </c>
      <c r="Q41" s="17">
        <f>SUMIFS(Collection!$O:$O, Collection!$B:$B, "*" &amp; Q$2 &amp; "*", Collection!$A:$A, "="&amp;$A41)</f>
        <v>0</v>
      </c>
      <c r="R41" s="17">
        <f>(SUMIFS('Bucket Counts'!$P:$P, 'Bucket Counts'!$D:$D, "*" &amp; R$2 &amp; "*", 'Bucket Counts'!$A:$A, "="&amp;$A41))</f>
        <v>0</v>
      </c>
      <c r="S41" s="398">
        <f>R38+SUM(Q38:Q41)</f>
        <v>78433.333333333328</v>
      </c>
      <c r="T41" s="17">
        <f>SUMIFS(Collection!$O:$O, Collection!$B:$B, "*" &amp; T$2 &amp; "*", Collection!$A:$A, "="&amp;$A41)</f>
        <v>0</v>
      </c>
      <c r="U41" s="17">
        <f>(SUMIFS('Bucket Counts'!$P:$P, 'Bucket Counts'!$D:$D, "*" &amp; U$2 &amp; "*", 'Bucket Counts'!$A:$A, "="&amp;$A41))</f>
        <v>0</v>
      </c>
      <c r="V41" s="398">
        <f>U38+SUM(T38:T41)</f>
        <v>86901.666666666657</v>
      </c>
      <c r="W41" s="17">
        <f>SUMIFS(Collection!$O:$O, Collection!$B:$B, "*" &amp; W$2 &amp; "*", Collection!$A:$A, "="&amp;$A41)</f>
        <v>0</v>
      </c>
      <c r="X41" s="17">
        <f>(SUMIFS('Bucket Counts'!$P:$P, 'Bucket Counts'!$D:$D, "*" &amp; X$2 &amp; "*", 'Bucket Counts'!$A:$A, "="&amp;$A41))</f>
        <v>0</v>
      </c>
      <c r="Y41" s="398">
        <f>X38+SUM(W38:W41)</f>
        <v>23826.666666666668</v>
      </c>
      <c r="Z41" s="17">
        <f>SUMIFS(Collection!$O:$O, Collection!$B:$B, "*" &amp; Z$2 &amp; "*", Collection!$A:$A, "="&amp;$A41)</f>
        <v>0</v>
      </c>
      <c r="AA41" s="17">
        <f>(SUMIFS('Bucket Counts'!$P:$P, 'Bucket Counts'!$D:$D, "*" &amp; AA$2 &amp; "*", 'Bucket Counts'!$A:$A, "="&amp;$A41))</f>
        <v>0</v>
      </c>
      <c r="AB41" s="398">
        <f>AA38+SUM(Z38:Z41)</f>
        <v>44117.777777777781</v>
      </c>
      <c r="AC41" s="17">
        <f>SUMIFS(Collection!$O:$O, Collection!$B:$B, "*" &amp; AC$2 &amp; "*", Collection!$A:$A, "="&amp;$A41)</f>
        <v>0</v>
      </c>
      <c r="AD41" s="17">
        <f>(SUMIFS('Bucket Counts'!$P:$P, 'Bucket Counts'!$D:$D, "*" &amp; AD$2 &amp; "*", 'Bucket Counts'!$A:$A, "="&amp;$A41))</f>
        <v>0</v>
      </c>
      <c r="AE41" s="398">
        <f>AD38+SUM(AC38:AC41)</f>
        <v>86741.666666666672</v>
      </c>
      <c r="AF41" s="17">
        <f>SUMIFS(Collection!$O:$O, Collection!$B:$B, "*" &amp; AF$2 &amp; "*", Collection!$A:$A, "="&amp;$A41)</f>
        <v>0</v>
      </c>
      <c r="AG41" s="17">
        <f>(SUMIFS('Bucket Counts'!$P:$P, 'Bucket Counts'!$D:$D, "*" &amp; AG$2 &amp; "*", 'Bucket Counts'!$A:$A, "="&amp;$A41))</f>
        <v>0</v>
      </c>
      <c r="AH41" s="398">
        <f>AG38+SUM(AF38:AF41)</f>
        <v>28180</v>
      </c>
      <c r="AI41" s="17">
        <f>SUMIFS(Collection!$O:$O, Collection!$B:$B, "*" &amp; AI$2 &amp; "*", Collection!$A:$A, "="&amp;$A41)</f>
        <v>0</v>
      </c>
      <c r="AJ41" s="17">
        <f>(SUMIFS('Bucket Counts'!$P:$P, 'Bucket Counts'!$D:$D, "*" &amp; AJ$2 &amp; "*", 'Bucket Counts'!$A:$A, "="&amp;$A41))</f>
        <v>0</v>
      </c>
      <c r="AK41" s="398">
        <f>AJ38+SUM(AI38:AI41)</f>
        <v>89622.222222222234</v>
      </c>
      <c r="AL41" s="17">
        <f>SUMIFS(Collection!$O:$O, Collection!$B:$B, "*" &amp; AL$2 &amp; "*", Collection!$A:$A, "="&amp;$A41)</f>
        <v>0</v>
      </c>
      <c r="AM41" s="17">
        <f>(SUMIFS('Bucket Counts'!$P:$P, 'Bucket Counts'!$D:$D, "*" &amp; AM$2 &amp; "*", 'Bucket Counts'!$A:$A, "="&amp;$A41))</f>
        <v>0</v>
      </c>
      <c r="AN41" s="398">
        <f>AM38+SUM(AL38:AL41)</f>
        <v>27966.666666666664</v>
      </c>
      <c r="AO41" s="17">
        <f>SUMIFS(Collection!$O:$O, Collection!$B:$B, "*" &amp; AO$2 &amp; "*", Collection!$A:$A, "="&amp;$A41)</f>
        <v>0</v>
      </c>
      <c r="AP41" s="17">
        <f>(SUMIFS('Bucket Counts'!$P:$P, 'Bucket Counts'!$D:$D, "*" &amp; AP$2 &amp; "*", 'Bucket Counts'!$A:$A, "="&amp;$A41))</f>
        <v>0</v>
      </c>
      <c r="AQ41" s="398">
        <f>AP38+SUM(AO38:AO41)</f>
        <v>0</v>
      </c>
      <c r="AR41" s="17">
        <f>SUMIFS(Collection!$O:$O, Collection!$B:$B, "*" &amp; AR$2 &amp; "*", Collection!$A:$A, "="&amp;$A41)</f>
        <v>0</v>
      </c>
      <c r="AS41" s="17">
        <f>(SUMIFS('Bucket Counts'!$P:$P, 'Bucket Counts'!$D:$D, "*" &amp; AS$2 &amp; "*", 'Bucket Counts'!$A:$A, "="&amp;$A41))</f>
        <v>0</v>
      </c>
      <c r="AT41" s="398">
        <f>AS38+SUM(AR38:AR41)</f>
        <v>76113.333333333328</v>
      </c>
      <c r="AU41" s="17">
        <f>SUMIFS(Collection!$O:$O, Collection!$B:$B, "*" &amp; AU$2 &amp; "*", Collection!$A:$A, "="&amp;$A41)</f>
        <v>0</v>
      </c>
      <c r="AV41" s="17">
        <f>(SUMIFS('Bucket Counts'!$P:$P, 'Bucket Counts'!$D:$D, "*" &amp; AV$2 &amp; "*", 'Bucket Counts'!$A:$A, "="&amp;$A41))</f>
        <v>0</v>
      </c>
      <c r="AW41" s="398">
        <f>AV38+SUM(AU38:AU41)</f>
        <v>29233.333333333336</v>
      </c>
    </row>
    <row r="42" spans="1:49">
      <c r="A42" s="16">
        <f t="shared" si="0"/>
        <v>42912</v>
      </c>
      <c r="B42" s="397">
        <f>SUMIFS(Collection!$O:$O, Collection!$B:$B, "*" &amp; B$2 &amp; "*", Collection!$A:$A, "="&amp;$A42)</f>
        <v>0</v>
      </c>
      <c r="C42" s="118">
        <f>(SUMIFS('Bucket Counts'!$P:$P, 'Bucket Counts'!$D:$D, "*" &amp; C$2 &amp; "*", 'Bucket Counts'!$A:$A, "="&amp;$A42))</f>
        <v>10166.666666666666</v>
      </c>
      <c r="D42" s="398">
        <f>C42+B42</f>
        <v>10166.666666666666</v>
      </c>
      <c r="E42" s="397">
        <f>SUMIFS(Collection!$O:$O, Collection!$B:$B, "*" &amp; E$2 &amp; "*", Collection!$A:$A, "="&amp;$A42)</f>
        <v>0</v>
      </c>
      <c r="F42" s="118">
        <f>(SUMIFS('Bucket Counts'!$P:$P, 'Bucket Counts'!$D:$D, "*" &amp; F$2 &amp; "*", 'Bucket Counts'!$A:$A, "="&amp;$A42))</f>
        <v>0</v>
      </c>
      <c r="G42" s="398">
        <f>F42+E42</f>
        <v>0</v>
      </c>
      <c r="H42" s="397">
        <f>SUMIFS(Collection!$O:$O, Collection!$B:$B, "*" &amp; H$2 &amp; "*", Collection!$A:$A, "="&amp;$A42)</f>
        <v>0</v>
      </c>
      <c r="I42" s="118">
        <f>(SUMIFS('Bucket Counts'!$P:$P, 'Bucket Counts'!$D:$D, "*" &amp; I$2 &amp; "*", 'Bucket Counts'!$A:$A, "="&amp;$A42))</f>
        <v>4570</v>
      </c>
      <c r="J42" s="398">
        <f>I42+H42</f>
        <v>4570</v>
      </c>
      <c r="K42" s="17">
        <f>SUMIFS(Collection!$O:$O, Collection!$B:$B, "*" &amp; K$2 &amp; "*", Collection!$A:$A, "="&amp;$A42)</f>
        <v>0</v>
      </c>
      <c r="L42" s="17">
        <f>(SUMIFS('Bucket Counts'!$P:$P, 'Bucket Counts'!$D:$D, "*" &amp; L$2 &amp; "*", 'Bucket Counts'!$A:$A, "="&amp;$A42))</f>
        <v>48846.666666666672</v>
      </c>
      <c r="M42" s="398">
        <f>L42+K42</f>
        <v>48846.666666666672</v>
      </c>
      <c r="N42" s="17">
        <f>SUMIFS(Collection!$O:$O, Collection!$B:$B, "*" &amp; N$2 &amp; "*", Collection!$A:$A, "="&amp;$A42)</f>
        <v>0</v>
      </c>
      <c r="O42" s="17">
        <f>(SUMIFS('Bucket Counts'!$P:$P, 'Bucket Counts'!$D:$D, "*" &amp; O$2 &amp; "*", 'Bucket Counts'!$A:$A, "="&amp;$A42))</f>
        <v>450</v>
      </c>
      <c r="P42" s="398">
        <f>O42+N42</f>
        <v>450</v>
      </c>
      <c r="Q42" s="17">
        <f>SUMIFS(Collection!$O:$O, Collection!$B:$B, "*" &amp; Q$2 &amp; "*", Collection!$A:$A, "="&amp;$A42)</f>
        <v>0</v>
      </c>
      <c r="R42" s="17">
        <f>(SUMIFS('Bucket Counts'!$P:$P, 'Bucket Counts'!$D:$D, "*" &amp; R$2 &amp; "*", 'Bucket Counts'!$A:$A, "="&amp;$A42))</f>
        <v>0</v>
      </c>
      <c r="S42" s="398">
        <f>R42+Q42</f>
        <v>0</v>
      </c>
      <c r="T42" s="17">
        <f>SUMIFS(Collection!$O:$O, Collection!$B:$B, "*" &amp; T$2 &amp; "*", Collection!$A:$A, "="&amp;$A42)</f>
        <v>0</v>
      </c>
      <c r="U42" s="17">
        <f>(SUMIFS('Bucket Counts'!$P:$P, 'Bucket Counts'!$D:$D, "*" &amp; U$2 &amp; "*", 'Bucket Counts'!$A:$A, "="&amp;$A42))</f>
        <v>42900</v>
      </c>
      <c r="V42" s="398">
        <f>U42+T42</f>
        <v>42900</v>
      </c>
      <c r="W42" s="17">
        <f>SUMIFS(Collection!$O:$O, Collection!$B:$B, "*" &amp; W$2 &amp; "*", Collection!$A:$A, "="&amp;$A42)</f>
        <v>0</v>
      </c>
      <c r="X42" s="17">
        <f>(SUMIFS('Bucket Counts'!$P:$P, 'Bucket Counts'!$D:$D, "*" &amp; X$2 &amp; "*", 'Bucket Counts'!$A:$A, "="&amp;$A42))</f>
        <v>6210</v>
      </c>
      <c r="Y42" s="398">
        <f>X42+W42</f>
        <v>6210</v>
      </c>
      <c r="Z42" s="17">
        <f>SUMIFS(Collection!$O:$O, Collection!$B:$B, "*" &amp; Z$2 &amp; "*", Collection!$A:$A, "="&amp;$A42)</f>
        <v>0</v>
      </c>
      <c r="AA42" s="17">
        <f>(SUMIFS('Bucket Counts'!$P:$P, 'Bucket Counts'!$D:$D, "*" &amp; AA$2 &amp; "*", 'Bucket Counts'!$A:$A, "="&amp;$A42))</f>
        <v>28913.333333333336</v>
      </c>
      <c r="AB42" s="398">
        <f>AA42+Z42</f>
        <v>28913.333333333336</v>
      </c>
      <c r="AC42" s="17">
        <f>SUMIFS(Collection!$O:$O, Collection!$B:$B, "*" &amp; AC$2 &amp; "*", Collection!$A:$A, "="&amp;$A42)</f>
        <v>0</v>
      </c>
      <c r="AD42" s="17">
        <f>(SUMIFS('Bucket Counts'!$P:$P, 'Bucket Counts'!$D:$D, "*" &amp; AD$2 &amp; "*", 'Bucket Counts'!$A:$A, "="&amp;$A42))</f>
        <v>46803.333333333328</v>
      </c>
      <c r="AE42" s="398">
        <f>AD42+AC42</f>
        <v>46803.333333333328</v>
      </c>
      <c r="AF42" s="17">
        <f>SUMIFS(Collection!$O:$O, Collection!$B:$B, "*" &amp; AF$2 &amp; "*", Collection!$A:$A, "="&amp;$A42)</f>
        <v>0</v>
      </c>
      <c r="AG42" s="17">
        <f>(SUMIFS('Bucket Counts'!$P:$P, 'Bucket Counts'!$D:$D, "*" &amp; AG$2 &amp; "*", 'Bucket Counts'!$A:$A, "="&amp;$A42))</f>
        <v>27800</v>
      </c>
      <c r="AH42" s="398">
        <f>AG42+AF42</f>
        <v>27800</v>
      </c>
      <c r="AI42" s="17">
        <f>SUMIFS(Collection!$O:$O, Collection!$B:$B, "*" &amp; AI$2 &amp; "*", Collection!$A:$A, "="&amp;$A42)</f>
        <v>0</v>
      </c>
      <c r="AJ42" s="17">
        <f>(SUMIFS('Bucket Counts'!$P:$P, 'Bucket Counts'!$D:$D, "*" &amp; AJ$2 &amp; "*", 'Bucket Counts'!$A:$A, "="&amp;$A42))</f>
        <v>27298.333333333332</v>
      </c>
      <c r="AK42" s="398">
        <f>AJ42+AI42</f>
        <v>27298.333333333332</v>
      </c>
      <c r="AL42" s="17">
        <f>SUMIFS(Collection!$O:$O, Collection!$B:$B, "*" &amp; AL$2 &amp; "*", Collection!$A:$A, "="&amp;$A42)</f>
        <v>0</v>
      </c>
      <c r="AM42" s="17">
        <f>(SUMIFS('Bucket Counts'!$P:$P, 'Bucket Counts'!$D:$D, "*" &amp; AM$2 &amp; "*", 'Bucket Counts'!$A:$A, "="&amp;$A42))</f>
        <v>12756.666666666666</v>
      </c>
      <c r="AN42" s="398">
        <f>AM42+AL42</f>
        <v>12756.666666666666</v>
      </c>
      <c r="AO42" s="17">
        <f>SUMIFS(Collection!$O:$O, Collection!$B:$B, "*" &amp; AO$2 &amp; "*", Collection!$A:$A, "="&amp;$A42)</f>
        <v>0</v>
      </c>
      <c r="AP42" s="17">
        <f>(SUMIFS('Bucket Counts'!$P:$P, 'Bucket Counts'!$D:$D, "*" &amp; AP$2 &amp; "*", 'Bucket Counts'!$A:$A, "="&amp;$A42))</f>
        <v>0</v>
      </c>
      <c r="AQ42" s="398">
        <f>AP42+AO42</f>
        <v>0</v>
      </c>
      <c r="AR42" s="17">
        <f>SUMIFS(Collection!$O:$O, Collection!$B:$B, "*" &amp; AR$2 &amp; "*", Collection!$A:$A, "="&amp;$A42)</f>
        <v>0</v>
      </c>
      <c r="AS42" s="17">
        <f>(SUMIFS('Bucket Counts'!$P:$P, 'Bucket Counts'!$D:$D, "*" &amp; AS$2 &amp; "*", 'Bucket Counts'!$A:$A, "="&amp;$A42))</f>
        <v>45250</v>
      </c>
      <c r="AT42" s="398">
        <f>AS42+AR42</f>
        <v>45250</v>
      </c>
      <c r="AU42" s="17">
        <f>SUMIFS(Collection!$O:$O, Collection!$B:$B, "*" &amp; AU$2 &amp; "*", Collection!$A:$A, "="&amp;$A42)</f>
        <v>0</v>
      </c>
      <c r="AV42" s="17">
        <f>(SUMIFS('Bucket Counts'!$P:$P, 'Bucket Counts'!$D:$D, "*" &amp; AV$2 &amp; "*", 'Bucket Counts'!$A:$A, "="&amp;$A42))</f>
        <v>20500</v>
      </c>
      <c r="AW42" s="398">
        <f>AV42+AU42</f>
        <v>20500</v>
      </c>
    </row>
    <row r="43" spans="1:49">
      <c r="A43" s="16">
        <f t="shared" si="0"/>
        <v>42913</v>
      </c>
      <c r="B43" s="397">
        <f>SUMIFS(Collection!$O:$O, Collection!$B:$B, "*" &amp; B$2 &amp; "*", Collection!$A:$A, "="&amp;$A43)</f>
        <v>0</v>
      </c>
      <c r="C43" s="118">
        <f>(SUMIFS('Bucket Counts'!$P:$P, 'Bucket Counts'!$D:$D, "*" &amp; C$2 &amp; "*", 'Bucket Counts'!$A:$A, "="&amp;$A43))</f>
        <v>0</v>
      </c>
      <c r="D43" s="398">
        <f>C42+SUM(B42:B43)</f>
        <v>10166.666666666666</v>
      </c>
      <c r="E43" s="397">
        <f>SUMIFS(Collection!$O:$O, Collection!$B:$B, "*" &amp; E$2 &amp; "*", Collection!$A:$A, "="&amp;$A43)</f>
        <v>0</v>
      </c>
      <c r="F43" s="118">
        <f>(SUMIFS('Bucket Counts'!$P:$P, 'Bucket Counts'!$D:$D, "*" &amp; F$2 &amp; "*", 'Bucket Counts'!$A:$A, "="&amp;$A43))</f>
        <v>0</v>
      </c>
      <c r="G43" s="398">
        <f>F42+SUM(E42:E43)</f>
        <v>0</v>
      </c>
      <c r="H43" s="397">
        <f>SUMIFS(Collection!$O:$O, Collection!$B:$B, "*" &amp; H$2 &amp; "*", Collection!$A:$A, "="&amp;$A43)</f>
        <v>0</v>
      </c>
      <c r="I43" s="118">
        <f>(SUMIFS('Bucket Counts'!$P:$P, 'Bucket Counts'!$D:$D, "*" &amp; I$2 &amp; "*", 'Bucket Counts'!$A:$A, "="&amp;$A43))</f>
        <v>0</v>
      </c>
      <c r="J43" s="398">
        <f>I42+SUM(H42:H43)</f>
        <v>4570</v>
      </c>
      <c r="K43" s="17">
        <f>SUMIFS(Collection!$O:$O, Collection!$B:$B, "*" &amp; K$2 &amp; "*", Collection!$A:$A, "="&amp;$A43)</f>
        <v>0</v>
      </c>
      <c r="L43" s="17">
        <f>(SUMIFS('Bucket Counts'!$P:$P, 'Bucket Counts'!$D:$D, "*" &amp; L$2 &amp; "*", 'Bucket Counts'!$A:$A, "="&amp;$A43))</f>
        <v>0</v>
      </c>
      <c r="M43" s="398">
        <f>L42+SUM(K42:K43)</f>
        <v>48846.666666666672</v>
      </c>
      <c r="N43" s="17">
        <f>SUMIFS(Collection!$O:$O, Collection!$B:$B, "*" &amp; N$2 &amp; "*", Collection!$A:$A, "="&amp;$A43)</f>
        <v>0</v>
      </c>
      <c r="O43" s="17">
        <f>(SUMIFS('Bucket Counts'!$P:$P, 'Bucket Counts'!$D:$D, "*" &amp; O$2 &amp; "*", 'Bucket Counts'!$A:$A, "="&amp;$A43))</f>
        <v>0</v>
      </c>
      <c r="P43" s="398">
        <f>O42+SUM(N42:N43)</f>
        <v>450</v>
      </c>
      <c r="Q43" s="17">
        <f>SUMIFS(Collection!$O:$O, Collection!$B:$B, "*" &amp; Q$2 &amp; "*", Collection!$A:$A, "="&amp;$A43)</f>
        <v>0</v>
      </c>
      <c r="R43" s="17">
        <f>(SUMIFS('Bucket Counts'!$P:$P, 'Bucket Counts'!$D:$D, "*" &amp; R$2 &amp; "*", 'Bucket Counts'!$A:$A, "="&amp;$A43))</f>
        <v>0</v>
      </c>
      <c r="S43" s="398">
        <f>R42+SUM(Q42:Q43)</f>
        <v>0</v>
      </c>
      <c r="T43" s="17">
        <f>SUMIFS(Collection!$O:$O, Collection!$B:$B, "*" &amp; T$2 &amp; "*", Collection!$A:$A, "="&amp;$A43)</f>
        <v>0</v>
      </c>
      <c r="U43" s="17">
        <f>(SUMIFS('Bucket Counts'!$P:$P, 'Bucket Counts'!$D:$D, "*" &amp; U$2 &amp; "*", 'Bucket Counts'!$A:$A, "="&amp;$A43))</f>
        <v>0</v>
      </c>
      <c r="V43" s="398">
        <f>U42+SUM(T42:T43)</f>
        <v>42900</v>
      </c>
      <c r="W43" s="17">
        <f>SUMIFS(Collection!$O:$O, Collection!$B:$B, "*" &amp; W$2 &amp; "*", Collection!$A:$A, "="&amp;$A43)</f>
        <v>0</v>
      </c>
      <c r="X43" s="17">
        <f>(SUMIFS('Bucket Counts'!$P:$P, 'Bucket Counts'!$D:$D, "*" &amp; X$2 &amp; "*", 'Bucket Counts'!$A:$A, "="&amp;$A43))</f>
        <v>0</v>
      </c>
      <c r="Y43" s="398">
        <f>X42+SUM(W42:W43)</f>
        <v>6210</v>
      </c>
      <c r="Z43" s="17">
        <f>SUMIFS(Collection!$O:$O, Collection!$B:$B, "*" &amp; Z$2 &amp; "*", Collection!$A:$A, "="&amp;$A43)</f>
        <v>0</v>
      </c>
      <c r="AA43" s="17">
        <f>(SUMIFS('Bucket Counts'!$P:$P, 'Bucket Counts'!$D:$D, "*" &amp; AA$2 &amp; "*", 'Bucket Counts'!$A:$A, "="&amp;$A43))</f>
        <v>0</v>
      </c>
      <c r="AB43" s="398">
        <f>AA42+SUM(Z42:Z43)</f>
        <v>28913.333333333336</v>
      </c>
      <c r="AC43" s="17">
        <f>SUMIFS(Collection!$O:$O, Collection!$B:$B, "*" &amp; AC$2 &amp; "*", Collection!$A:$A, "="&amp;$A43)</f>
        <v>0</v>
      </c>
      <c r="AD43" s="17">
        <f>(SUMIFS('Bucket Counts'!$P:$P, 'Bucket Counts'!$D:$D, "*" &amp; AD$2 &amp; "*", 'Bucket Counts'!$A:$A, "="&amp;$A43))</f>
        <v>0</v>
      </c>
      <c r="AE43" s="398">
        <f>AD42+SUM(AC42:AC43)</f>
        <v>46803.333333333328</v>
      </c>
      <c r="AF43" s="17">
        <f>SUMIFS(Collection!$O:$O, Collection!$B:$B, "*" &amp; AF$2 &amp; "*", Collection!$A:$A, "="&amp;$A43)</f>
        <v>0</v>
      </c>
      <c r="AG43" s="17">
        <f>(SUMIFS('Bucket Counts'!$P:$P, 'Bucket Counts'!$D:$D, "*" &amp; AG$2 &amp; "*", 'Bucket Counts'!$A:$A, "="&amp;$A43))</f>
        <v>0</v>
      </c>
      <c r="AH43" s="398">
        <f>AG42+SUM(AF42:AF43)</f>
        <v>27800</v>
      </c>
      <c r="AI43" s="17">
        <f>SUMIFS(Collection!$O:$O, Collection!$B:$B, "*" &amp; AI$2 &amp; "*", Collection!$A:$A, "="&amp;$A43)</f>
        <v>0</v>
      </c>
      <c r="AJ43" s="17">
        <f>(SUMIFS('Bucket Counts'!$P:$P, 'Bucket Counts'!$D:$D, "*" &amp; AJ$2 &amp; "*", 'Bucket Counts'!$A:$A, "="&amp;$A43))</f>
        <v>0</v>
      </c>
      <c r="AK43" s="398">
        <f>AJ42+SUM(AI42:AI43)</f>
        <v>27298.333333333332</v>
      </c>
      <c r="AL43" s="17">
        <f>SUMIFS(Collection!$O:$O, Collection!$B:$B, "*" &amp; AL$2 &amp; "*", Collection!$A:$A, "="&amp;$A43)</f>
        <v>0</v>
      </c>
      <c r="AM43" s="17">
        <f>(SUMIFS('Bucket Counts'!$P:$P, 'Bucket Counts'!$D:$D, "*" &amp; AM$2 &amp; "*", 'Bucket Counts'!$A:$A, "="&amp;$A43))</f>
        <v>0</v>
      </c>
      <c r="AN43" s="398">
        <f>AM42+SUM(AL42:AL43)</f>
        <v>12756.666666666666</v>
      </c>
      <c r="AO43" s="17">
        <f>SUMIFS(Collection!$O:$O, Collection!$B:$B, "*" &amp; AO$2 &amp; "*", Collection!$A:$A, "="&amp;$A43)</f>
        <v>0</v>
      </c>
      <c r="AP43" s="17">
        <f>(SUMIFS('Bucket Counts'!$P:$P, 'Bucket Counts'!$D:$D, "*" &amp; AP$2 &amp; "*", 'Bucket Counts'!$A:$A, "="&amp;$A43))</f>
        <v>0</v>
      </c>
      <c r="AQ43" s="398">
        <f>AP42+SUM(AO42:AO43)</f>
        <v>0</v>
      </c>
      <c r="AR43" s="17">
        <f>SUMIFS(Collection!$O:$O, Collection!$B:$B, "*" &amp; AR$2 &amp; "*", Collection!$A:$A, "="&amp;$A43)</f>
        <v>0</v>
      </c>
      <c r="AS43" s="17">
        <f>(SUMIFS('Bucket Counts'!$P:$P, 'Bucket Counts'!$D:$D, "*" &amp; AS$2 &amp; "*", 'Bucket Counts'!$A:$A, "="&amp;$A43))</f>
        <v>0</v>
      </c>
      <c r="AT43" s="398">
        <f>AS42+SUM(AR42:AR43)</f>
        <v>45250</v>
      </c>
      <c r="AU43" s="17">
        <f>SUMIFS(Collection!$O:$O, Collection!$B:$B, "*" &amp; AU$2 &amp; "*", Collection!$A:$A, "="&amp;$A43)</f>
        <v>0</v>
      </c>
      <c r="AV43" s="17">
        <f>(SUMIFS('Bucket Counts'!$P:$P, 'Bucket Counts'!$D:$D, "*" &amp; AV$2 &amp; "*", 'Bucket Counts'!$A:$A, "="&amp;$A43))</f>
        <v>0</v>
      </c>
      <c r="AW43" s="398">
        <f>AV42+SUM(AU42:AU43)</f>
        <v>20500</v>
      </c>
    </row>
    <row r="44" spans="1:49">
      <c r="A44" s="16">
        <f t="shared" si="0"/>
        <v>42914</v>
      </c>
      <c r="B44" s="397">
        <f>SUMIFS(Collection!$O:$O, Collection!$B:$B, "*" &amp; B$2 &amp; "*", Collection!$A:$A, "="&amp;$A44)</f>
        <v>0</v>
      </c>
      <c r="C44" s="118">
        <f>(SUMIFS('Bucket Counts'!$P:$P, 'Bucket Counts'!$D:$D, "*" &amp; C$2 &amp; "*", 'Bucket Counts'!$A:$A, "="&amp;$A44))</f>
        <v>0</v>
      </c>
      <c r="D44" s="398">
        <f>C42+SUM(B42:B44)</f>
        <v>10166.666666666666</v>
      </c>
      <c r="E44" s="397">
        <f>SUMIFS(Collection!$O:$O, Collection!$B:$B, "*" &amp; E$2 &amp; "*", Collection!$A:$A, "="&amp;$A44)</f>
        <v>0</v>
      </c>
      <c r="F44" s="118">
        <f>(SUMIFS('Bucket Counts'!$P:$P, 'Bucket Counts'!$D:$D, "*" &amp; F$2 &amp; "*", 'Bucket Counts'!$A:$A, "="&amp;$A44))</f>
        <v>0</v>
      </c>
      <c r="G44" s="398">
        <f>F42+SUM(E42:E44)</f>
        <v>0</v>
      </c>
      <c r="H44" s="397">
        <f>SUMIFS(Collection!$O:$O, Collection!$B:$B, "*" &amp; H$2 &amp; "*", Collection!$A:$A, "="&amp;$A44)</f>
        <v>0</v>
      </c>
      <c r="I44" s="118">
        <f>(SUMIFS('Bucket Counts'!$P:$P, 'Bucket Counts'!$D:$D, "*" &amp; I$2 &amp; "*", 'Bucket Counts'!$A:$A, "="&amp;$A44))</f>
        <v>0</v>
      </c>
      <c r="J44" s="398">
        <f>I42+SUM(H42:H44)</f>
        <v>4570</v>
      </c>
      <c r="K44" s="17">
        <f>SUMIFS(Collection!$O:$O, Collection!$B:$B, "*" &amp; K$2 &amp; "*", Collection!$A:$A, "="&amp;$A44)</f>
        <v>0</v>
      </c>
      <c r="L44" s="17">
        <f>(SUMIFS('Bucket Counts'!$P:$P, 'Bucket Counts'!$D:$D, "*" &amp; L$2 &amp; "*", 'Bucket Counts'!$A:$A, "="&amp;$A44))</f>
        <v>0</v>
      </c>
      <c r="M44" s="398">
        <f>L42+SUM(K42:K44)</f>
        <v>48846.666666666672</v>
      </c>
      <c r="N44" s="17">
        <f>SUMIFS(Collection!$O:$O, Collection!$B:$B, "*" &amp; N$2 &amp; "*", Collection!$A:$A, "="&amp;$A44)</f>
        <v>0</v>
      </c>
      <c r="O44" s="17">
        <f>(SUMIFS('Bucket Counts'!$P:$P, 'Bucket Counts'!$D:$D, "*" &amp; O$2 &amp; "*", 'Bucket Counts'!$A:$A, "="&amp;$A44))</f>
        <v>0</v>
      </c>
      <c r="P44" s="398">
        <f>O42+SUM(N42:N44)</f>
        <v>450</v>
      </c>
      <c r="Q44" s="17">
        <f>SUMIFS(Collection!$O:$O, Collection!$B:$B, "*" &amp; Q$2 &amp; "*", Collection!$A:$A, "="&amp;$A44)</f>
        <v>0</v>
      </c>
      <c r="R44" s="17">
        <f>(SUMIFS('Bucket Counts'!$P:$P, 'Bucket Counts'!$D:$D, "*" &amp; R$2 &amp; "*", 'Bucket Counts'!$A:$A, "="&amp;$A44))</f>
        <v>0</v>
      </c>
      <c r="S44" s="398">
        <f>R42+SUM(Q42:Q44)</f>
        <v>0</v>
      </c>
      <c r="T44" s="17">
        <f>SUMIFS(Collection!$O:$O, Collection!$B:$B, "*" &amp; T$2 &amp; "*", Collection!$A:$A, "="&amp;$A44)</f>
        <v>0</v>
      </c>
      <c r="U44" s="17">
        <f>(SUMIFS('Bucket Counts'!$P:$P, 'Bucket Counts'!$D:$D, "*" &amp; U$2 &amp; "*", 'Bucket Counts'!$A:$A, "="&amp;$A44))</f>
        <v>0</v>
      </c>
      <c r="V44" s="398">
        <f>U42+SUM(T42:T44)</f>
        <v>42900</v>
      </c>
      <c r="W44" s="17">
        <f>SUMIFS(Collection!$O:$O, Collection!$B:$B, "*" &amp; W$2 &amp; "*", Collection!$A:$A, "="&amp;$A44)</f>
        <v>0</v>
      </c>
      <c r="X44" s="17">
        <f>(SUMIFS('Bucket Counts'!$P:$P, 'Bucket Counts'!$D:$D, "*" &amp; X$2 &amp; "*", 'Bucket Counts'!$A:$A, "="&amp;$A44))</f>
        <v>0</v>
      </c>
      <c r="Y44" s="398">
        <f>X42+SUM(W42:W44)</f>
        <v>6210</v>
      </c>
      <c r="Z44" s="17">
        <f>SUMIFS(Collection!$O:$O, Collection!$B:$B, "*" &amp; Z$2 &amp; "*", Collection!$A:$A, "="&amp;$A44)</f>
        <v>0</v>
      </c>
      <c r="AA44" s="17">
        <f>(SUMIFS('Bucket Counts'!$P:$P, 'Bucket Counts'!$D:$D, "*" &amp; AA$2 &amp; "*", 'Bucket Counts'!$A:$A, "="&amp;$A44))</f>
        <v>0</v>
      </c>
      <c r="AB44" s="398">
        <f>AA42+SUM(Z42:Z44)</f>
        <v>28913.333333333336</v>
      </c>
      <c r="AC44" s="17">
        <f>SUMIFS(Collection!$O:$O, Collection!$B:$B, "*" &amp; AC$2 &amp; "*", Collection!$A:$A, "="&amp;$A44)</f>
        <v>0</v>
      </c>
      <c r="AD44" s="17">
        <f>(SUMIFS('Bucket Counts'!$P:$P, 'Bucket Counts'!$D:$D, "*" &amp; AD$2 &amp; "*", 'Bucket Counts'!$A:$A, "="&amp;$A44))</f>
        <v>0</v>
      </c>
      <c r="AE44" s="398">
        <f>AD42+SUM(AC42:AC44)</f>
        <v>46803.333333333328</v>
      </c>
      <c r="AF44" s="17">
        <f>SUMIFS(Collection!$O:$O, Collection!$B:$B, "*" &amp; AF$2 &amp; "*", Collection!$A:$A, "="&amp;$A44)</f>
        <v>0</v>
      </c>
      <c r="AG44" s="17">
        <f>(SUMIFS('Bucket Counts'!$P:$P, 'Bucket Counts'!$D:$D, "*" &amp; AG$2 &amp; "*", 'Bucket Counts'!$A:$A, "="&amp;$A44))</f>
        <v>0</v>
      </c>
      <c r="AH44" s="398">
        <f>AG42+SUM(AF42:AF44)</f>
        <v>27800</v>
      </c>
      <c r="AI44" s="17">
        <f>SUMIFS(Collection!$O:$O, Collection!$B:$B, "*" &amp; AI$2 &amp; "*", Collection!$A:$A, "="&amp;$A44)</f>
        <v>0</v>
      </c>
      <c r="AJ44" s="17">
        <f>(SUMIFS('Bucket Counts'!$P:$P, 'Bucket Counts'!$D:$D, "*" &amp; AJ$2 &amp; "*", 'Bucket Counts'!$A:$A, "="&amp;$A44))</f>
        <v>0</v>
      </c>
      <c r="AK44" s="398">
        <f>AJ42+SUM(AI42:AI44)</f>
        <v>27298.333333333332</v>
      </c>
      <c r="AL44" s="17">
        <f>SUMIFS(Collection!$O:$O, Collection!$B:$B, "*" &amp; AL$2 &amp; "*", Collection!$A:$A, "="&amp;$A44)</f>
        <v>0</v>
      </c>
      <c r="AM44" s="17">
        <f>(SUMIFS('Bucket Counts'!$P:$P, 'Bucket Counts'!$D:$D, "*" &amp; AM$2 &amp; "*", 'Bucket Counts'!$A:$A, "="&amp;$A44))</f>
        <v>0</v>
      </c>
      <c r="AN44" s="398">
        <f>AM42+SUM(AL42:AL44)</f>
        <v>12756.666666666666</v>
      </c>
      <c r="AO44" s="17">
        <f>SUMIFS(Collection!$O:$O, Collection!$B:$B, "*" &amp; AO$2 &amp; "*", Collection!$A:$A, "="&amp;$A44)</f>
        <v>0</v>
      </c>
      <c r="AP44" s="17">
        <f>(SUMIFS('Bucket Counts'!$P:$P, 'Bucket Counts'!$D:$D, "*" &amp; AP$2 &amp; "*", 'Bucket Counts'!$A:$A, "="&amp;$A44))</f>
        <v>0</v>
      </c>
      <c r="AQ44" s="398">
        <f>AP42+SUM(AO42:AO44)</f>
        <v>0</v>
      </c>
      <c r="AR44" s="17">
        <f>SUMIFS(Collection!$O:$O, Collection!$B:$B, "*" &amp; AR$2 &amp; "*", Collection!$A:$A, "="&amp;$A44)</f>
        <v>0</v>
      </c>
      <c r="AS44" s="17">
        <f>(SUMIFS('Bucket Counts'!$P:$P, 'Bucket Counts'!$D:$D, "*" &amp; AS$2 &amp; "*", 'Bucket Counts'!$A:$A, "="&amp;$A44))</f>
        <v>0</v>
      </c>
      <c r="AT44" s="398">
        <f>AS42+SUM(AR42:AR44)</f>
        <v>45250</v>
      </c>
      <c r="AU44" s="17">
        <f>SUMIFS(Collection!$O:$O, Collection!$B:$B, "*" &amp; AU$2 &amp; "*", Collection!$A:$A, "="&amp;$A44)</f>
        <v>0</v>
      </c>
      <c r="AV44" s="17">
        <f>(SUMIFS('Bucket Counts'!$P:$P, 'Bucket Counts'!$D:$D, "*" &amp; AV$2 &amp; "*", 'Bucket Counts'!$A:$A, "="&amp;$A44))</f>
        <v>0</v>
      </c>
      <c r="AW44" s="398">
        <f>AV42+SUM(AU42:AU44)</f>
        <v>20500</v>
      </c>
    </row>
    <row r="45" spans="1:49">
      <c r="A45" s="16">
        <f t="shared" si="0"/>
        <v>42915</v>
      </c>
      <c r="B45" s="397">
        <f>SUMIFS(Collection!$O:$O, Collection!$B:$B, "*" &amp; B$2 &amp; "*", Collection!$A:$A, "="&amp;$A45)</f>
        <v>0</v>
      </c>
      <c r="C45" s="118">
        <f>(SUMIFS('Bucket Counts'!$P:$P, 'Bucket Counts'!$D:$D, "*" &amp; C$2 &amp; "*", 'Bucket Counts'!$A:$A, "="&amp;$A45))</f>
        <v>21619.999999999996</v>
      </c>
      <c r="D45" s="398">
        <f>C45+B45</f>
        <v>21619.999999999996</v>
      </c>
      <c r="E45" s="397">
        <f>SUMIFS(Collection!$O:$O, Collection!$B:$B, "*" &amp; E$2 &amp; "*", Collection!$A:$A, "="&amp;$A45)</f>
        <v>0</v>
      </c>
      <c r="F45" s="118">
        <f>(SUMIFS('Bucket Counts'!$P:$P, 'Bucket Counts'!$D:$D, "*" &amp; F$2 &amp; "*", 'Bucket Counts'!$A:$A, "="&amp;$A45))</f>
        <v>0</v>
      </c>
      <c r="G45" s="398">
        <f>F45+E45</f>
        <v>0</v>
      </c>
      <c r="H45" s="397">
        <f>SUMIFS(Collection!$O:$O, Collection!$B:$B, "*" &amp; H$2 &amp; "*", Collection!$A:$A, "="&amp;$A45)</f>
        <v>0</v>
      </c>
      <c r="I45" s="118">
        <f>(SUMIFS('Bucket Counts'!$P:$P, 'Bucket Counts'!$D:$D, "*" &amp; I$2 &amp; "*", 'Bucket Counts'!$A:$A, "="&amp;$A45))</f>
        <v>2250</v>
      </c>
      <c r="J45" s="398">
        <f>I45+H45</f>
        <v>2250</v>
      </c>
      <c r="K45" s="17">
        <f>SUMIFS(Collection!$O:$O, Collection!$B:$B, "*" &amp; K$2 &amp; "*", Collection!$A:$A, "="&amp;$A45)</f>
        <v>0</v>
      </c>
      <c r="L45" s="17">
        <f>(SUMIFS('Bucket Counts'!$P:$P, 'Bucket Counts'!$D:$D, "*" &amp; L$2 &amp; "*", 'Bucket Counts'!$A:$A, "="&amp;$A45))</f>
        <v>32100</v>
      </c>
      <c r="M45" s="398">
        <f>L45+K45</f>
        <v>32100</v>
      </c>
      <c r="N45" s="17">
        <f>SUMIFS(Collection!$O:$O, Collection!$B:$B, "*" &amp; N$2 &amp; "*", Collection!$A:$A, "="&amp;$A45)</f>
        <v>0</v>
      </c>
      <c r="O45" s="17">
        <f>(SUMIFS('Bucket Counts'!$P:$P, 'Bucket Counts'!$D:$D, "*" &amp; O$2 &amp; "*", 'Bucket Counts'!$A:$A, "="&amp;$A45))</f>
        <v>1886.6666666666667</v>
      </c>
      <c r="P45" s="398">
        <f>O45+N45</f>
        <v>1886.6666666666667</v>
      </c>
      <c r="Q45" s="17">
        <f>SUMIFS(Collection!$O:$O, Collection!$B:$B, "*" &amp; Q$2 &amp; "*", Collection!$A:$A, "="&amp;$A45)</f>
        <v>0</v>
      </c>
      <c r="R45" s="17">
        <f>(SUMIFS('Bucket Counts'!$P:$P, 'Bucket Counts'!$D:$D, "*" &amp; R$2 &amp; "*", 'Bucket Counts'!$A:$A, "="&amp;$A45))</f>
        <v>0</v>
      </c>
      <c r="S45" s="398">
        <f>R45+Q45</f>
        <v>0</v>
      </c>
      <c r="T45" s="17">
        <f>SUMIFS(Collection!$O:$O, Collection!$B:$B, "*" &amp; T$2 &amp; "*", Collection!$A:$A, "="&amp;$A45)</f>
        <v>0</v>
      </c>
      <c r="U45" s="17">
        <f>(SUMIFS('Bucket Counts'!$P:$P, 'Bucket Counts'!$D:$D, "*" &amp; U$2 &amp; "*", 'Bucket Counts'!$A:$A, "="&amp;$A45))</f>
        <v>7516.6666666666661</v>
      </c>
      <c r="V45" s="398">
        <f>U45+T45</f>
        <v>7516.6666666666661</v>
      </c>
      <c r="W45" s="17">
        <f>SUMIFS(Collection!$O:$O, Collection!$B:$B, "*" &amp; W$2 &amp; "*", Collection!$A:$A, "="&amp;$A45)</f>
        <v>0</v>
      </c>
      <c r="X45" s="17">
        <f>(SUMIFS('Bucket Counts'!$P:$P, 'Bucket Counts'!$D:$D, "*" &amp; X$2 &amp; "*", 'Bucket Counts'!$A:$A, "="&amp;$A45))</f>
        <v>2668.3333333333335</v>
      </c>
      <c r="Y45" s="398">
        <f>X45+W45</f>
        <v>2668.3333333333335</v>
      </c>
      <c r="Z45" s="17">
        <f>SUMIFS(Collection!$O:$O, Collection!$B:$B, "*" &amp; Z$2 &amp; "*", Collection!$A:$A, "="&amp;$A45)</f>
        <v>73800</v>
      </c>
      <c r="AA45" s="17">
        <f>(SUMIFS('Bucket Counts'!$P:$P, 'Bucket Counts'!$D:$D, "*" &amp; AA$2 &amp; "*", 'Bucket Counts'!$A:$A, "="&amp;$A45))</f>
        <v>12166.666666666668</v>
      </c>
      <c r="AB45" s="398">
        <f>AA45+Z45</f>
        <v>85966.666666666672</v>
      </c>
      <c r="AC45" s="17">
        <f>SUMIFS(Collection!$O:$O, Collection!$B:$B, "*" &amp; AC$2 &amp; "*", Collection!$A:$A, "="&amp;$A45)</f>
        <v>0</v>
      </c>
      <c r="AD45" s="17">
        <f>(SUMIFS('Bucket Counts'!$P:$P, 'Bucket Counts'!$D:$D, "*" &amp; AD$2 &amp; "*", 'Bucket Counts'!$A:$A, "="&amp;$A45))</f>
        <v>12756.666666666666</v>
      </c>
      <c r="AE45" s="398">
        <f>AD45+AC45</f>
        <v>12756.666666666666</v>
      </c>
      <c r="AF45" s="17">
        <f>SUMIFS(Collection!$O:$O, Collection!$B:$B, "*" &amp; AF$2 &amp; "*", Collection!$A:$A, "="&amp;$A45)</f>
        <v>0</v>
      </c>
      <c r="AG45" s="17">
        <f>(SUMIFS('Bucket Counts'!$P:$P, 'Bucket Counts'!$D:$D, "*" &amp; AG$2 &amp; "*", 'Bucket Counts'!$A:$A, "="&amp;$A45))</f>
        <v>19116.666666666668</v>
      </c>
      <c r="AH45" s="398">
        <f>AG45+AF45</f>
        <v>19116.666666666668</v>
      </c>
      <c r="AI45" s="17">
        <f>SUMIFS(Collection!$O:$O, Collection!$B:$B, "*" &amp; AI$2 &amp; "*", Collection!$A:$A, "="&amp;$A45)</f>
        <v>0</v>
      </c>
      <c r="AJ45" s="17">
        <f>(SUMIFS('Bucket Counts'!$P:$P, 'Bucket Counts'!$D:$D, "*" &amp; AJ$2 &amp; "*", 'Bucket Counts'!$A:$A, "="&amp;$A45))</f>
        <v>44716.666666666672</v>
      </c>
      <c r="AK45" s="398">
        <f>AJ45+AI45</f>
        <v>44716.666666666672</v>
      </c>
      <c r="AL45" s="17">
        <f>SUMIFS(Collection!$O:$O, Collection!$B:$B, "*" &amp; AL$2 &amp; "*", Collection!$A:$A, "="&amp;$A45)</f>
        <v>0</v>
      </c>
      <c r="AM45" s="17">
        <f>(SUMIFS('Bucket Counts'!$P:$P, 'Bucket Counts'!$D:$D, "*" &amp; AM$2 &amp; "*", 'Bucket Counts'!$A:$A, "="&amp;$A45))</f>
        <v>7763.333333333333</v>
      </c>
      <c r="AN45" s="398">
        <f>AM45+AL45</f>
        <v>7763.333333333333</v>
      </c>
      <c r="AO45" s="17">
        <f>SUMIFS(Collection!$O:$O, Collection!$B:$B, "*" &amp; AO$2 &amp; "*", Collection!$A:$A, "="&amp;$A45)</f>
        <v>0</v>
      </c>
      <c r="AP45" s="17">
        <f>(SUMIFS('Bucket Counts'!$P:$P, 'Bucket Counts'!$D:$D, "*" &amp; AP$2 &amp; "*", 'Bucket Counts'!$A:$A, "="&amp;$A45))</f>
        <v>0</v>
      </c>
      <c r="AQ45" s="398">
        <f>AP45+AO45</f>
        <v>0</v>
      </c>
      <c r="AR45" s="17">
        <f>SUMIFS(Collection!$O:$O, Collection!$B:$B, "*" &amp; AR$2 &amp; "*", Collection!$A:$A, "="&amp;$A45)</f>
        <v>0</v>
      </c>
      <c r="AS45" s="17">
        <f>(SUMIFS('Bucket Counts'!$P:$P, 'Bucket Counts'!$D:$D, "*" &amp; AS$2 &amp; "*", 'Bucket Counts'!$A:$A, "="&amp;$A45))</f>
        <v>49946.666666666664</v>
      </c>
      <c r="AT45" s="398">
        <f>AS45+AR45</f>
        <v>49946.666666666664</v>
      </c>
      <c r="AU45" s="17">
        <f>SUMIFS(Collection!$O:$O, Collection!$B:$B, "*" &amp; AU$2 &amp; "*", Collection!$A:$A, "="&amp;$A45)</f>
        <v>0</v>
      </c>
      <c r="AV45" s="17">
        <f>(SUMIFS('Bucket Counts'!$P:$P, 'Bucket Counts'!$D:$D, "*" &amp; AV$2 &amp; "*", 'Bucket Counts'!$A:$A, "="&amp;$A45))</f>
        <v>23533.333333333332</v>
      </c>
      <c r="AW45" s="398">
        <f>AV45+AU45</f>
        <v>23533.333333333332</v>
      </c>
    </row>
    <row r="46" spans="1:49">
      <c r="A46" s="16">
        <f t="shared" si="0"/>
        <v>42916</v>
      </c>
      <c r="B46" s="397">
        <f>SUMIFS(Collection!$O:$O, Collection!$B:$B, "*" &amp; B$2 &amp; "*", Collection!$A:$A, "="&amp;$A46)</f>
        <v>0</v>
      </c>
      <c r="C46" s="118">
        <f>(SUMIFS('Bucket Counts'!$P:$P, 'Bucket Counts'!$D:$D, "*" &amp; C$2 &amp; "*", 'Bucket Counts'!$A:$A, "="&amp;$A46))</f>
        <v>0</v>
      </c>
      <c r="D46" s="398">
        <f>C45+SUM(B45:B46)</f>
        <v>21619.999999999996</v>
      </c>
      <c r="E46" s="397">
        <f>SUMIFS(Collection!$O:$O, Collection!$B:$B, "*" &amp; E$2 &amp; "*", Collection!$A:$A, "="&amp;$A46)</f>
        <v>0</v>
      </c>
      <c r="F46" s="118">
        <f>(SUMIFS('Bucket Counts'!$P:$P, 'Bucket Counts'!$D:$D, "*" &amp; F$2 &amp; "*", 'Bucket Counts'!$A:$A, "="&amp;$A46))</f>
        <v>0</v>
      </c>
      <c r="G46" s="398">
        <f>F45+SUM(E45:E46)</f>
        <v>0</v>
      </c>
      <c r="H46" s="397">
        <f>SUMIFS(Collection!$O:$O, Collection!$B:$B, "*" &amp; H$2 &amp; "*", Collection!$A:$A, "="&amp;$A46)</f>
        <v>0</v>
      </c>
      <c r="I46" s="118">
        <f>(SUMIFS('Bucket Counts'!$P:$P, 'Bucket Counts'!$D:$D, "*" &amp; I$2 &amp; "*", 'Bucket Counts'!$A:$A, "="&amp;$A46))</f>
        <v>0</v>
      </c>
      <c r="J46" s="398">
        <f>I45+SUM(H45:H46)</f>
        <v>2250</v>
      </c>
      <c r="K46" s="17">
        <f>SUMIFS(Collection!$O:$O, Collection!$B:$B, "*" &amp; K$2 &amp; "*", Collection!$A:$A, "="&amp;$A46)</f>
        <v>0</v>
      </c>
      <c r="L46" s="17">
        <f>(SUMIFS('Bucket Counts'!$P:$P, 'Bucket Counts'!$D:$D, "*" &amp; L$2 &amp; "*", 'Bucket Counts'!$A:$A, "="&amp;$A46))</f>
        <v>0</v>
      </c>
      <c r="M46" s="398">
        <f>L45+SUM(K45:K46)</f>
        <v>32100</v>
      </c>
      <c r="N46" s="17">
        <f>SUMIFS(Collection!$O:$O, Collection!$B:$B, "*" &amp; N$2 &amp; "*", Collection!$A:$A, "="&amp;$A46)</f>
        <v>0</v>
      </c>
      <c r="O46" s="17">
        <f>(SUMIFS('Bucket Counts'!$P:$P, 'Bucket Counts'!$D:$D, "*" &amp; O$2 &amp; "*", 'Bucket Counts'!$A:$A, "="&amp;$A46))</f>
        <v>0</v>
      </c>
      <c r="P46" s="398">
        <f>O45+SUM(N45:N46)</f>
        <v>1886.6666666666667</v>
      </c>
      <c r="Q46" s="17">
        <f>SUMIFS(Collection!$O:$O, Collection!$B:$B, "*" &amp; Q$2 &amp; "*", Collection!$A:$A, "="&amp;$A46)</f>
        <v>0</v>
      </c>
      <c r="R46" s="17">
        <f>(SUMIFS('Bucket Counts'!$P:$P, 'Bucket Counts'!$D:$D, "*" &amp; R$2 &amp; "*", 'Bucket Counts'!$A:$A, "="&amp;$A46))</f>
        <v>0</v>
      </c>
      <c r="S46" s="398">
        <f>R45+SUM(Q45:Q46)</f>
        <v>0</v>
      </c>
      <c r="T46" s="17">
        <f>SUMIFS(Collection!$O:$O, Collection!$B:$B, "*" &amp; T$2 &amp; "*", Collection!$A:$A, "="&amp;$A46)</f>
        <v>0</v>
      </c>
      <c r="U46" s="17">
        <f>(SUMIFS('Bucket Counts'!$P:$P, 'Bucket Counts'!$D:$D, "*" &amp; U$2 &amp; "*", 'Bucket Counts'!$A:$A, "="&amp;$A46))</f>
        <v>0</v>
      </c>
      <c r="V46" s="398">
        <f>U45+SUM(T45:T46)</f>
        <v>7516.6666666666661</v>
      </c>
      <c r="W46" s="17">
        <f>SUMIFS(Collection!$O:$O, Collection!$B:$B, "*" &amp; W$2 &amp; "*", Collection!$A:$A, "="&amp;$A46)</f>
        <v>0</v>
      </c>
      <c r="X46" s="17">
        <f>(SUMIFS('Bucket Counts'!$P:$P, 'Bucket Counts'!$D:$D, "*" &amp; X$2 &amp; "*", 'Bucket Counts'!$A:$A, "="&amp;$A46))</f>
        <v>0</v>
      </c>
      <c r="Y46" s="398">
        <f>X45+SUM(W45:W46)</f>
        <v>2668.3333333333335</v>
      </c>
      <c r="Z46" s="17">
        <f>SUMIFS(Collection!$O:$O, Collection!$B:$B, "*" &amp; Z$2 &amp; "*", Collection!$A:$A, "="&amp;$A46)</f>
        <v>0</v>
      </c>
      <c r="AA46" s="17">
        <f>(SUMIFS('Bucket Counts'!$P:$P, 'Bucket Counts'!$D:$D, "*" &amp; AA$2 &amp; "*", 'Bucket Counts'!$A:$A, "="&amp;$A46))</f>
        <v>0</v>
      </c>
      <c r="AB46" s="398">
        <f>AA45+SUM(Z45:Z46)</f>
        <v>85966.666666666672</v>
      </c>
      <c r="AC46" s="17">
        <f>SUMIFS(Collection!$O:$O, Collection!$B:$B, "*" &amp; AC$2 &amp; "*", Collection!$A:$A, "="&amp;$A46)</f>
        <v>0</v>
      </c>
      <c r="AD46" s="17">
        <f>(SUMIFS('Bucket Counts'!$P:$P, 'Bucket Counts'!$D:$D, "*" &amp; AD$2 &amp; "*", 'Bucket Counts'!$A:$A, "="&amp;$A46))</f>
        <v>0</v>
      </c>
      <c r="AE46" s="398">
        <f>AD45+SUM(AC45:AC46)</f>
        <v>12756.666666666666</v>
      </c>
      <c r="AF46" s="17">
        <f>SUMIFS(Collection!$O:$O, Collection!$B:$B, "*" &amp; AF$2 &amp; "*", Collection!$A:$A, "="&amp;$A46)</f>
        <v>0</v>
      </c>
      <c r="AG46" s="17">
        <f>(SUMIFS('Bucket Counts'!$P:$P, 'Bucket Counts'!$D:$D, "*" &amp; AG$2 &amp; "*", 'Bucket Counts'!$A:$A, "="&amp;$A46))</f>
        <v>0</v>
      </c>
      <c r="AH46" s="398">
        <f>AG45+SUM(AF45:AF46)</f>
        <v>19116.666666666668</v>
      </c>
      <c r="AI46" s="17">
        <f>SUMIFS(Collection!$O:$O, Collection!$B:$B, "*" &amp; AI$2 &amp; "*", Collection!$A:$A, "="&amp;$A46)</f>
        <v>0</v>
      </c>
      <c r="AJ46" s="17">
        <f>(SUMIFS('Bucket Counts'!$P:$P, 'Bucket Counts'!$D:$D, "*" &amp; AJ$2 &amp; "*", 'Bucket Counts'!$A:$A, "="&amp;$A46))</f>
        <v>0</v>
      </c>
      <c r="AK46" s="398">
        <f>AJ45+SUM(AI45:AI46)</f>
        <v>44716.666666666672</v>
      </c>
      <c r="AL46" s="17">
        <f>SUMIFS(Collection!$O:$O, Collection!$B:$B, "*" &amp; AL$2 &amp; "*", Collection!$A:$A, "="&amp;$A46)</f>
        <v>0</v>
      </c>
      <c r="AM46" s="17">
        <f>(SUMIFS('Bucket Counts'!$P:$P, 'Bucket Counts'!$D:$D, "*" &amp; AM$2 &amp; "*", 'Bucket Counts'!$A:$A, "="&amp;$A46))</f>
        <v>0</v>
      </c>
      <c r="AN46" s="398">
        <f>AM45+SUM(AL45:AL46)</f>
        <v>7763.333333333333</v>
      </c>
      <c r="AO46" s="17">
        <f>SUMIFS(Collection!$O:$O, Collection!$B:$B, "*" &amp; AO$2 &amp; "*", Collection!$A:$A, "="&amp;$A46)</f>
        <v>0</v>
      </c>
      <c r="AP46" s="17">
        <f>(SUMIFS('Bucket Counts'!$P:$P, 'Bucket Counts'!$D:$D, "*" &amp; AP$2 &amp; "*", 'Bucket Counts'!$A:$A, "="&amp;$A46))</f>
        <v>0</v>
      </c>
      <c r="AQ46" s="398">
        <f>AP45+SUM(AO45:AO46)</f>
        <v>0</v>
      </c>
      <c r="AR46" s="17">
        <f>SUMIFS(Collection!$O:$O, Collection!$B:$B, "*" &amp; AR$2 &amp; "*", Collection!$A:$A, "="&amp;$A46)</f>
        <v>0</v>
      </c>
      <c r="AS46" s="17">
        <f>(SUMIFS('Bucket Counts'!$P:$P, 'Bucket Counts'!$D:$D, "*" &amp; AS$2 &amp; "*", 'Bucket Counts'!$A:$A, "="&amp;$A46))</f>
        <v>0</v>
      </c>
      <c r="AT46" s="398">
        <f>AS45+SUM(AR45:AR46)</f>
        <v>49946.666666666664</v>
      </c>
      <c r="AU46" s="17">
        <f>SUMIFS(Collection!$O:$O, Collection!$B:$B, "*" &amp; AU$2 &amp; "*", Collection!$A:$A, "="&amp;$A46)</f>
        <v>0</v>
      </c>
      <c r="AV46" s="17">
        <f>(SUMIFS('Bucket Counts'!$P:$P, 'Bucket Counts'!$D:$D, "*" &amp; AV$2 &amp; "*", 'Bucket Counts'!$A:$A, "="&amp;$A46))</f>
        <v>0</v>
      </c>
      <c r="AW46" s="398">
        <f>AV45+SUM(AU45:AU46)</f>
        <v>23533.333333333332</v>
      </c>
    </row>
    <row r="47" spans="1:49">
      <c r="A47" s="16">
        <f t="shared" si="0"/>
        <v>42917</v>
      </c>
      <c r="B47" s="397">
        <f>SUMIFS(Collection!$O:$O, Collection!$B:$B, "*" &amp; B$2 &amp; "*", Collection!$A:$A, "="&amp;$A47)</f>
        <v>0</v>
      </c>
      <c r="C47" s="118">
        <f>(SUMIFS('Bucket Counts'!$P:$P, 'Bucket Counts'!$D:$D, "*" &amp; C$2 &amp; "*", 'Bucket Counts'!$A:$A, "="&amp;$A47))</f>
        <v>0</v>
      </c>
      <c r="D47" s="398">
        <f>C45+SUM(B45:B47)</f>
        <v>21619.999999999996</v>
      </c>
      <c r="E47" s="397">
        <f>SUMIFS(Collection!$O:$O, Collection!$B:$B, "*" &amp; E$2 &amp; "*", Collection!$A:$A, "="&amp;$A47)</f>
        <v>0</v>
      </c>
      <c r="F47" s="118">
        <f>(SUMIFS('Bucket Counts'!$P:$P, 'Bucket Counts'!$D:$D, "*" &amp; F$2 &amp; "*", 'Bucket Counts'!$A:$A, "="&amp;$A47))</f>
        <v>0</v>
      </c>
      <c r="G47" s="398">
        <f>F45+SUM(E45:E47)</f>
        <v>0</v>
      </c>
      <c r="H47" s="397">
        <f>SUMIFS(Collection!$O:$O, Collection!$B:$B, "*" &amp; H$2 &amp; "*", Collection!$A:$A, "="&amp;$A47)</f>
        <v>0</v>
      </c>
      <c r="I47" s="118">
        <f>(SUMIFS('Bucket Counts'!$P:$P, 'Bucket Counts'!$D:$D, "*" &amp; I$2 &amp; "*", 'Bucket Counts'!$A:$A, "="&amp;$A47))</f>
        <v>0</v>
      </c>
      <c r="J47" s="398">
        <f>I45+SUM(H45:H47)</f>
        <v>2250</v>
      </c>
      <c r="K47" s="17">
        <f>SUMIFS(Collection!$O:$O, Collection!$B:$B, "*" &amp; K$2 &amp; "*", Collection!$A:$A, "="&amp;$A47)</f>
        <v>0</v>
      </c>
      <c r="L47" s="17">
        <f>(SUMIFS('Bucket Counts'!$P:$P, 'Bucket Counts'!$D:$D, "*" &amp; L$2 &amp; "*", 'Bucket Counts'!$A:$A, "="&amp;$A47))</f>
        <v>0</v>
      </c>
      <c r="M47" s="398">
        <f>L45+SUM(K45:K47)</f>
        <v>32100</v>
      </c>
      <c r="N47" s="17">
        <f>SUMIFS(Collection!$O:$O, Collection!$B:$B, "*" &amp; N$2 &amp; "*", Collection!$A:$A, "="&amp;$A47)</f>
        <v>0</v>
      </c>
      <c r="O47" s="17">
        <f>(SUMIFS('Bucket Counts'!$P:$P, 'Bucket Counts'!$D:$D, "*" &amp; O$2 &amp; "*", 'Bucket Counts'!$A:$A, "="&amp;$A47))</f>
        <v>0</v>
      </c>
      <c r="P47" s="398">
        <f>O45+SUM(N45:N47)</f>
        <v>1886.6666666666667</v>
      </c>
      <c r="Q47" s="17">
        <f>SUMIFS(Collection!$O:$O, Collection!$B:$B, "*" &amp; Q$2 &amp; "*", Collection!$A:$A, "="&amp;$A47)</f>
        <v>0</v>
      </c>
      <c r="R47" s="17">
        <f>(SUMIFS('Bucket Counts'!$P:$P, 'Bucket Counts'!$D:$D, "*" &amp; R$2 &amp; "*", 'Bucket Counts'!$A:$A, "="&amp;$A47))</f>
        <v>0</v>
      </c>
      <c r="S47" s="398">
        <f>R45+SUM(Q45:Q47)</f>
        <v>0</v>
      </c>
      <c r="T47" s="17">
        <f>SUMIFS(Collection!$O:$O, Collection!$B:$B, "*" &amp; T$2 &amp; "*", Collection!$A:$A, "="&amp;$A47)</f>
        <v>0</v>
      </c>
      <c r="U47" s="17">
        <f>(SUMIFS('Bucket Counts'!$P:$P, 'Bucket Counts'!$D:$D, "*" &amp; U$2 &amp; "*", 'Bucket Counts'!$A:$A, "="&amp;$A47))</f>
        <v>0</v>
      </c>
      <c r="V47" s="398">
        <f>U45+SUM(T45:T47)</f>
        <v>7516.6666666666661</v>
      </c>
      <c r="W47" s="17">
        <f>SUMIFS(Collection!$O:$O, Collection!$B:$B, "*" &amp; W$2 &amp; "*", Collection!$A:$A, "="&amp;$A47)</f>
        <v>0</v>
      </c>
      <c r="X47" s="17">
        <f>(SUMIFS('Bucket Counts'!$P:$P, 'Bucket Counts'!$D:$D, "*" &amp; X$2 &amp; "*", 'Bucket Counts'!$A:$A, "="&amp;$A47))</f>
        <v>0</v>
      </c>
      <c r="Y47" s="398">
        <f>X45+SUM(W45:W47)</f>
        <v>2668.3333333333335</v>
      </c>
      <c r="Z47" s="17">
        <f>SUMIFS(Collection!$O:$O, Collection!$B:$B, "*" &amp; Z$2 &amp; "*", Collection!$A:$A, "="&amp;$A47)</f>
        <v>1650</v>
      </c>
      <c r="AA47" s="17">
        <f>(SUMIFS('Bucket Counts'!$P:$P, 'Bucket Counts'!$D:$D, "*" &amp; AA$2 &amp; "*", 'Bucket Counts'!$A:$A, "="&amp;$A47))</f>
        <v>0</v>
      </c>
      <c r="AB47" s="398">
        <f>AA45+SUM(Z45:Z47)</f>
        <v>87616.666666666672</v>
      </c>
      <c r="AC47" s="17">
        <f>SUMIFS(Collection!$O:$O, Collection!$B:$B, "*" &amp; AC$2 &amp; "*", Collection!$A:$A, "="&amp;$A47)</f>
        <v>0</v>
      </c>
      <c r="AD47" s="17">
        <f>(SUMIFS('Bucket Counts'!$P:$P, 'Bucket Counts'!$D:$D, "*" &amp; AD$2 &amp; "*", 'Bucket Counts'!$A:$A, "="&amp;$A47))</f>
        <v>0</v>
      </c>
      <c r="AE47" s="398">
        <f>AD45+SUM(AC45:AC47)</f>
        <v>12756.666666666666</v>
      </c>
      <c r="AF47" s="17">
        <f>SUMIFS(Collection!$O:$O, Collection!$B:$B, "*" &amp; AF$2 &amp; "*", Collection!$A:$A, "="&amp;$A47)</f>
        <v>0</v>
      </c>
      <c r="AG47" s="17">
        <f>(SUMIFS('Bucket Counts'!$P:$P, 'Bucket Counts'!$D:$D, "*" &amp; AG$2 &amp; "*", 'Bucket Counts'!$A:$A, "="&amp;$A47))</f>
        <v>0</v>
      </c>
      <c r="AH47" s="398">
        <f>AG45+SUM(AF45:AF47)</f>
        <v>19116.666666666668</v>
      </c>
      <c r="AI47" s="17">
        <f>SUMIFS(Collection!$O:$O, Collection!$B:$B, "*" &amp; AI$2 &amp; "*", Collection!$A:$A, "="&amp;$A47)</f>
        <v>0</v>
      </c>
      <c r="AJ47" s="17">
        <f>(SUMIFS('Bucket Counts'!$P:$P, 'Bucket Counts'!$D:$D, "*" &amp; AJ$2 &amp; "*", 'Bucket Counts'!$A:$A, "="&amp;$A47))</f>
        <v>0</v>
      </c>
      <c r="AK47" s="398">
        <f>AJ45+SUM(AI45:AI47)</f>
        <v>44716.666666666672</v>
      </c>
      <c r="AL47" s="17">
        <f>SUMIFS(Collection!$O:$O, Collection!$B:$B, "*" &amp; AL$2 &amp; "*", Collection!$A:$A, "="&amp;$A47)</f>
        <v>0</v>
      </c>
      <c r="AM47" s="17">
        <f>(SUMIFS('Bucket Counts'!$P:$P, 'Bucket Counts'!$D:$D, "*" &amp; AM$2 &amp; "*", 'Bucket Counts'!$A:$A, "="&amp;$A47))</f>
        <v>0</v>
      </c>
      <c r="AN47" s="398">
        <f>AM45+SUM(AL45:AL47)</f>
        <v>7763.333333333333</v>
      </c>
      <c r="AO47" s="17">
        <f>SUMIFS(Collection!$O:$O, Collection!$B:$B, "*" &amp; AO$2 &amp; "*", Collection!$A:$A, "="&amp;$A47)</f>
        <v>0</v>
      </c>
      <c r="AP47" s="17">
        <f>(SUMIFS('Bucket Counts'!$P:$P, 'Bucket Counts'!$D:$D, "*" &amp; AP$2 &amp; "*", 'Bucket Counts'!$A:$A, "="&amp;$A47))</f>
        <v>0</v>
      </c>
      <c r="AQ47" s="398">
        <f>AP45+SUM(AO45:AO47)</f>
        <v>0</v>
      </c>
      <c r="AR47" s="17">
        <f>SUMIFS(Collection!$O:$O, Collection!$B:$B, "*" &amp; AR$2 &amp; "*", Collection!$A:$A, "="&amp;$A47)</f>
        <v>0</v>
      </c>
      <c r="AS47" s="17">
        <f>(SUMIFS('Bucket Counts'!$P:$P, 'Bucket Counts'!$D:$D, "*" &amp; AS$2 &amp; "*", 'Bucket Counts'!$A:$A, "="&amp;$A47))</f>
        <v>0</v>
      </c>
      <c r="AT47" s="398">
        <f>AS45+SUM(AR45:AR47)</f>
        <v>49946.666666666664</v>
      </c>
      <c r="AU47" s="17">
        <f>SUMIFS(Collection!$O:$O, Collection!$B:$B, "*" &amp; AU$2 &amp; "*", Collection!$A:$A, "="&amp;$A47)</f>
        <v>0</v>
      </c>
      <c r="AV47" s="17">
        <f>(SUMIFS('Bucket Counts'!$P:$P, 'Bucket Counts'!$D:$D, "*" &amp; AV$2 &amp; "*", 'Bucket Counts'!$A:$A, "="&amp;$A47))</f>
        <v>0</v>
      </c>
      <c r="AW47" s="398">
        <f>AV45+SUM(AU45:AU47)</f>
        <v>23533.333333333332</v>
      </c>
    </row>
    <row r="48" spans="1:49">
      <c r="A48" s="16">
        <f t="shared" si="0"/>
        <v>42918</v>
      </c>
      <c r="B48" s="397">
        <f>SUMIFS(Collection!$O:$O, Collection!$B:$B, "*" &amp; B$2 &amp; "*", Collection!$A:$A, "="&amp;$A48)</f>
        <v>0</v>
      </c>
      <c r="C48" s="118">
        <f>(SUMIFS('Bucket Counts'!$P:$P, 'Bucket Counts'!$D:$D, "*" &amp; C$2 &amp; "*", 'Bucket Counts'!$A:$A, "="&amp;$A48))</f>
        <v>0</v>
      </c>
      <c r="D48" s="398">
        <f>C45+SUM(B45:B48)</f>
        <v>21619.999999999996</v>
      </c>
      <c r="E48" s="397">
        <f>SUMIFS(Collection!$O:$O, Collection!$B:$B, "*" &amp; E$2 &amp; "*", Collection!$A:$A, "="&amp;$A48)</f>
        <v>0</v>
      </c>
      <c r="F48" s="118">
        <f>(SUMIFS('Bucket Counts'!$P:$P, 'Bucket Counts'!$D:$D, "*" &amp; F$2 &amp; "*", 'Bucket Counts'!$A:$A, "="&amp;$A48))</f>
        <v>0</v>
      </c>
      <c r="G48" s="398">
        <f>F45+SUM(E45:E48)</f>
        <v>0</v>
      </c>
      <c r="H48" s="397">
        <f>SUMIFS(Collection!$O:$O, Collection!$B:$B, "*" &amp; H$2 &amp; "*", Collection!$A:$A, "="&amp;$A48)</f>
        <v>0</v>
      </c>
      <c r="I48" s="118">
        <f>(SUMIFS('Bucket Counts'!$P:$P, 'Bucket Counts'!$D:$D, "*" &amp; I$2 &amp; "*", 'Bucket Counts'!$A:$A, "="&amp;$A48))</f>
        <v>0</v>
      </c>
      <c r="J48" s="398">
        <f>I45+SUM(H45:H48)</f>
        <v>2250</v>
      </c>
      <c r="K48" s="17">
        <f>SUMIFS(Collection!$O:$O, Collection!$B:$B, "*" &amp; K$2 &amp; "*", Collection!$A:$A, "="&amp;$A48)</f>
        <v>0</v>
      </c>
      <c r="L48" s="17">
        <f>(SUMIFS('Bucket Counts'!$P:$P, 'Bucket Counts'!$D:$D, "*" &amp; L$2 &amp; "*", 'Bucket Counts'!$A:$A, "="&amp;$A48))</f>
        <v>0</v>
      </c>
      <c r="M48" s="398">
        <f>L45+SUM(K45:K48)</f>
        <v>32100</v>
      </c>
      <c r="N48" s="17">
        <f>SUMIFS(Collection!$O:$O, Collection!$B:$B, "*" &amp; N$2 &amp; "*", Collection!$A:$A, "="&amp;$A48)</f>
        <v>0</v>
      </c>
      <c r="O48" s="17">
        <f>(SUMIFS('Bucket Counts'!$P:$P, 'Bucket Counts'!$D:$D, "*" &amp; O$2 &amp; "*", 'Bucket Counts'!$A:$A, "="&amp;$A48))</f>
        <v>0</v>
      </c>
      <c r="P48" s="398">
        <f>O45+SUM(N45:N48)</f>
        <v>1886.6666666666667</v>
      </c>
      <c r="Q48" s="17">
        <f>SUMIFS(Collection!$O:$O, Collection!$B:$B, "*" &amp; Q$2 &amp; "*", Collection!$A:$A, "="&amp;$A48)</f>
        <v>0</v>
      </c>
      <c r="R48" s="17">
        <f>(SUMIFS('Bucket Counts'!$P:$P, 'Bucket Counts'!$D:$D, "*" &amp; R$2 &amp; "*", 'Bucket Counts'!$A:$A, "="&amp;$A48))</f>
        <v>0</v>
      </c>
      <c r="S48" s="398">
        <f>R45+SUM(Q45:Q48)</f>
        <v>0</v>
      </c>
      <c r="T48" s="17">
        <f>SUMIFS(Collection!$O:$O, Collection!$B:$B, "*" &amp; T$2 &amp; "*", Collection!$A:$A, "="&amp;$A48)</f>
        <v>0</v>
      </c>
      <c r="U48" s="17">
        <f>(SUMIFS('Bucket Counts'!$P:$P, 'Bucket Counts'!$D:$D, "*" &amp; U$2 &amp; "*", 'Bucket Counts'!$A:$A, "="&amp;$A48))</f>
        <v>0</v>
      </c>
      <c r="V48" s="398">
        <f>U45+SUM(T45:T48)</f>
        <v>7516.6666666666661</v>
      </c>
      <c r="W48" s="17">
        <f>SUMIFS(Collection!$O:$O, Collection!$B:$B, "*" &amp; W$2 &amp; "*", Collection!$A:$A, "="&amp;$A48)</f>
        <v>0</v>
      </c>
      <c r="X48" s="17">
        <f>(SUMIFS('Bucket Counts'!$P:$P, 'Bucket Counts'!$D:$D, "*" &amp; X$2 &amp; "*", 'Bucket Counts'!$A:$A, "="&amp;$A48))</f>
        <v>0</v>
      </c>
      <c r="Y48" s="398">
        <f>X45+SUM(W45:W48)</f>
        <v>2668.3333333333335</v>
      </c>
      <c r="Z48" s="17">
        <f>SUMIFS(Collection!$O:$O, Collection!$B:$B, "*" &amp; Z$2 &amp; "*", Collection!$A:$A, "="&amp;$A48)</f>
        <v>0</v>
      </c>
      <c r="AA48" s="17">
        <f>(SUMIFS('Bucket Counts'!$P:$P, 'Bucket Counts'!$D:$D, "*" &amp; AA$2 &amp; "*", 'Bucket Counts'!$A:$A, "="&amp;$A48))</f>
        <v>0</v>
      </c>
      <c r="AB48" s="398">
        <f>AA45+SUM(Z45:Z48)</f>
        <v>87616.666666666672</v>
      </c>
      <c r="AC48" s="17">
        <f>SUMIFS(Collection!$O:$O, Collection!$B:$B, "*" &amp; AC$2 &amp; "*", Collection!$A:$A, "="&amp;$A48)</f>
        <v>0</v>
      </c>
      <c r="AD48" s="17">
        <f>(SUMIFS('Bucket Counts'!$P:$P, 'Bucket Counts'!$D:$D, "*" &amp; AD$2 &amp; "*", 'Bucket Counts'!$A:$A, "="&amp;$A48))</f>
        <v>0</v>
      </c>
      <c r="AE48" s="398">
        <f>AD45+SUM(AC45:AC48)</f>
        <v>12756.666666666666</v>
      </c>
      <c r="AF48" s="17">
        <f>SUMIFS(Collection!$O:$O, Collection!$B:$B, "*" &amp; AF$2 &amp; "*", Collection!$A:$A, "="&amp;$A48)</f>
        <v>0</v>
      </c>
      <c r="AG48" s="17">
        <f>(SUMIFS('Bucket Counts'!$P:$P, 'Bucket Counts'!$D:$D, "*" &amp; AG$2 &amp; "*", 'Bucket Counts'!$A:$A, "="&amp;$A48))</f>
        <v>0</v>
      </c>
      <c r="AH48" s="398">
        <f>AG45+SUM(AF45:AF48)</f>
        <v>19116.666666666668</v>
      </c>
      <c r="AI48" s="17">
        <f>SUMIFS(Collection!$O:$O, Collection!$B:$B, "*" &amp; AI$2 &amp; "*", Collection!$A:$A, "="&amp;$A48)</f>
        <v>0</v>
      </c>
      <c r="AJ48" s="17">
        <f>(SUMIFS('Bucket Counts'!$P:$P, 'Bucket Counts'!$D:$D, "*" &amp; AJ$2 &amp; "*", 'Bucket Counts'!$A:$A, "="&amp;$A48))</f>
        <v>0</v>
      </c>
      <c r="AK48" s="398">
        <f>AJ45+SUM(AI45:AI48)</f>
        <v>44716.666666666672</v>
      </c>
      <c r="AL48" s="17">
        <f>SUMIFS(Collection!$O:$O, Collection!$B:$B, "*" &amp; AL$2 &amp; "*", Collection!$A:$A, "="&amp;$A48)</f>
        <v>0</v>
      </c>
      <c r="AM48" s="17">
        <f>(SUMIFS('Bucket Counts'!$P:$P, 'Bucket Counts'!$D:$D, "*" &amp; AM$2 &amp; "*", 'Bucket Counts'!$A:$A, "="&amp;$A48))</f>
        <v>0</v>
      </c>
      <c r="AN48" s="398">
        <f>AM45+SUM(AL45:AL48)</f>
        <v>7763.333333333333</v>
      </c>
      <c r="AO48" s="17">
        <f>SUMIFS(Collection!$O:$O, Collection!$B:$B, "*" &amp; AO$2 &amp; "*", Collection!$A:$A, "="&amp;$A48)</f>
        <v>0</v>
      </c>
      <c r="AP48" s="17">
        <f>(SUMIFS('Bucket Counts'!$P:$P, 'Bucket Counts'!$D:$D, "*" &amp; AP$2 &amp; "*", 'Bucket Counts'!$A:$A, "="&amp;$A48))</f>
        <v>0</v>
      </c>
      <c r="AQ48" s="398">
        <f>AP45+SUM(AO45:AO48)</f>
        <v>0</v>
      </c>
      <c r="AR48" s="17">
        <f>SUMIFS(Collection!$O:$O, Collection!$B:$B, "*" &amp; AR$2 &amp; "*", Collection!$A:$A, "="&amp;$A48)</f>
        <v>0</v>
      </c>
      <c r="AS48" s="17">
        <f>(SUMIFS('Bucket Counts'!$P:$P, 'Bucket Counts'!$D:$D, "*" &amp; AS$2 &amp; "*", 'Bucket Counts'!$A:$A, "="&amp;$A48))</f>
        <v>0</v>
      </c>
      <c r="AT48" s="398">
        <f>AS45+SUM(AR45:AR48)</f>
        <v>49946.666666666664</v>
      </c>
      <c r="AU48" s="17">
        <f>SUMIFS(Collection!$O:$O, Collection!$B:$B, "*" &amp; AU$2 &amp; "*", Collection!$A:$A, "="&amp;$A48)</f>
        <v>0</v>
      </c>
      <c r="AV48" s="17">
        <f>(SUMIFS('Bucket Counts'!$P:$P, 'Bucket Counts'!$D:$D, "*" &amp; AV$2 &amp; "*", 'Bucket Counts'!$A:$A, "="&amp;$A48))</f>
        <v>0</v>
      </c>
      <c r="AW48" s="398">
        <f>AV45+SUM(AU45:AU48)</f>
        <v>23533.333333333332</v>
      </c>
    </row>
    <row r="49" spans="1:49">
      <c r="A49" s="16">
        <f t="shared" si="0"/>
        <v>42919</v>
      </c>
      <c r="B49" s="397">
        <f>SUMIFS(Collection!$O:$O, Collection!$B:$B, "*" &amp; B$2 &amp; "*", Collection!$A:$A, "="&amp;$A49)</f>
        <v>0</v>
      </c>
      <c r="C49" s="118">
        <f>(SUMIFS('Bucket Counts'!$P:$P, 'Bucket Counts'!$D:$D, "*" &amp; C$2 &amp; "*", 'Bucket Counts'!$A:$A, "="&amp;$A49))</f>
        <v>1210</v>
      </c>
      <c r="D49" s="398">
        <f>C49+B49</f>
        <v>1210</v>
      </c>
      <c r="E49" s="397">
        <f>SUMIFS(Collection!$O:$O, Collection!$B:$B, "*" &amp; E$2 &amp; "*", Collection!$A:$A, "="&amp;$A49)</f>
        <v>41958.333333333328</v>
      </c>
      <c r="F49" s="118">
        <f>(SUMIFS('Bucket Counts'!$P:$P, 'Bucket Counts'!$D:$D, "*" &amp; F$2 &amp; "*", 'Bucket Counts'!$A:$A, "="&amp;$A49))</f>
        <v>0</v>
      </c>
      <c r="G49" s="398">
        <f>F49+E49</f>
        <v>41958.333333333328</v>
      </c>
      <c r="H49" s="397">
        <f>SUMIFS(Collection!$O:$O, Collection!$B:$B, "*" &amp; H$2 &amp; "*", Collection!$A:$A, "="&amp;$A49)</f>
        <v>0</v>
      </c>
      <c r="I49" s="118">
        <f>(SUMIFS('Bucket Counts'!$P:$P, 'Bucket Counts'!$D:$D, "*" &amp; I$2 &amp; "*", 'Bucket Counts'!$A:$A, "="&amp;$A49))</f>
        <v>917.77777777777794</v>
      </c>
      <c r="J49" s="398">
        <f>I49+H49</f>
        <v>917.77777777777794</v>
      </c>
      <c r="K49" s="17">
        <f>SUMIFS(Collection!$O:$O, Collection!$B:$B, "*" &amp; K$2 &amp; "*", Collection!$A:$A, "="&amp;$A49)</f>
        <v>0</v>
      </c>
      <c r="L49" s="17">
        <f>(SUMIFS('Bucket Counts'!$P:$P, 'Bucket Counts'!$D:$D, "*" &amp; L$2 &amp; "*", 'Bucket Counts'!$A:$A, "="&amp;$A49))</f>
        <v>27896.666666666668</v>
      </c>
      <c r="M49" s="398">
        <f>L49+K49</f>
        <v>27896.666666666668</v>
      </c>
      <c r="N49" s="17">
        <f>SUMIFS(Collection!$O:$O, Collection!$B:$B, "*" &amp; N$2 &amp; "*", Collection!$A:$A, "="&amp;$A49)</f>
        <v>0</v>
      </c>
      <c r="O49" s="17">
        <f>(SUMIFS('Bucket Counts'!$P:$P, 'Bucket Counts'!$D:$D, "*" &amp; O$2 &amp; "*", 'Bucket Counts'!$A:$A, "="&amp;$A49))</f>
        <v>322.99999999999994</v>
      </c>
      <c r="P49" s="398">
        <f>O49+N49</f>
        <v>322.99999999999994</v>
      </c>
      <c r="Q49" s="17">
        <f>SUMIFS(Collection!$O:$O, Collection!$B:$B, "*" &amp; Q$2 &amp; "*", Collection!$A:$A, "="&amp;$A49)</f>
        <v>0</v>
      </c>
      <c r="R49" s="17">
        <f>(SUMIFS('Bucket Counts'!$P:$P, 'Bucket Counts'!$D:$D, "*" &amp; R$2 &amp; "*", 'Bucket Counts'!$A:$A, "="&amp;$A49))</f>
        <v>0</v>
      </c>
      <c r="S49" s="398">
        <f>R49+Q49</f>
        <v>0</v>
      </c>
      <c r="T49" s="17">
        <f>SUMIFS(Collection!$O:$O, Collection!$B:$B, "*" &amp; T$2 &amp; "*", Collection!$A:$A, "="&amp;$A49)</f>
        <v>0</v>
      </c>
      <c r="U49" s="17">
        <f>(SUMIFS('Bucket Counts'!$P:$P, 'Bucket Counts'!$D:$D, "*" &amp; U$2 &amp; "*", 'Bucket Counts'!$A:$A, "="&amp;$A49))</f>
        <v>2714.4444444444443</v>
      </c>
      <c r="V49" s="398">
        <f>U49+T49</f>
        <v>2714.4444444444443</v>
      </c>
      <c r="W49" s="17">
        <f>SUMIFS(Collection!$O:$O, Collection!$B:$B, "*" &amp; W$2 &amp; "*", Collection!$A:$A, "="&amp;$A49)</f>
        <v>0</v>
      </c>
      <c r="X49" s="17">
        <f>(SUMIFS('Bucket Counts'!$P:$P, 'Bucket Counts'!$D:$D, "*" &amp; X$2 &amp; "*", 'Bucket Counts'!$A:$A, "="&amp;$A49))</f>
        <v>1193.8888888888889</v>
      </c>
      <c r="Y49" s="398">
        <f>X49+W49</f>
        <v>1193.8888888888889</v>
      </c>
      <c r="Z49" s="17">
        <f>SUMIFS(Collection!$O:$O, Collection!$B:$B, "*" &amp; Z$2 &amp; "*", Collection!$A:$A, "="&amp;$A49)</f>
        <v>0</v>
      </c>
      <c r="AA49" s="17">
        <f>(SUMIFS('Bucket Counts'!$P:$P, 'Bucket Counts'!$D:$D, "*" &amp; AA$2 &amp; "*", 'Bucket Counts'!$A:$A, "="&amp;$A49))</f>
        <v>73835</v>
      </c>
      <c r="AB49" s="398">
        <f>AA49+Z49</f>
        <v>73835</v>
      </c>
      <c r="AC49" s="17">
        <f>SUMIFS(Collection!$O:$O, Collection!$B:$B, "*" &amp; AC$2 &amp; "*", Collection!$A:$A, "="&amp;$A49)</f>
        <v>0</v>
      </c>
      <c r="AD49" s="17">
        <f>(SUMIFS('Bucket Counts'!$P:$P, 'Bucket Counts'!$D:$D, "*" &amp; AD$2 &amp; "*", 'Bucket Counts'!$A:$A, "="&amp;$A49))</f>
        <v>35798.333333333336</v>
      </c>
      <c r="AE49" s="398">
        <f>AD49+AC49</f>
        <v>35798.333333333336</v>
      </c>
      <c r="AF49" s="17">
        <f>SUMIFS(Collection!$O:$O, Collection!$B:$B, "*" &amp; AF$2 &amp; "*", Collection!$A:$A, "="&amp;$A49)</f>
        <v>0</v>
      </c>
      <c r="AG49" s="17">
        <f>(SUMIFS('Bucket Counts'!$P:$P, 'Bucket Counts'!$D:$D, "*" &amp; AG$2 &amp; "*", 'Bucket Counts'!$A:$A, "="&amp;$A49))</f>
        <v>5666.666666666667</v>
      </c>
      <c r="AH49" s="398">
        <f>AG49+AF49</f>
        <v>5666.666666666667</v>
      </c>
      <c r="AI49" s="17">
        <f>SUMIFS(Collection!$O:$O, Collection!$B:$B, "*" &amp; AI$2 &amp; "*", Collection!$A:$A, "="&amp;$A49)</f>
        <v>0</v>
      </c>
      <c r="AJ49" s="17">
        <f>(SUMIFS('Bucket Counts'!$P:$P, 'Bucket Counts'!$D:$D, "*" &amp; AJ$2 &amp; "*", 'Bucket Counts'!$A:$A, "="&amp;$A49))</f>
        <v>21683.333333333328</v>
      </c>
      <c r="AK49" s="398">
        <f>AJ49+AI49</f>
        <v>21683.333333333328</v>
      </c>
      <c r="AL49" s="17">
        <f>SUMIFS(Collection!$O:$O, Collection!$B:$B, "*" &amp; AL$2 &amp; "*", Collection!$A:$A, "="&amp;$A49)</f>
        <v>0</v>
      </c>
      <c r="AM49" s="17">
        <f>(SUMIFS('Bucket Counts'!$P:$P, 'Bucket Counts'!$D:$D, "*" &amp; AM$2 &amp; "*", 'Bucket Counts'!$A:$A, "="&amp;$A49))</f>
        <v>5635.8333333333339</v>
      </c>
      <c r="AN49" s="398">
        <f>AM49+AL49</f>
        <v>5635.8333333333339</v>
      </c>
      <c r="AO49" s="17">
        <f>SUMIFS(Collection!$O:$O, Collection!$B:$B, "*" &amp; AO$2 &amp; "*", Collection!$A:$A, "="&amp;$A49)</f>
        <v>0</v>
      </c>
      <c r="AP49" s="17">
        <f>(SUMIFS('Bucket Counts'!$P:$P, 'Bucket Counts'!$D:$D, "*" &amp; AP$2 &amp; "*", 'Bucket Counts'!$A:$A, "="&amp;$A49))</f>
        <v>0</v>
      </c>
      <c r="AQ49" s="398">
        <f>AP49+AO49</f>
        <v>0</v>
      </c>
      <c r="AR49" s="17">
        <f>SUMIFS(Collection!$O:$O, Collection!$B:$B, "*" &amp; AR$2 &amp; "*", Collection!$A:$A, "="&amp;$A49)</f>
        <v>0</v>
      </c>
      <c r="AS49" s="17">
        <f>(SUMIFS('Bucket Counts'!$P:$P, 'Bucket Counts'!$D:$D, "*" &amp; AS$2 &amp; "*", 'Bucket Counts'!$A:$A, "="&amp;$A49))</f>
        <v>28153.333333333336</v>
      </c>
      <c r="AT49" s="398">
        <f>AS49+AR49</f>
        <v>28153.333333333336</v>
      </c>
      <c r="AU49" s="17">
        <f>SUMIFS(Collection!$O:$O, Collection!$B:$B, "*" &amp; AU$2 &amp; "*", Collection!$A:$A, "="&amp;$A49)</f>
        <v>0</v>
      </c>
      <c r="AV49" s="17">
        <f>(SUMIFS('Bucket Counts'!$P:$P, 'Bucket Counts'!$D:$D, "*" &amp; AV$2 &amp; "*", 'Bucket Counts'!$A:$A, "="&amp;$A49))</f>
        <v>16425</v>
      </c>
      <c r="AW49" s="398">
        <f>AV49+AU49</f>
        <v>16425</v>
      </c>
    </row>
    <row r="50" spans="1:49">
      <c r="A50" s="16">
        <f t="shared" si="0"/>
        <v>42920</v>
      </c>
      <c r="B50" s="397">
        <f>SUMIFS(Collection!$O:$O, Collection!$B:$B, "*" &amp; B$2 &amp; "*", Collection!$A:$A, "="&amp;$A50)</f>
        <v>0</v>
      </c>
      <c r="C50" s="118">
        <f>(SUMIFS('Bucket Counts'!$P:$P, 'Bucket Counts'!$D:$D, "*" &amp; C$2 &amp; "*", 'Bucket Counts'!$A:$A, "="&amp;$A50))</f>
        <v>0</v>
      </c>
      <c r="D50" s="398">
        <f>C49+SUM(B49:B50)</f>
        <v>1210</v>
      </c>
      <c r="E50" s="397">
        <f>SUMIFS(Collection!$O:$O, Collection!$B:$B, "*" &amp; E$2 &amp; "*", Collection!$A:$A, "="&amp;$A50)</f>
        <v>0</v>
      </c>
      <c r="F50" s="118">
        <f>(SUMIFS('Bucket Counts'!$P:$P, 'Bucket Counts'!$D:$D, "*" &amp; F$2 &amp; "*", 'Bucket Counts'!$A:$A, "="&amp;$A50))</f>
        <v>0</v>
      </c>
      <c r="G50" s="398">
        <f>F49+SUM(E49:E50)</f>
        <v>41958.333333333328</v>
      </c>
      <c r="H50" s="397">
        <f>SUMIFS(Collection!$O:$O, Collection!$B:$B, "*" &amp; H$2 &amp; "*", Collection!$A:$A, "="&amp;$A50)</f>
        <v>0</v>
      </c>
      <c r="I50" s="118">
        <f>(SUMIFS('Bucket Counts'!$P:$P, 'Bucket Counts'!$D:$D, "*" &amp; I$2 &amp; "*", 'Bucket Counts'!$A:$A, "="&amp;$A50))</f>
        <v>0</v>
      </c>
      <c r="J50" s="398">
        <f>I49+SUM(H49:H50)</f>
        <v>917.77777777777794</v>
      </c>
      <c r="K50" s="17">
        <f>SUMIFS(Collection!$O:$O, Collection!$B:$B, "*" &amp; K$2 &amp; "*", Collection!$A:$A, "="&amp;$A50)</f>
        <v>0</v>
      </c>
      <c r="L50" s="17">
        <f>(SUMIFS('Bucket Counts'!$P:$P, 'Bucket Counts'!$D:$D, "*" &amp; L$2 &amp; "*", 'Bucket Counts'!$A:$A, "="&amp;$A50))</f>
        <v>0</v>
      </c>
      <c r="M50" s="398">
        <f>L49+SUM(K49:K50)</f>
        <v>27896.666666666668</v>
      </c>
      <c r="N50" s="17">
        <f>SUMIFS(Collection!$O:$O, Collection!$B:$B, "*" &amp; N$2 &amp; "*", Collection!$A:$A, "="&amp;$A50)</f>
        <v>0</v>
      </c>
      <c r="O50" s="17">
        <f>(SUMIFS('Bucket Counts'!$P:$P, 'Bucket Counts'!$D:$D, "*" &amp; O$2 &amp; "*", 'Bucket Counts'!$A:$A, "="&amp;$A50))</f>
        <v>0</v>
      </c>
      <c r="P50" s="398">
        <f>O49+SUM(N49:N50)</f>
        <v>322.99999999999994</v>
      </c>
      <c r="Q50" s="17">
        <f>SUMIFS(Collection!$O:$O, Collection!$B:$B, "*" &amp; Q$2 &amp; "*", Collection!$A:$A, "="&amp;$A50)</f>
        <v>0</v>
      </c>
      <c r="R50" s="17">
        <f>(SUMIFS('Bucket Counts'!$P:$P, 'Bucket Counts'!$D:$D, "*" &amp; R$2 &amp; "*", 'Bucket Counts'!$A:$A, "="&amp;$A50))</f>
        <v>0</v>
      </c>
      <c r="S50" s="398">
        <f>R49+SUM(Q49:Q50)</f>
        <v>0</v>
      </c>
      <c r="T50" s="17">
        <f>SUMIFS(Collection!$O:$O, Collection!$B:$B, "*" &amp; T$2 &amp; "*", Collection!$A:$A, "="&amp;$A50)</f>
        <v>0</v>
      </c>
      <c r="U50" s="17">
        <f>(SUMIFS('Bucket Counts'!$P:$P, 'Bucket Counts'!$D:$D, "*" &amp; U$2 &amp; "*", 'Bucket Counts'!$A:$A, "="&amp;$A50))</f>
        <v>0</v>
      </c>
      <c r="V50" s="398">
        <f>U49+SUM(T49:T50)</f>
        <v>2714.4444444444443</v>
      </c>
      <c r="W50" s="17">
        <f>SUMIFS(Collection!$O:$O, Collection!$B:$B, "*" &amp; W$2 &amp; "*", Collection!$A:$A, "="&amp;$A50)</f>
        <v>0</v>
      </c>
      <c r="X50" s="17">
        <f>(SUMIFS('Bucket Counts'!$P:$P, 'Bucket Counts'!$D:$D, "*" &amp; X$2 &amp; "*", 'Bucket Counts'!$A:$A, "="&amp;$A50))</f>
        <v>0</v>
      </c>
      <c r="Y50" s="398">
        <f>X49+SUM(W49:W50)</f>
        <v>1193.8888888888889</v>
      </c>
      <c r="Z50" s="17">
        <f>SUMIFS(Collection!$O:$O, Collection!$B:$B, "*" &amp; Z$2 &amp; "*", Collection!$A:$A, "="&amp;$A50)</f>
        <v>0</v>
      </c>
      <c r="AA50" s="17">
        <f>(SUMIFS('Bucket Counts'!$P:$P, 'Bucket Counts'!$D:$D, "*" &amp; AA$2 &amp; "*", 'Bucket Counts'!$A:$A, "="&amp;$A50))</f>
        <v>0</v>
      </c>
      <c r="AB50" s="398">
        <f>AA49+SUM(Z49:Z50)</f>
        <v>73835</v>
      </c>
      <c r="AC50" s="17">
        <f>SUMIFS(Collection!$O:$O, Collection!$B:$B, "*" &amp; AC$2 &amp; "*", Collection!$A:$A, "="&amp;$A50)</f>
        <v>0</v>
      </c>
      <c r="AD50" s="17">
        <f>(SUMIFS('Bucket Counts'!$P:$P, 'Bucket Counts'!$D:$D, "*" &amp; AD$2 &amp; "*", 'Bucket Counts'!$A:$A, "="&amp;$A50))</f>
        <v>0</v>
      </c>
      <c r="AE50" s="398">
        <f>AD49+SUM(AC49:AC50)</f>
        <v>35798.333333333336</v>
      </c>
      <c r="AF50" s="17">
        <f>SUMIFS(Collection!$O:$O, Collection!$B:$B, "*" &amp; AF$2 &amp; "*", Collection!$A:$A, "="&amp;$A50)</f>
        <v>0</v>
      </c>
      <c r="AG50" s="17">
        <f>(SUMIFS('Bucket Counts'!$P:$P, 'Bucket Counts'!$D:$D, "*" &amp; AG$2 &amp; "*", 'Bucket Counts'!$A:$A, "="&amp;$A50))</f>
        <v>0</v>
      </c>
      <c r="AH50" s="398">
        <f>AG49+SUM(AF49:AF50)</f>
        <v>5666.666666666667</v>
      </c>
      <c r="AI50" s="17">
        <f>SUMIFS(Collection!$O:$O, Collection!$B:$B, "*" &amp; AI$2 &amp; "*", Collection!$A:$A, "="&amp;$A50)</f>
        <v>0</v>
      </c>
      <c r="AJ50" s="17">
        <f>(SUMIFS('Bucket Counts'!$P:$P, 'Bucket Counts'!$D:$D, "*" &amp; AJ$2 &amp; "*", 'Bucket Counts'!$A:$A, "="&amp;$A50))</f>
        <v>0</v>
      </c>
      <c r="AK50" s="398">
        <f>AJ49+SUM(AI49:AI50)</f>
        <v>21683.333333333328</v>
      </c>
      <c r="AL50" s="17">
        <f>SUMIFS(Collection!$O:$O, Collection!$B:$B, "*" &amp; AL$2 &amp; "*", Collection!$A:$A, "="&amp;$A50)</f>
        <v>0</v>
      </c>
      <c r="AM50" s="17">
        <f>(SUMIFS('Bucket Counts'!$P:$P, 'Bucket Counts'!$D:$D, "*" &amp; AM$2 &amp; "*", 'Bucket Counts'!$A:$A, "="&amp;$A50))</f>
        <v>0</v>
      </c>
      <c r="AN50" s="398">
        <f>AM49+SUM(AL49:AL50)</f>
        <v>5635.8333333333339</v>
      </c>
      <c r="AO50" s="17">
        <f>SUMIFS(Collection!$O:$O, Collection!$B:$B, "*" &amp; AO$2 &amp; "*", Collection!$A:$A, "="&amp;$A50)</f>
        <v>0</v>
      </c>
      <c r="AP50" s="17">
        <f>(SUMIFS('Bucket Counts'!$P:$P, 'Bucket Counts'!$D:$D, "*" &amp; AP$2 &amp; "*", 'Bucket Counts'!$A:$A, "="&amp;$A50))</f>
        <v>0</v>
      </c>
      <c r="AQ50" s="398">
        <f>AP49+SUM(AO49:AO50)</f>
        <v>0</v>
      </c>
      <c r="AR50" s="17">
        <f>SUMIFS(Collection!$O:$O, Collection!$B:$B, "*" &amp; AR$2 &amp; "*", Collection!$A:$A, "="&amp;$A50)</f>
        <v>0</v>
      </c>
      <c r="AS50" s="17">
        <f>(SUMIFS('Bucket Counts'!$P:$P, 'Bucket Counts'!$D:$D, "*" &amp; AS$2 &amp; "*", 'Bucket Counts'!$A:$A, "="&amp;$A50))</f>
        <v>0</v>
      </c>
      <c r="AT50" s="398">
        <f>AS49+SUM(AR49:AR50)</f>
        <v>28153.333333333336</v>
      </c>
      <c r="AU50" s="17">
        <f>SUMIFS(Collection!$O:$O, Collection!$B:$B, "*" &amp; AU$2 &amp; "*", Collection!$A:$A, "="&amp;$A50)</f>
        <v>0</v>
      </c>
      <c r="AV50" s="17">
        <f>(SUMIFS('Bucket Counts'!$P:$P, 'Bucket Counts'!$D:$D, "*" &amp; AV$2 &amp; "*", 'Bucket Counts'!$A:$A, "="&amp;$A50))</f>
        <v>0</v>
      </c>
      <c r="AW50" s="398">
        <f>AV49+SUM(AU49:AU50)</f>
        <v>16425</v>
      </c>
    </row>
    <row r="51" spans="1:49">
      <c r="A51" s="16">
        <f t="shared" si="0"/>
        <v>42921</v>
      </c>
      <c r="B51" s="397">
        <f>SUMIFS(Collection!$O:$O, Collection!$B:$B, "*" &amp; B$2 &amp; "*", Collection!$A:$A, "="&amp;$A51)</f>
        <v>0</v>
      </c>
      <c r="C51" s="118">
        <f>(SUMIFS('Bucket Counts'!$P:$P, 'Bucket Counts'!$D:$D, "*" &amp; C$2 &amp; "*", 'Bucket Counts'!$A:$A, "="&amp;$A51))</f>
        <v>0</v>
      </c>
      <c r="D51" s="398">
        <f>C49+SUM(B49:B51)</f>
        <v>1210</v>
      </c>
      <c r="E51" s="397">
        <f>SUMIFS(Collection!$O:$O, Collection!$B:$B, "*" &amp; E$2 &amp; "*", Collection!$A:$A, "="&amp;$A51)</f>
        <v>0</v>
      </c>
      <c r="F51" s="118">
        <f>(SUMIFS('Bucket Counts'!$P:$P, 'Bucket Counts'!$D:$D, "*" &amp; F$2 &amp; "*", 'Bucket Counts'!$A:$A, "="&amp;$A51))</f>
        <v>0</v>
      </c>
      <c r="G51" s="398">
        <f>F49+SUM(E49:E51)</f>
        <v>41958.333333333328</v>
      </c>
      <c r="H51" s="397">
        <f>SUMIFS(Collection!$O:$O, Collection!$B:$B, "*" &amp; H$2 &amp; "*", Collection!$A:$A, "="&amp;$A51)</f>
        <v>0</v>
      </c>
      <c r="I51" s="118">
        <f>(SUMIFS('Bucket Counts'!$P:$P, 'Bucket Counts'!$D:$D, "*" &amp; I$2 &amp; "*", 'Bucket Counts'!$A:$A, "="&amp;$A51))</f>
        <v>0</v>
      </c>
      <c r="J51" s="398">
        <f>I49+SUM(H49:H51)</f>
        <v>917.77777777777794</v>
      </c>
      <c r="K51" s="17">
        <f>SUMIFS(Collection!$O:$O, Collection!$B:$B, "*" &amp; K$2 &amp; "*", Collection!$A:$A, "="&amp;$A51)</f>
        <v>0</v>
      </c>
      <c r="L51" s="17">
        <f>(SUMIFS('Bucket Counts'!$P:$P, 'Bucket Counts'!$D:$D, "*" &amp; L$2 &amp; "*", 'Bucket Counts'!$A:$A, "="&amp;$A51))</f>
        <v>0</v>
      </c>
      <c r="M51" s="398">
        <f>L49+SUM(K49:K51)</f>
        <v>27896.666666666668</v>
      </c>
      <c r="N51" s="17">
        <f>SUMIFS(Collection!$O:$O, Collection!$B:$B, "*" &amp; N$2 &amp; "*", Collection!$A:$A, "="&amp;$A51)</f>
        <v>0</v>
      </c>
      <c r="O51" s="17">
        <f>(SUMIFS('Bucket Counts'!$P:$P, 'Bucket Counts'!$D:$D, "*" &amp; O$2 &amp; "*", 'Bucket Counts'!$A:$A, "="&amp;$A51))</f>
        <v>0</v>
      </c>
      <c r="P51" s="398">
        <f>O49+SUM(N49:N51)</f>
        <v>322.99999999999994</v>
      </c>
      <c r="Q51" s="17">
        <f>SUMIFS(Collection!$O:$O, Collection!$B:$B, "*" &amp; Q$2 &amp; "*", Collection!$A:$A, "="&amp;$A51)</f>
        <v>0</v>
      </c>
      <c r="R51" s="17">
        <f>(SUMIFS('Bucket Counts'!$P:$P, 'Bucket Counts'!$D:$D, "*" &amp; R$2 &amp; "*", 'Bucket Counts'!$A:$A, "="&amp;$A51))</f>
        <v>0</v>
      </c>
      <c r="S51" s="398">
        <f>R49+SUM(Q49:Q51)</f>
        <v>0</v>
      </c>
      <c r="T51" s="17">
        <f>SUMIFS(Collection!$O:$O, Collection!$B:$B, "*" &amp; T$2 &amp; "*", Collection!$A:$A, "="&amp;$A51)</f>
        <v>0</v>
      </c>
      <c r="U51" s="17">
        <f>(SUMIFS('Bucket Counts'!$P:$P, 'Bucket Counts'!$D:$D, "*" &amp; U$2 &amp; "*", 'Bucket Counts'!$A:$A, "="&amp;$A51))</f>
        <v>0</v>
      </c>
      <c r="V51" s="398">
        <f>U49+SUM(T49:T51)</f>
        <v>2714.4444444444443</v>
      </c>
      <c r="W51" s="17">
        <f>SUMIFS(Collection!$O:$O, Collection!$B:$B, "*" &amp; W$2 &amp; "*", Collection!$A:$A, "="&amp;$A51)</f>
        <v>0</v>
      </c>
      <c r="X51" s="17">
        <f>(SUMIFS('Bucket Counts'!$P:$P, 'Bucket Counts'!$D:$D, "*" &amp; X$2 &amp; "*", 'Bucket Counts'!$A:$A, "="&amp;$A51))</f>
        <v>0</v>
      </c>
      <c r="Y51" s="398">
        <f>X49+SUM(W49:W51)</f>
        <v>1193.8888888888889</v>
      </c>
      <c r="Z51" s="17">
        <f>SUMIFS(Collection!$O:$O, Collection!$B:$B, "*" &amp; Z$2 &amp; "*", Collection!$A:$A, "="&amp;$A51)</f>
        <v>0</v>
      </c>
      <c r="AA51" s="17">
        <f>(SUMIFS('Bucket Counts'!$P:$P, 'Bucket Counts'!$D:$D, "*" &amp; AA$2 &amp; "*", 'Bucket Counts'!$A:$A, "="&amp;$A51))</f>
        <v>0</v>
      </c>
      <c r="AB51" s="398">
        <f>AA49+SUM(Z49:Z51)</f>
        <v>73835</v>
      </c>
      <c r="AC51" s="17">
        <f>SUMIFS(Collection!$O:$O, Collection!$B:$B, "*" &amp; AC$2 &amp; "*", Collection!$A:$A, "="&amp;$A51)</f>
        <v>0</v>
      </c>
      <c r="AD51" s="17">
        <f>(SUMIFS('Bucket Counts'!$P:$P, 'Bucket Counts'!$D:$D, "*" &amp; AD$2 &amp; "*", 'Bucket Counts'!$A:$A, "="&amp;$A51))</f>
        <v>0</v>
      </c>
      <c r="AE51" s="398">
        <f>AD49+SUM(AC49:AC51)</f>
        <v>35798.333333333336</v>
      </c>
      <c r="AF51" s="17">
        <f>SUMIFS(Collection!$O:$O, Collection!$B:$B, "*" &amp; AF$2 &amp; "*", Collection!$A:$A, "="&amp;$A51)</f>
        <v>0</v>
      </c>
      <c r="AG51" s="17">
        <f>(SUMIFS('Bucket Counts'!$P:$P, 'Bucket Counts'!$D:$D, "*" &amp; AG$2 &amp; "*", 'Bucket Counts'!$A:$A, "="&amp;$A51))</f>
        <v>0</v>
      </c>
      <c r="AH51" s="398">
        <f>AG49+SUM(AF49:AF51)</f>
        <v>5666.666666666667</v>
      </c>
      <c r="AI51" s="17">
        <f>SUMIFS(Collection!$O:$O, Collection!$B:$B, "*" &amp; AI$2 &amp; "*", Collection!$A:$A, "="&amp;$A51)</f>
        <v>0</v>
      </c>
      <c r="AJ51" s="17">
        <f>(SUMIFS('Bucket Counts'!$P:$P, 'Bucket Counts'!$D:$D, "*" &amp; AJ$2 &amp; "*", 'Bucket Counts'!$A:$A, "="&amp;$A51))</f>
        <v>0</v>
      </c>
      <c r="AK51" s="398">
        <f>AJ49+SUM(AI49:AI51)</f>
        <v>21683.333333333328</v>
      </c>
      <c r="AL51" s="17">
        <f>SUMIFS(Collection!$O:$O, Collection!$B:$B, "*" &amp; AL$2 &amp; "*", Collection!$A:$A, "="&amp;$A51)</f>
        <v>0</v>
      </c>
      <c r="AM51" s="17">
        <f>(SUMIFS('Bucket Counts'!$P:$P, 'Bucket Counts'!$D:$D, "*" &amp; AM$2 &amp; "*", 'Bucket Counts'!$A:$A, "="&amp;$A51))</f>
        <v>0</v>
      </c>
      <c r="AN51" s="398">
        <f>AM49+SUM(AL49:AL51)</f>
        <v>5635.8333333333339</v>
      </c>
      <c r="AO51" s="17">
        <f>SUMIFS(Collection!$O:$O, Collection!$B:$B, "*" &amp; AO$2 &amp; "*", Collection!$A:$A, "="&amp;$A51)</f>
        <v>0</v>
      </c>
      <c r="AP51" s="17">
        <f>(SUMIFS('Bucket Counts'!$P:$P, 'Bucket Counts'!$D:$D, "*" &amp; AP$2 &amp; "*", 'Bucket Counts'!$A:$A, "="&amp;$A51))</f>
        <v>0</v>
      </c>
      <c r="AQ51" s="398">
        <f>AP49+SUM(AO49:AO51)</f>
        <v>0</v>
      </c>
      <c r="AR51" s="17">
        <f>SUMIFS(Collection!$O:$O, Collection!$B:$B, "*" &amp; AR$2 &amp; "*", Collection!$A:$A, "="&amp;$A51)</f>
        <v>0</v>
      </c>
      <c r="AS51" s="17">
        <f>(SUMIFS('Bucket Counts'!$P:$P, 'Bucket Counts'!$D:$D, "*" &amp; AS$2 &amp; "*", 'Bucket Counts'!$A:$A, "="&amp;$A51))</f>
        <v>0</v>
      </c>
      <c r="AT51" s="398">
        <f>AS49+SUM(AR49:AR51)</f>
        <v>28153.333333333336</v>
      </c>
      <c r="AU51" s="17">
        <f>SUMIFS(Collection!$O:$O, Collection!$B:$B, "*" &amp; AU$2 &amp; "*", Collection!$A:$A, "="&amp;$A51)</f>
        <v>0</v>
      </c>
      <c r="AV51" s="17">
        <f>(SUMIFS('Bucket Counts'!$P:$P, 'Bucket Counts'!$D:$D, "*" &amp; AV$2 &amp; "*", 'Bucket Counts'!$A:$A, "="&amp;$A51))</f>
        <v>0</v>
      </c>
      <c r="AW51" s="398">
        <f>AV49+SUM(AU49:AU51)</f>
        <v>16425</v>
      </c>
    </row>
    <row r="52" spans="1:49">
      <c r="A52" s="16">
        <f t="shared" si="0"/>
        <v>42922</v>
      </c>
      <c r="B52" s="397">
        <f>SUMIFS(Collection!$O:$O, Collection!$B:$B, "*" &amp; B$2 &amp; "*", Collection!$A:$A, "="&amp;$A52)</f>
        <v>0</v>
      </c>
      <c r="C52" s="118">
        <f>(SUMIFS('Bucket Counts'!$P:$P, 'Bucket Counts'!$D:$D, "*" &amp; C$2 &amp; "*", 'Bucket Counts'!$A:$A, "="&amp;$A52))</f>
        <v>466</v>
      </c>
      <c r="D52" s="398">
        <f>C52+B52</f>
        <v>466</v>
      </c>
      <c r="E52" s="397">
        <f>SUMIFS(Collection!$O:$O, Collection!$B:$B, "*" &amp; E$2 &amp; "*", Collection!$A:$A, "="&amp;$A52)</f>
        <v>0</v>
      </c>
      <c r="F52" s="118">
        <f>(SUMIFS('Bucket Counts'!$P:$P, 'Bucket Counts'!$D:$D, "*" &amp; F$2 &amp; "*", 'Bucket Counts'!$A:$A, "="&amp;$A52))</f>
        <v>0</v>
      </c>
      <c r="G52" s="398">
        <f>F52+E52</f>
        <v>0</v>
      </c>
      <c r="H52" s="397">
        <f>SUMIFS(Collection!$O:$O, Collection!$B:$B, "*" &amp; H$2 &amp; "*", Collection!$A:$A, "="&amp;$A52)</f>
        <v>0</v>
      </c>
      <c r="I52" s="118">
        <f>(SUMIFS('Bucket Counts'!$P:$P, 'Bucket Counts'!$D:$D, "*" &amp; I$2 &amp; "*", 'Bucket Counts'!$A:$A, "="&amp;$A52))</f>
        <v>200</v>
      </c>
      <c r="J52" s="398">
        <f>I52+H52</f>
        <v>200</v>
      </c>
      <c r="K52" s="17">
        <f>SUMIFS(Collection!$O:$O, Collection!$B:$B, "*" &amp; K$2 &amp; "*", Collection!$A:$A, "="&amp;$A52)</f>
        <v>0</v>
      </c>
      <c r="L52" s="17">
        <f>(SUMIFS('Bucket Counts'!$P:$P, 'Bucket Counts'!$D:$D, "*" &amp; L$2 &amp; "*", 'Bucket Counts'!$A:$A, "="&amp;$A52))</f>
        <v>20583.333333333336</v>
      </c>
      <c r="M52" s="398">
        <f>L52+K52</f>
        <v>20583.333333333336</v>
      </c>
      <c r="N52" s="17">
        <f>SUMIFS(Collection!$O:$O, Collection!$B:$B, "*" &amp; N$2 &amp; "*", Collection!$A:$A, "="&amp;$A52)</f>
        <v>200000</v>
      </c>
      <c r="O52" s="17">
        <f>(SUMIFS('Bucket Counts'!$P:$P, 'Bucket Counts'!$D:$D, "*" &amp; O$2 &amp; "*", 'Bucket Counts'!$A:$A, "="&amp;$A52))</f>
        <v>35.777777777777771</v>
      </c>
      <c r="P52" s="398">
        <f>O52+N52</f>
        <v>200035.77777777778</v>
      </c>
      <c r="Q52" s="17">
        <f>SUMIFS(Collection!$O:$O, Collection!$B:$B, "*" &amp; Q$2 &amp; "*", Collection!$A:$A, "="&amp;$A52)</f>
        <v>0</v>
      </c>
      <c r="R52" s="17">
        <f>(SUMIFS('Bucket Counts'!$P:$P, 'Bucket Counts'!$D:$D, "*" &amp; R$2 &amp; "*", 'Bucket Counts'!$A:$A, "="&amp;$A52))</f>
        <v>0</v>
      </c>
      <c r="S52" s="398">
        <f>R52+Q52</f>
        <v>0</v>
      </c>
      <c r="T52" s="17">
        <f>SUMIFS(Collection!$O:$O, Collection!$B:$B, "*" &amp; T$2 &amp; "*", Collection!$A:$A, "="&amp;$A52)</f>
        <v>0</v>
      </c>
      <c r="U52" s="17">
        <f>(SUMIFS('Bucket Counts'!$P:$P, 'Bucket Counts'!$D:$D, "*" &amp; U$2 &amp; "*", 'Bucket Counts'!$A:$A, "="&amp;$A52))</f>
        <v>1245.1111111111111</v>
      </c>
      <c r="V52" s="398">
        <f>U52+T52</f>
        <v>1245.1111111111111</v>
      </c>
      <c r="W52" s="17">
        <f>SUMIFS(Collection!$O:$O, Collection!$B:$B, "*" &amp; W$2 &amp; "*", Collection!$A:$A, "="&amp;$A52)</f>
        <v>0</v>
      </c>
      <c r="X52" s="17">
        <f>(SUMIFS('Bucket Counts'!$P:$P, 'Bucket Counts'!$D:$D, "*" &amp; X$2 &amp; "*", 'Bucket Counts'!$A:$A, "="&amp;$A52))</f>
        <v>396</v>
      </c>
      <c r="Y52" s="398">
        <f>X52+W52</f>
        <v>396</v>
      </c>
      <c r="Z52" s="17">
        <f>SUMIFS(Collection!$O:$O, Collection!$B:$B, "*" &amp; Z$2 &amp; "*", Collection!$A:$A, "="&amp;$A52)</f>
        <v>0</v>
      </c>
      <c r="AA52" s="17">
        <f>(SUMIFS('Bucket Counts'!$P:$P, 'Bucket Counts'!$D:$D, "*" &amp; AA$2 &amp; "*", 'Bucket Counts'!$A:$A, "="&amp;$A52))</f>
        <v>77396.666666666672</v>
      </c>
      <c r="AB52" s="398">
        <f>AA52+Z52</f>
        <v>77396.666666666672</v>
      </c>
      <c r="AC52" s="17">
        <f>SUMIFS(Collection!$O:$O, Collection!$B:$B, "*" &amp; AC$2 &amp; "*", Collection!$A:$A, "="&amp;$A52)</f>
        <v>0</v>
      </c>
      <c r="AD52" s="17">
        <f>(SUMIFS('Bucket Counts'!$P:$P, 'Bucket Counts'!$D:$D, "*" &amp; AD$2 &amp; "*", 'Bucket Counts'!$A:$A, "="&amp;$A52))</f>
        <v>28510</v>
      </c>
      <c r="AE52" s="398">
        <f>AD52+AC52</f>
        <v>28510</v>
      </c>
      <c r="AF52" s="17">
        <f>SUMIFS(Collection!$O:$O, Collection!$B:$B, "*" &amp; AF$2 &amp; "*", Collection!$A:$A, "="&amp;$A52)</f>
        <v>0</v>
      </c>
      <c r="AG52" s="17">
        <f>(SUMIFS('Bucket Counts'!$P:$P, 'Bucket Counts'!$D:$D, "*" &amp; AG$2 &amp; "*", 'Bucket Counts'!$A:$A, "="&amp;$A52))</f>
        <v>3669.4444444444443</v>
      </c>
      <c r="AH52" s="398">
        <f>AG52+AF52</f>
        <v>3669.4444444444443</v>
      </c>
      <c r="AI52" s="17">
        <f>SUMIFS(Collection!$O:$O, Collection!$B:$B, "*" &amp; AI$2 &amp; "*", Collection!$A:$A, "="&amp;$A52)</f>
        <v>0</v>
      </c>
      <c r="AJ52" s="17">
        <f>(SUMIFS('Bucket Counts'!$P:$P, 'Bucket Counts'!$D:$D, "*" &amp; AJ$2 &amp; "*", 'Bucket Counts'!$A:$A, "="&amp;$A52))</f>
        <v>20135</v>
      </c>
      <c r="AK52" s="398">
        <f>AJ52+AI52</f>
        <v>20135</v>
      </c>
      <c r="AL52" s="17">
        <f>SUMIFS(Collection!$O:$O, Collection!$B:$B, "*" &amp; AL$2 &amp; "*", Collection!$A:$A, "="&amp;$A52)</f>
        <v>0</v>
      </c>
      <c r="AM52" s="17">
        <f>(SUMIFS('Bucket Counts'!$P:$P, 'Bucket Counts'!$D:$D, "*" &amp; AM$2 &amp; "*", 'Bucket Counts'!$A:$A, "="&amp;$A52))</f>
        <v>3557.5000000000005</v>
      </c>
      <c r="AN52" s="398">
        <f>AM52+AL52</f>
        <v>3557.5000000000005</v>
      </c>
      <c r="AO52" s="17">
        <f>SUMIFS(Collection!$O:$O, Collection!$B:$B, "*" &amp; AO$2 &amp; "*", Collection!$A:$A, "="&amp;$A52)</f>
        <v>0</v>
      </c>
      <c r="AP52" s="17">
        <f>(SUMIFS('Bucket Counts'!$P:$P, 'Bucket Counts'!$D:$D, "*" &amp; AP$2 &amp; "*", 'Bucket Counts'!$A:$A, "="&amp;$A52))</f>
        <v>0</v>
      </c>
      <c r="AQ52" s="398">
        <f>AP52+AO52</f>
        <v>0</v>
      </c>
      <c r="AR52" s="17">
        <f>SUMIFS(Collection!$O:$O, Collection!$B:$B, "*" &amp; AR$2 &amp; "*", Collection!$A:$A, "="&amp;$A52)</f>
        <v>0</v>
      </c>
      <c r="AS52" s="17">
        <f>(SUMIFS('Bucket Counts'!$P:$P, 'Bucket Counts'!$D:$D, "*" &amp; AS$2 &amp; "*", 'Bucket Counts'!$A:$A, "="&amp;$A52))</f>
        <v>17280</v>
      </c>
      <c r="AT52" s="398">
        <f>AS52+AR52</f>
        <v>17280</v>
      </c>
      <c r="AU52" s="17">
        <f>SUMIFS(Collection!$O:$O, Collection!$B:$B, "*" &amp; AU$2 &amp; "*", Collection!$A:$A, "="&amp;$A52)</f>
        <v>0</v>
      </c>
      <c r="AV52" s="17">
        <f>(SUMIFS('Bucket Counts'!$P:$P, 'Bucket Counts'!$D:$D, "*" &amp; AV$2 &amp; "*", 'Bucket Counts'!$A:$A, "="&amp;$A52))</f>
        <v>7193.3333333333339</v>
      </c>
      <c r="AW52" s="398">
        <f>AV52+AU52</f>
        <v>7193.3333333333339</v>
      </c>
    </row>
    <row r="53" spans="1:49">
      <c r="A53" s="16">
        <f t="shared" si="0"/>
        <v>42923</v>
      </c>
      <c r="B53" s="397">
        <f>SUMIFS(Collection!$O:$O, Collection!$B:$B, "*" &amp; B$2 &amp; "*", Collection!$A:$A, "="&amp;$A53)</f>
        <v>0</v>
      </c>
      <c r="C53" s="118">
        <f>(SUMIFS('Bucket Counts'!$P:$P, 'Bucket Counts'!$D:$D, "*" &amp; C$2 &amp; "*", 'Bucket Counts'!$A:$A, "="&amp;$A53))</f>
        <v>0</v>
      </c>
      <c r="D53" s="398">
        <f>C52+SUM(B52:B53)</f>
        <v>466</v>
      </c>
      <c r="E53" s="397">
        <f>SUMIFS(Collection!$O:$O, Collection!$B:$B, "*" &amp; E$2 &amp; "*", Collection!$A:$A, "="&amp;$A53)</f>
        <v>0</v>
      </c>
      <c r="F53" s="118">
        <f>(SUMIFS('Bucket Counts'!$P:$P, 'Bucket Counts'!$D:$D, "*" &amp; F$2 &amp; "*", 'Bucket Counts'!$A:$A, "="&amp;$A53))</f>
        <v>0</v>
      </c>
      <c r="G53" s="398">
        <f>F52+SUM(E52:E53)</f>
        <v>0</v>
      </c>
      <c r="H53" s="397">
        <f>SUMIFS(Collection!$O:$O, Collection!$B:$B, "*" &amp; H$2 &amp; "*", Collection!$A:$A, "="&amp;$A53)</f>
        <v>0</v>
      </c>
      <c r="I53" s="118">
        <f>(SUMIFS('Bucket Counts'!$P:$P, 'Bucket Counts'!$D:$D, "*" &amp; I$2 &amp; "*", 'Bucket Counts'!$A:$A, "="&amp;$A53))</f>
        <v>0</v>
      </c>
      <c r="J53" s="398">
        <f>I52+SUM(H52:H53)</f>
        <v>200</v>
      </c>
      <c r="K53" s="17">
        <f>SUMIFS(Collection!$O:$O, Collection!$B:$B, "*" &amp; K$2 &amp; "*", Collection!$A:$A, "="&amp;$A53)</f>
        <v>0</v>
      </c>
      <c r="L53" s="17">
        <f>(SUMIFS('Bucket Counts'!$P:$P, 'Bucket Counts'!$D:$D, "*" &amp; L$2 &amp; "*", 'Bucket Counts'!$A:$A, "="&amp;$A53))</f>
        <v>0</v>
      </c>
      <c r="M53" s="398">
        <f>L52+SUM(K52:K53)</f>
        <v>20583.333333333336</v>
      </c>
      <c r="N53" s="17">
        <f>SUMIFS(Collection!$O:$O, Collection!$B:$B, "*" &amp; N$2 &amp; "*", Collection!$A:$A, "="&amp;$A53)</f>
        <v>0</v>
      </c>
      <c r="O53" s="17">
        <f>(SUMIFS('Bucket Counts'!$P:$P, 'Bucket Counts'!$D:$D, "*" &amp; O$2 &amp; "*", 'Bucket Counts'!$A:$A, "="&amp;$A53))</f>
        <v>0</v>
      </c>
      <c r="P53" s="398">
        <f>O52+SUM(N52:N53)</f>
        <v>200035.77777777778</v>
      </c>
      <c r="Q53" s="17">
        <f>SUMIFS(Collection!$O:$O, Collection!$B:$B, "*" &amp; Q$2 &amp; "*", Collection!$A:$A, "="&amp;$A53)</f>
        <v>0</v>
      </c>
      <c r="R53" s="17">
        <f>(SUMIFS('Bucket Counts'!$P:$P, 'Bucket Counts'!$D:$D, "*" &amp; R$2 &amp; "*", 'Bucket Counts'!$A:$A, "="&amp;$A53))</f>
        <v>0</v>
      </c>
      <c r="S53" s="398">
        <f>R52+SUM(Q52:Q53)</f>
        <v>0</v>
      </c>
      <c r="T53" s="17">
        <f>SUMIFS(Collection!$O:$O, Collection!$B:$B, "*" &amp; T$2 &amp; "*", Collection!$A:$A, "="&amp;$A53)</f>
        <v>0</v>
      </c>
      <c r="U53" s="17">
        <f>(SUMIFS('Bucket Counts'!$P:$P, 'Bucket Counts'!$D:$D, "*" &amp; U$2 &amp; "*", 'Bucket Counts'!$A:$A, "="&amp;$A53))</f>
        <v>0</v>
      </c>
      <c r="V53" s="398">
        <f>U52+SUM(T52:T53)</f>
        <v>1245.1111111111111</v>
      </c>
      <c r="W53" s="17">
        <f>SUMIFS(Collection!$O:$O, Collection!$B:$B, "*" &amp; W$2 &amp; "*", Collection!$A:$A, "="&amp;$A53)</f>
        <v>0</v>
      </c>
      <c r="X53" s="17">
        <f>(SUMIFS('Bucket Counts'!$P:$P, 'Bucket Counts'!$D:$D, "*" &amp; X$2 &amp; "*", 'Bucket Counts'!$A:$A, "="&amp;$A53))</f>
        <v>0</v>
      </c>
      <c r="Y53" s="398">
        <f>X52+SUM(W52:W53)</f>
        <v>396</v>
      </c>
      <c r="Z53" s="17">
        <f>SUMIFS(Collection!$O:$O, Collection!$B:$B, "*" &amp; Z$2 &amp; "*", Collection!$A:$A, "="&amp;$A53)</f>
        <v>0</v>
      </c>
      <c r="AA53" s="17">
        <f>(SUMIFS('Bucket Counts'!$P:$P, 'Bucket Counts'!$D:$D, "*" &amp; AA$2 &amp; "*", 'Bucket Counts'!$A:$A, "="&amp;$A53))</f>
        <v>0</v>
      </c>
      <c r="AB53" s="398">
        <f>AA52+SUM(Z52:Z53)</f>
        <v>77396.666666666672</v>
      </c>
      <c r="AC53" s="17">
        <f>SUMIFS(Collection!$O:$O, Collection!$B:$B, "*" &amp; AC$2 &amp; "*", Collection!$A:$A, "="&amp;$A53)</f>
        <v>0</v>
      </c>
      <c r="AD53" s="17">
        <f>(SUMIFS('Bucket Counts'!$P:$P, 'Bucket Counts'!$D:$D, "*" &amp; AD$2 &amp; "*", 'Bucket Counts'!$A:$A, "="&amp;$A53))</f>
        <v>0</v>
      </c>
      <c r="AE53" s="398">
        <f>AD52+SUM(AC52:AC53)</f>
        <v>28510</v>
      </c>
      <c r="AF53" s="17">
        <f>SUMIFS(Collection!$O:$O, Collection!$B:$B, "*" &amp; AF$2 &amp; "*", Collection!$A:$A, "="&amp;$A53)</f>
        <v>0</v>
      </c>
      <c r="AG53" s="17">
        <f>(SUMIFS('Bucket Counts'!$P:$P, 'Bucket Counts'!$D:$D, "*" &amp; AG$2 &amp; "*", 'Bucket Counts'!$A:$A, "="&amp;$A53))</f>
        <v>0</v>
      </c>
      <c r="AH53" s="398">
        <f>AG52+SUM(AF52:AF53)</f>
        <v>3669.4444444444443</v>
      </c>
      <c r="AI53" s="17">
        <f>SUMIFS(Collection!$O:$O, Collection!$B:$B, "*" &amp; AI$2 &amp; "*", Collection!$A:$A, "="&amp;$A53)</f>
        <v>0</v>
      </c>
      <c r="AJ53" s="17">
        <f>(SUMIFS('Bucket Counts'!$P:$P, 'Bucket Counts'!$D:$D, "*" &amp; AJ$2 &amp; "*", 'Bucket Counts'!$A:$A, "="&amp;$A53))</f>
        <v>0</v>
      </c>
      <c r="AK53" s="398">
        <f>AJ52+SUM(AI52:AI53)</f>
        <v>20135</v>
      </c>
      <c r="AL53" s="17">
        <f>SUMIFS(Collection!$O:$O, Collection!$B:$B, "*" &amp; AL$2 &amp; "*", Collection!$A:$A, "="&amp;$A53)</f>
        <v>0</v>
      </c>
      <c r="AM53" s="17">
        <f>(SUMIFS('Bucket Counts'!$P:$P, 'Bucket Counts'!$D:$D, "*" &amp; AM$2 &amp; "*", 'Bucket Counts'!$A:$A, "="&amp;$A53))</f>
        <v>0</v>
      </c>
      <c r="AN53" s="398">
        <f>AM52+SUM(AL52:AL53)</f>
        <v>3557.5000000000005</v>
      </c>
      <c r="AO53" s="17">
        <f>SUMIFS(Collection!$O:$O, Collection!$B:$B, "*" &amp; AO$2 &amp; "*", Collection!$A:$A, "="&amp;$A53)</f>
        <v>0</v>
      </c>
      <c r="AP53" s="17">
        <f>(SUMIFS('Bucket Counts'!$P:$P, 'Bucket Counts'!$D:$D, "*" &amp; AP$2 &amp; "*", 'Bucket Counts'!$A:$A, "="&amp;$A53))</f>
        <v>0</v>
      </c>
      <c r="AQ53" s="398">
        <f>AP52+SUM(AO52:AO53)</f>
        <v>0</v>
      </c>
      <c r="AR53" s="17">
        <f>SUMIFS(Collection!$O:$O, Collection!$B:$B, "*" &amp; AR$2 &amp; "*", Collection!$A:$A, "="&amp;$A53)</f>
        <v>0</v>
      </c>
      <c r="AS53" s="17">
        <f>(SUMIFS('Bucket Counts'!$P:$P, 'Bucket Counts'!$D:$D, "*" &amp; AS$2 &amp; "*", 'Bucket Counts'!$A:$A, "="&amp;$A53))</f>
        <v>0</v>
      </c>
      <c r="AT53" s="398">
        <f>AS52+SUM(AR52:AR53)</f>
        <v>17280</v>
      </c>
      <c r="AU53" s="17">
        <f>SUMIFS(Collection!$O:$O, Collection!$B:$B, "*" &amp; AU$2 &amp; "*", Collection!$A:$A, "="&amp;$A53)</f>
        <v>0</v>
      </c>
      <c r="AV53" s="17">
        <f>(SUMIFS('Bucket Counts'!$P:$P, 'Bucket Counts'!$D:$D, "*" &amp; AV$2 &amp; "*", 'Bucket Counts'!$A:$A, "="&amp;$A53))</f>
        <v>0</v>
      </c>
      <c r="AW53" s="398">
        <f>AV52+SUM(AU52:AU53)</f>
        <v>7193.3333333333339</v>
      </c>
    </row>
    <row r="54" spans="1:49">
      <c r="A54" s="16">
        <f t="shared" si="0"/>
        <v>42924</v>
      </c>
      <c r="B54" s="397">
        <f>SUMIFS(Collection!$O:$O, Collection!$B:$B, "*" &amp; B$2 &amp; "*", Collection!$A:$A, "="&amp;$A54)</f>
        <v>0</v>
      </c>
      <c r="C54" s="118">
        <f>(SUMIFS('Bucket Counts'!$P:$P, 'Bucket Counts'!$D:$D, "*" &amp; C$2 &amp; "*", 'Bucket Counts'!$A:$A, "="&amp;$A54))</f>
        <v>0</v>
      </c>
      <c r="D54" s="398">
        <f>C52+SUM(B52:B54)</f>
        <v>466</v>
      </c>
      <c r="E54" s="397">
        <f>SUMIFS(Collection!$O:$O, Collection!$B:$B, "*" &amp; E$2 &amp; "*", Collection!$A:$A, "="&amp;$A54)</f>
        <v>0</v>
      </c>
      <c r="F54" s="118">
        <f>(SUMIFS('Bucket Counts'!$P:$P, 'Bucket Counts'!$D:$D, "*" &amp; F$2 &amp; "*", 'Bucket Counts'!$A:$A, "="&amp;$A54))</f>
        <v>0</v>
      </c>
      <c r="G54" s="398">
        <f>F52+SUM(E52:E54)</f>
        <v>0</v>
      </c>
      <c r="H54" s="397">
        <f>SUMIFS(Collection!$O:$O, Collection!$B:$B, "*" &amp; H$2 &amp; "*", Collection!$A:$A, "="&amp;$A54)</f>
        <v>0</v>
      </c>
      <c r="I54" s="118">
        <f>(SUMIFS('Bucket Counts'!$P:$P, 'Bucket Counts'!$D:$D, "*" &amp; I$2 &amp; "*", 'Bucket Counts'!$A:$A, "="&amp;$A54))</f>
        <v>0</v>
      </c>
      <c r="J54" s="398">
        <f>I52+SUM(H52:H54)</f>
        <v>200</v>
      </c>
      <c r="K54" s="17">
        <f>SUMIFS(Collection!$O:$O, Collection!$B:$B, "*" &amp; K$2 &amp; "*", Collection!$A:$A, "="&amp;$A54)</f>
        <v>0</v>
      </c>
      <c r="L54" s="17">
        <f>(SUMIFS('Bucket Counts'!$P:$P, 'Bucket Counts'!$D:$D, "*" &amp; L$2 &amp; "*", 'Bucket Counts'!$A:$A, "="&amp;$A54))</f>
        <v>0</v>
      </c>
      <c r="M54" s="398">
        <f>L52+SUM(K52:K54)</f>
        <v>20583.333333333336</v>
      </c>
      <c r="N54" s="17">
        <f>SUMIFS(Collection!$O:$O, Collection!$B:$B, "*" &amp; N$2 &amp; "*", Collection!$A:$A, "="&amp;$A54)</f>
        <v>0</v>
      </c>
      <c r="O54" s="17">
        <f>(SUMIFS('Bucket Counts'!$P:$P, 'Bucket Counts'!$D:$D, "*" &amp; O$2 &amp; "*", 'Bucket Counts'!$A:$A, "="&amp;$A54))</f>
        <v>0</v>
      </c>
      <c r="P54" s="398">
        <f>O52+SUM(N52:N54)</f>
        <v>200035.77777777778</v>
      </c>
      <c r="Q54" s="17">
        <f>SUMIFS(Collection!$O:$O, Collection!$B:$B, "*" &amp; Q$2 &amp; "*", Collection!$A:$A, "="&amp;$A54)</f>
        <v>0</v>
      </c>
      <c r="R54" s="17">
        <f>(SUMIFS('Bucket Counts'!$P:$P, 'Bucket Counts'!$D:$D, "*" &amp; R$2 &amp; "*", 'Bucket Counts'!$A:$A, "="&amp;$A54))</f>
        <v>0</v>
      </c>
      <c r="S54" s="398">
        <f>R52+SUM(Q52:Q54)</f>
        <v>0</v>
      </c>
      <c r="T54" s="17">
        <f>SUMIFS(Collection!$O:$O, Collection!$B:$B, "*" &amp; T$2 &amp; "*", Collection!$A:$A, "="&amp;$A54)</f>
        <v>0</v>
      </c>
      <c r="U54" s="17">
        <f>(SUMIFS('Bucket Counts'!$P:$P, 'Bucket Counts'!$D:$D, "*" &amp; U$2 &amp; "*", 'Bucket Counts'!$A:$A, "="&amp;$A54))</f>
        <v>0</v>
      </c>
      <c r="V54" s="398">
        <f>U52+SUM(T52:T54)</f>
        <v>1245.1111111111111</v>
      </c>
      <c r="W54" s="17">
        <f>SUMIFS(Collection!$O:$O, Collection!$B:$B, "*" &amp; W$2 &amp; "*", Collection!$A:$A, "="&amp;$A54)</f>
        <v>0</v>
      </c>
      <c r="X54" s="17">
        <f>(SUMIFS('Bucket Counts'!$P:$P, 'Bucket Counts'!$D:$D, "*" &amp; X$2 &amp; "*", 'Bucket Counts'!$A:$A, "="&amp;$A54))</f>
        <v>0</v>
      </c>
      <c r="Y54" s="398">
        <f>X52+SUM(W52:W54)</f>
        <v>396</v>
      </c>
      <c r="Z54" s="17">
        <f>SUMIFS(Collection!$O:$O, Collection!$B:$B, "*" &amp; Z$2 &amp; "*", Collection!$A:$A, "="&amp;$A54)</f>
        <v>0</v>
      </c>
      <c r="AA54" s="17">
        <f>(SUMIFS('Bucket Counts'!$P:$P, 'Bucket Counts'!$D:$D, "*" &amp; AA$2 &amp; "*", 'Bucket Counts'!$A:$A, "="&amp;$A54))</f>
        <v>0</v>
      </c>
      <c r="AB54" s="398">
        <f>AA52+SUM(Z52:Z54)</f>
        <v>77396.666666666672</v>
      </c>
      <c r="AC54" s="17">
        <f>SUMIFS(Collection!$O:$O, Collection!$B:$B, "*" &amp; AC$2 &amp; "*", Collection!$A:$A, "="&amp;$A54)</f>
        <v>0</v>
      </c>
      <c r="AD54" s="17">
        <f>(SUMIFS('Bucket Counts'!$P:$P, 'Bucket Counts'!$D:$D, "*" &amp; AD$2 &amp; "*", 'Bucket Counts'!$A:$A, "="&amp;$A54))</f>
        <v>0</v>
      </c>
      <c r="AE54" s="398">
        <f>AD52+SUM(AC52:AC54)</f>
        <v>28510</v>
      </c>
      <c r="AF54" s="17">
        <f>SUMIFS(Collection!$O:$O, Collection!$B:$B, "*" &amp; AF$2 &amp; "*", Collection!$A:$A, "="&amp;$A54)</f>
        <v>0</v>
      </c>
      <c r="AG54" s="17">
        <f>(SUMIFS('Bucket Counts'!$P:$P, 'Bucket Counts'!$D:$D, "*" &amp; AG$2 &amp; "*", 'Bucket Counts'!$A:$A, "="&amp;$A54))</f>
        <v>0</v>
      </c>
      <c r="AH54" s="398">
        <f>AG52+SUM(AF52:AF54)</f>
        <v>3669.4444444444443</v>
      </c>
      <c r="AI54" s="17">
        <f>SUMIFS(Collection!$O:$O, Collection!$B:$B, "*" &amp; AI$2 &amp; "*", Collection!$A:$A, "="&amp;$A54)</f>
        <v>0</v>
      </c>
      <c r="AJ54" s="17">
        <f>(SUMIFS('Bucket Counts'!$P:$P, 'Bucket Counts'!$D:$D, "*" &amp; AJ$2 &amp; "*", 'Bucket Counts'!$A:$A, "="&amp;$A54))</f>
        <v>0</v>
      </c>
      <c r="AK54" s="398">
        <f>AJ52+SUM(AI52:AI54)</f>
        <v>20135</v>
      </c>
      <c r="AL54" s="17">
        <f>SUMIFS(Collection!$O:$O, Collection!$B:$B, "*" &amp; AL$2 &amp; "*", Collection!$A:$A, "="&amp;$A54)</f>
        <v>0</v>
      </c>
      <c r="AM54" s="17">
        <f>(SUMIFS('Bucket Counts'!$P:$P, 'Bucket Counts'!$D:$D, "*" &amp; AM$2 &amp; "*", 'Bucket Counts'!$A:$A, "="&amp;$A54))</f>
        <v>0</v>
      </c>
      <c r="AN54" s="398">
        <f>AM52+SUM(AL52:AL54)</f>
        <v>3557.5000000000005</v>
      </c>
      <c r="AO54" s="17">
        <f>SUMIFS(Collection!$O:$O, Collection!$B:$B, "*" &amp; AO$2 &amp; "*", Collection!$A:$A, "="&amp;$A54)</f>
        <v>0</v>
      </c>
      <c r="AP54" s="17">
        <f>(SUMIFS('Bucket Counts'!$P:$P, 'Bucket Counts'!$D:$D, "*" &amp; AP$2 &amp; "*", 'Bucket Counts'!$A:$A, "="&amp;$A54))</f>
        <v>0</v>
      </c>
      <c r="AQ54" s="398">
        <f>AP52+SUM(AO52:AO54)</f>
        <v>0</v>
      </c>
      <c r="AR54" s="17">
        <f>SUMIFS(Collection!$O:$O, Collection!$B:$B, "*" &amp; AR$2 &amp; "*", Collection!$A:$A, "="&amp;$A54)</f>
        <v>0</v>
      </c>
      <c r="AS54" s="17">
        <f>(SUMIFS('Bucket Counts'!$P:$P, 'Bucket Counts'!$D:$D, "*" &amp; AS$2 &amp; "*", 'Bucket Counts'!$A:$A, "="&amp;$A54))</f>
        <v>0</v>
      </c>
      <c r="AT54" s="398">
        <f>AS52+SUM(AR52:AR54)</f>
        <v>17280</v>
      </c>
      <c r="AU54" s="17">
        <f>SUMIFS(Collection!$O:$O, Collection!$B:$B, "*" &amp; AU$2 &amp; "*", Collection!$A:$A, "="&amp;$A54)</f>
        <v>0</v>
      </c>
      <c r="AV54" s="17">
        <f>(SUMIFS('Bucket Counts'!$P:$P, 'Bucket Counts'!$D:$D, "*" &amp; AV$2 &amp; "*", 'Bucket Counts'!$A:$A, "="&amp;$A54))</f>
        <v>0</v>
      </c>
      <c r="AW54" s="398">
        <f>AV52+SUM(AU52:AU54)</f>
        <v>7193.3333333333339</v>
      </c>
    </row>
    <row r="55" spans="1:49">
      <c r="A55" s="16">
        <f t="shared" si="0"/>
        <v>42925</v>
      </c>
      <c r="B55" s="397">
        <f>SUMIFS(Collection!$O:$O, Collection!$B:$B, "*" &amp; B$2 &amp; "*", Collection!$A:$A, "="&amp;$A55)</f>
        <v>0</v>
      </c>
      <c r="C55" s="118">
        <f>(SUMIFS('Bucket Counts'!$P:$P, 'Bucket Counts'!$D:$D, "*" &amp; C$2 &amp; "*", 'Bucket Counts'!$A:$A, "="&amp;$A55))</f>
        <v>0</v>
      </c>
      <c r="D55" s="398">
        <f>C52+SUM(B52:B55)</f>
        <v>466</v>
      </c>
      <c r="E55" s="397">
        <f>SUMIFS(Collection!$O:$O, Collection!$B:$B, "*" &amp; E$2 &amp; "*", Collection!$A:$A, "="&amp;$A55)</f>
        <v>0</v>
      </c>
      <c r="F55" s="118">
        <f>(SUMIFS('Bucket Counts'!$P:$P, 'Bucket Counts'!$D:$D, "*" &amp; F$2 &amp; "*", 'Bucket Counts'!$A:$A, "="&amp;$A55))</f>
        <v>0</v>
      </c>
      <c r="G55" s="398">
        <f>F52+SUM(E52:E55)</f>
        <v>0</v>
      </c>
      <c r="H55" s="397">
        <f>SUMIFS(Collection!$O:$O, Collection!$B:$B, "*" &amp; H$2 &amp; "*", Collection!$A:$A, "="&amp;$A55)</f>
        <v>0</v>
      </c>
      <c r="I55" s="118">
        <f>(SUMIFS('Bucket Counts'!$P:$P, 'Bucket Counts'!$D:$D, "*" &amp; I$2 &amp; "*", 'Bucket Counts'!$A:$A, "="&amp;$A55))</f>
        <v>0</v>
      </c>
      <c r="J55" s="398">
        <f>I52+SUM(H52:H55)</f>
        <v>200</v>
      </c>
      <c r="K55" s="17">
        <f>SUMIFS(Collection!$O:$O, Collection!$B:$B, "*" &amp; K$2 &amp; "*", Collection!$A:$A, "="&amp;$A55)</f>
        <v>0</v>
      </c>
      <c r="L55" s="17">
        <f>(SUMIFS('Bucket Counts'!$P:$P, 'Bucket Counts'!$D:$D, "*" &amp; L$2 &amp; "*", 'Bucket Counts'!$A:$A, "="&amp;$A55))</f>
        <v>0</v>
      </c>
      <c r="M55" s="398">
        <f>L52+SUM(K52:K55)</f>
        <v>20583.333333333336</v>
      </c>
      <c r="N55" s="17">
        <f>SUMIFS(Collection!$O:$O, Collection!$B:$B, "*" &amp; N$2 &amp; "*", Collection!$A:$A, "="&amp;$A55)</f>
        <v>0</v>
      </c>
      <c r="O55" s="17">
        <f>(SUMIFS('Bucket Counts'!$P:$P, 'Bucket Counts'!$D:$D, "*" &amp; O$2 &amp; "*", 'Bucket Counts'!$A:$A, "="&amp;$A55))</f>
        <v>0</v>
      </c>
      <c r="P55" s="398">
        <f>O52+SUM(N52:N55)</f>
        <v>200035.77777777778</v>
      </c>
      <c r="Q55" s="17">
        <f>SUMIFS(Collection!$O:$O, Collection!$B:$B, "*" &amp; Q$2 &amp; "*", Collection!$A:$A, "="&amp;$A55)</f>
        <v>0</v>
      </c>
      <c r="R55" s="17">
        <f>(SUMIFS('Bucket Counts'!$P:$P, 'Bucket Counts'!$D:$D, "*" &amp; R$2 &amp; "*", 'Bucket Counts'!$A:$A, "="&amp;$A55))</f>
        <v>0</v>
      </c>
      <c r="S55" s="398">
        <f>R52+SUM(Q52:Q55)</f>
        <v>0</v>
      </c>
      <c r="T55" s="17">
        <f>SUMIFS(Collection!$O:$O, Collection!$B:$B, "*" &amp; T$2 &amp; "*", Collection!$A:$A, "="&amp;$A55)</f>
        <v>0</v>
      </c>
      <c r="U55" s="17">
        <f>(SUMIFS('Bucket Counts'!$P:$P, 'Bucket Counts'!$D:$D, "*" &amp; U$2 &amp; "*", 'Bucket Counts'!$A:$A, "="&amp;$A55))</f>
        <v>0</v>
      </c>
      <c r="V55" s="398">
        <f>U52+SUM(T52:T55)</f>
        <v>1245.1111111111111</v>
      </c>
      <c r="W55" s="17">
        <f>SUMIFS(Collection!$O:$O, Collection!$B:$B, "*" &amp; W$2 &amp; "*", Collection!$A:$A, "="&amp;$A55)</f>
        <v>0</v>
      </c>
      <c r="X55" s="17">
        <f>(SUMIFS('Bucket Counts'!$P:$P, 'Bucket Counts'!$D:$D, "*" &amp; X$2 &amp; "*", 'Bucket Counts'!$A:$A, "="&amp;$A55))</f>
        <v>0</v>
      </c>
      <c r="Y55" s="398">
        <f>X52+SUM(W52:W55)</f>
        <v>396</v>
      </c>
      <c r="Z55" s="17">
        <f>SUMIFS(Collection!$O:$O, Collection!$B:$B, "*" &amp; Z$2 &amp; "*", Collection!$A:$A, "="&amp;$A55)</f>
        <v>0</v>
      </c>
      <c r="AA55" s="17">
        <f>(SUMIFS('Bucket Counts'!$P:$P, 'Bucket Counts'!$D:$D, "*" &amp; AA$2 &amp; "*", 'Bucket Counts'!$A:$A, "="&amp;$A55))</f>
        <v>0</v>
      </c>
      <c r="AB55" s="398">
        <f>AA52+SUM(Z52:Z55)</f>
        <v>77396.666666666672</v>
      </c>
      <c r="AC55" s="17">
        <f>SUMIFS(Collection!$O:$O, Collection!$B:$B, "*" &amp; AC$2 &amp; "*", Collection!$A:$A, "="&amp;$A55)</f>
        <v>0</v>
      </c>
      <c r="AD55" s="17">
        <f>(SUMIFS('Bucket Counts'!$P:$P, 'Bucket Counts'!$D:$D, "*" &amp; AD$2 &amp; "*", 'Bucket Counts'!$A:$A, "="&amp;$A55))</f>
        <v>0</v>
      </c>
      <c r="AE55" s="398">
        <f>AD52+SUM(AC52:AC55)</f>
        <v>28510</v>
      </c>
      <c r="AF55" s="17">
        <f>SUMIFS(Collection!$O:$O, Collection!$B:$B, "*" &amp; AF$2 &amp; "*", Collection!$A:$A, "="&amp;$A55)</f>
        <v>0</v>
      </c>
      <c r="AG55" s="17">
        <f>(SUMIFS('Bucket Counts'!$P:$P, 'Bucket Counts'!$D:$D, "*" &amp; AG$2 &amp; "*", 'Bucket Counts'!$A:$A, "="&amp;$A55))</f>
        <v>0</v>
      </c>
      <c r="AH55" s="398">
        <f>AG52+SUM(AF52:AF55)</f>
        <v>3669.4444444444443</v>
      </c>
      <c r="AI55" s="17">
        <f>SUMIFS(Collection!$O:$O, Collection!$B:$B, "*" &amp; AI$2 &amp; "*", Collection!$A:$A, "="&amp;$A55)</f>
        <v>0</v>
      </c>
      <c r="AJ55" s="17">
        <f>(SUMIFS('Bucket Counts'!$P:$P, 'Bucket Counts'!$D:$D, "*" &amp; AJ$2 &amp; "*", 'Bucket Counts'!$A:$A, "="&amp;$A55))</f>
        <v>0</v>
      </c>
      <c r="AK55" s="398">
        <f>AJ52+SUM(AI52:AI55)</f>
        <v>20135</v>
      </c>
      <c r="AL55" s="17">
        <f>SUMIFS(Collection!$O:$O, Collection!$B:$B, "*" &amp; AL$2 &amp; "*", Collection!$A:$A, "="&amp;$A55)</f>
        <v>0</v>
      </c>
      <c r="AM55" s="17">
        <f>(SUMIFS('Bucket Counts'!$P:$P, 'Bucket Counts'!$D:$D, "*" &amp; AM$2 &amp; "*", 'Bucket Counts'!$A:$A, "="&amp;$A55))</f>
        <v>0</v>
      </c>
      <c r="AN55" s="398">
        <f>AM52+SUM(AL52:AL55)</f>
        <v>3557.5000000000005</v>
      </c>
      <c r="AO55" s="17">
        <f>SUMIFS(Collection!$O:$O, Collection!$B:$B, "*" &amp; AO$2 &amp; "*", Collection!$A:$A, "="&amp;$A55)</f>
        <v>0</v>
      </c>
      <c r="AP55" s="17">
        <f>(SUMIFS('Bucket Counts'!$P:$P, 'Bucket Counts'!$D:$D, "*" &amp; AP$2 &amp; "*", 'Bucket Counts'!$A:$A, "="&amp;$A55))</f>
        <v>0</v>
      </c>
      <c r="AQ55" s="398">
        <f>AP52+SUM(AO52:AO55)</f>
        <v>0</v>
      </c>
      <c r="AR55" s="17">
        <f>SUMIFS(Collection!$O:$O, Collection!$B:$B, "*" &amp; AR$2 &amp; "*", Collection!$A:$A, "="&amp;$A55)</f>
        <v>0</v>
      </c>
      <c r="AS55" s="17">
        <f>(SUMIFS('Bucket Counts'!$P:$P, 'Bucket Counts'!$D:$D, "*" &amp; AS$2 &amp; "*", 'Bucket Counts'!$A:$A, "="&amp;$A55))</f>
        <v>0</v>
      </c>
      <c r="AT55" s="398">
        <f>AS52+SUM(AR52:AR55)</f>
        <v>17280</v>
      </c>
      <c r="AU55" s="17">
        <f>SUMIFS(Collection!$O:$O, Collection!$B:$B, "*" &amp; AU$2 &amp; "*", Collection!$A:$A, "="&amp;$A55)</f>
        <v>0</v>
      </c>
      <c r="AV55" s="17">
        <f>(SUMIFS('Bucket Counts'!$P:$P, 'Bucket Counts'!$D:$D, "*" &amp; AV$2 &amp; "*", 'Bucket Counts'!$A:$A, "="&amp;$A55))</f>
        <v>0</v>
      </c>
      <c r="AW55" s="398">
        <f>AV52+SUM(AU52:AU55)</f>
        <v>7193.3333333333339</v>
      </c>
    </row>
    <row r="56" spans="1:49">
      <c r="A56" s="16">
        <f t="shared" si="0"/>
        <v>42926</v>
      </c>
      <c r="B56" s="397">
        <f>SUMIFS(Collection!$O:$O, Collection!$B:$B, "*" &amp; B$2 &amp; "*", Collection!$A:$A, "="&amp;$A56)</f>
        <v>0</v>
      </c>
      <c r="C56" s="118">
        <f>(SUMIFS('Bucket Counts'!$P:$P, 'Bucket Counts'!$D:$D, "*" &amp; C$2 &amp; "*", 'Bucket Counts'!$A:$A, "="&amp;$A56))</f>
        <v>155.55555555555557</v>
      </c>
      <c r="D56" s="398">
        <f>C56+B56</f>
        <v>155.55555555555557</v>
      </c>
      <c r="E56" s="397">
        <f>SUMIFS(Collection!$O:$O, Collection!$B:$B, "*" &amp; E$2 &amp; "*", Collection!$A:$A, "="&amp;$A56)</f>
        <v>0</v>
      </c>
      <c r="F56" s="118">
        <f>(SUMIFS('Bucket Counts'!$P:$P, 'Bucket Counts'!$D:$D, "*" &amp; F$2 &amp; "*", 'Bucket Counts'!$A:$A, "="&amp;$A56))</f>
        <v>0</v>
      </c>
      <c r="G56" s="398">
        <f>F56+E56</f>
        <v>0</v>
      </c>
      <c r="H56" s="397">
        <f>SUMIFS(Collection!$O:$O, Collection!$B:$B, "*" &amp; H$2 &amp; "*", Collection!$A:$A, "="&amp;$A56)</f>
        <v>0</v>
      </c>
      <c r="I56" s="118">
        <f>(SUMIFS('Bucket Counts'!$P:$P, 'Bucket Counts'!$D:$D, "*" &amp; I$2 &amp; "*", 'Bucket Counts'!$A:$A, "="&amp;$A56))</f>
        <v>20</v>
      </c>
      <c r="J56" s="398">
        <f>I56+H56</f>
        <v>20</v>
      </c>
      <c r="K56" s="17">
        <f>SUMIFS(Collection!$O:$O, Collection!$B:$B, "*" &amp; K$2 &amp; "*", Collection!$A:$A, "="&amp;$A56)</f>
        <v>0</v>
      </c>
      <c r="L56" s="17">
        <f>(SUMIFS('Bucket Counts'!$P:$P, 'Bucket Counts'!$D:$D, "*" &amp; L$2 &amp; "*", 'Bucket Counts'!$A:$A, "="&amp;$A56))</f>
        <v>14127.499999999998</v>
      </c>
      <c r="M56" s="398">
        <f>L56+K56</f>
        <v>14127.499999999998</v>
      </c>
      <c r="N56" s="17">
        <f>SUMIFS(Collection!$O:$O, Collection!$B:$B, "*" &amp; N$2 &amp; "*", Collection!$A:$A, "="&amp;$A56)</f>
        <v>0</v>
      </c>
      <c r="O56" s="17">
        <f>(SUMIFS('Bucket Counts'!$P:$P, 'Bucket Counts'!$D:$D, "*" &amp; O$2 &amp; "*", 'Bucket Counts'!$A:$A, "="&amp;$A56))</f>
        <v>74258.333333333328</v>
      </c>
      <c r="P56" s="398">
        <f>O56+N56</f>
        <v>74258.333333333328</v>
      </c>
      <c r="Q56" s="17">
        <f>SUMIFS(Collection!$O:$O, Collection!$B:$B, "*" &amp; Q$2 &amp; "*", Collection!$A:$A, "="&amp;$A56)</f>
        <v>0</v>
      </c>
      <c r="R56" s="17">
        <f>(SUMIFS('Bucket Counts'!$P:$P, 'Bucket Counts'!$D:$D, "*" &amp; R$2 &amp; "*", 'Bucket Counts'!$A:$A, "="&amp;$A56))</f>
        <v>0</v>
      </c>
      <c r="S56" s="398">
        <f>R56+Q56</f>
        <v>0</v>
      </c>
      <c r="T56" s="17">
        <f>SUMIFS(Collection!$O:$O, Collection!$B:$B, "*" &amp; T$2 &amp; "*", Collection!$A:$A, "="&amp;$A56)</f>
        <v>0</v>
      </c>
      <c r="U56" s="17">
        <f>(SUMIFS('Bucket Counts'!$P:$P, 'Bucket Counts'!$D:$D, "*" &amp; U$2 &amp; "*", 'Bucket Counts'!$A:$A, "="&amp;$A56))</f>
        <v>491.11111111111109</v>
      </c>
      <c r="V56" s="398">
        <f>U56+T56</f>
        <v>491.11111111111109</v>
      </c>
      <c r="W56" s="17">
        <f>SUMIFS(Collection!$O:$O, Collection!$B:$B, "*" &amp; W$2 &amp; "*", Collection!$A:$A, "="&amp;$A56)</f>
        <v>0</v>
      </c>
      <c r="X56" s="17">
        <f>(SUMIFS('Bucket Counts'!$P:$P, 'Bucket Counts'!$D:$D, "*" &amp; X$2 &amp; "*", 'Bucket Counts'!$A:$A, "="&amp;$A56))</f>
        <v>39</v>
      </c>
      <c r="Y56" s="398">
        <f>X56+W56</f>
        <v>39</v>
      </c>
      <c r="Z56" s="17">
        <f>SUMIFS(Collection!$O:$O, Collection!$B:$B, "*" &amp; Z$2 &amp; "*", Collection!$A:$A, "="&amp;$A56)</f>
        <v>0</v>
      </c>
      <c r="AA56" s="17">
        <f>(SUMIFS('Bucket Counts'!$P:$P, 'Bucket Counts'!$D:$D, "*" &amp; AA$2 &amp; "*", 'Bucket Counts'!$A:$A, "="&amp;$A56))</f>
        <v>50100</v>
      </c>
      <c r="AB56" s="398">
        <f>AA56+Z56</f>
        <v>50100</v>
      </c>
      <c r="AC56" s="17">
        <f>SUMIFS(Collection!$O:$O, Collection!$B:$B, "*" &amp; AC$2 &amp; "*", Collection!$A:$A, "="&amp;$A56)</f>
        <v>0</v>
      </c>
      <c r="AD56" s="17">
        <f>(SUMIFS('Bucket Counts'!$P:$P, 'Bucket Counts'!$D:$D, "*" &amp; AD$2 &amp; "*", 'Bucket Counts'!$A:$A, "="&amp;$A56))</f>
        <v>23628.333333333336</v>
      </c>
      <c r="AE56" s="398">
        <f>AD56+AC56</f>
        <v>23628.333333333336</v>
      </c>
      <c r="AF56" s="17">
        <f>SUMIFS(Collection!$O:$O, Collection!$B:$B, "*" &amp; AF$2 &amp; "*", Collection!$A:$A, "="&amp;$A56)</f>
        <v>0</v>
      </c>
      <c r="AG56" s="17">
        <f>(SUMIFS('Bucket Counts'!$P:$P, 'Bucket Counts'!$D:$D, "*" &amp; AG$2 &amp; "*", 'Bucket Counts'!$A:$A, "="&amp;$A56))</f>
        <v>2128.3333333333335</v>
      </c>
      <c r="AH56" s="398">
        <f>AG56+AF56</f>
        <v>2128.3333333333335</v>
      </c>
      <c r="AI56" s="17">
        <f>SUMIFS(Collection!$O:$O, Collection!$B:$B, "*" &amp; AI$2 &amp; "*", Collection!$A:$A, "="&amp;$A56)</f>
        <v>0</v>
      </c>
      <c r="AJ56" s="17">
        <f>(SUMIFS('Bucket Counts'!$P:$P, 'Bucket Counts'!$D:$D, "*" &amp; AJ$2 &amp; "*", 'Bucket Counts'!$A:$A, "="&amp;$A56))</f>
        <v>7483.333333333333</v>
      </c>
      <c r="AK56" s="398">
        <f>AJ56+AI56</f>
        <v>7483.333333333333</v>
      </c>
      <c r="AL56" s="17">
        <f>SUMIFS(Collection!$O:$O, Collection!$B:$B, "*" &amp; AL$2 &amp; "*", Collection!$A:$A, "="&amp;$A56)</f>
        <v>0</v>
      </c>
      <c r="AM56" s="17">
        <f>(SUMIFS('Bucket Counts'!$P:$P, 'Bucket Counts'!$D:$D, "*" &amp; AM$2 &amp; "*", 'Bucket Counts'!$A:$A, "="&amp;$A56))</f>
        <v>1892.7777777777778</v>
      </c>
      <c r="AN56" s="398">
        <f>AM56+AL56</f>
        <v>1892.7777777777778</v>
      </c>
      <c r="AO56" s="17">
        <f>SUMIFS(Collection!$O:$O, Collection!$B:$B, "*" &amp; AO$2 &amp; "*", Collection!$A:$A, "="&amp;$A56)</f>
        <v>0</v>
      </c>
      <c r="AP56" s="17">
        <f>(SUMIFS('Bucket Counts'!$P:$P, 'Bucket Counts'!$D:$D, "*" &amp; AP$2 &amp; "*", 'Bucket Counts'!$A:$A, "="&amp;$A56))</f>
        <v>0</v>
      </c>
      <c r="AQ56" s="398">
        <f>AP56+AO56</f>
        <v>0</v>
      </c>
      <c r="AR56" s="17">
        <f>SUMIFS(Collection!$O:$O, Collection!$B:$B, "*" &amp; AR$2 &amp; "*", Collection!$A:$A, "="&amp;$A56)</f>
        <v>0</v>
      </c>
      <c r="AS56" s="17">
        <f>(SUMIFS('Bucket Counts'!$P:$P, 'Bucket Counts'!$D:$D, "*" &amp; AS$2 &amp; "*", 'Bucket Counts'!$A:$A, "="&amp;$A56))</f>
        <v>7969.4444444444434</v>
      </c>
      <c r="AT56" s="398">
        <f>AS56+AR56</f>
        <v>7969.4444444444434</v>
      </c>
      <c r="AU56" s="17">
        <f>SUMIFS(Collection!$O:$O, Collection!$B:$B, "*" &amp; AU$2 &amp; "*", Collection!$A:$A, "="&amp;$A56)</f>
        <v>0</v>
      </c>
      <c r="AV56" s="17">
        <f>(SUMIFS('Bucket Counts'!$P:$P, 'Bucket Counts'!$D:$D, "*" &amp; AV$2 &amp; "*", 'Bucket Counts'!$A:$A, "="&amp;$A56))</f>
        <v>3277.5</v>
      </c>
      <c r="AW56" s="398">
        <f>AV56+AU56</f>
        <v>3277.5</v>
      </c>
    </row>
    <row r="57" spans="1:49">
      <c r="A57" s="16">
        <f t="shared" si="0"/>
        <v>42927</v>
      </c>
      <c r="B57" s="397">
        <f>SUMIFS(Collection!$O:$O, Collection!$B:$B, "*" &amp; B$2 &amp; "*", Collection!$A:$A, "="&amp;$A57)</f>
        <v>0</v>
      </c>
      <c r="C57" s="118">
        <f>(SUMIFS('Bucket Counts'!$P:$P, 'Bucket Counts'!$D:$D, "*" &amp; C$2 &amp; "*", 'Bucket Counts'!$A:$A, "="&amp;$A57))</f>
        <v>0</v>
      </c>
      <c r="D57" s="398">
        <f>C56+SUM(B56:B57)</f>
        <v>155.55555555555557</v>
      </c>
      <c r="E57" s="397">
        <f>SUMIFS(Collection!$O:$O, Collection!$B:$B, "*" &amp; E$2 &amp; "*", Collection!$A:$A, "="&amp;$A57)</f>
        <v>0</v>
      </c>
      <c r="F57" s="118">
        <f>(SUMIFS('Bucket Counts'!$P:$P, 'Bucket Counts'!$D:$D, "*" &amp; F$2 &amp; "*", 'Bucket Counts'!$A:$A, "="&amp;$A57))</f>
        <v>0</v>
      </c>
      <c r="G57" s="398">
        <f>F56+SUM(E56:E57)</f>
        <v>0</v>
      </c>
      <c r="H57" s="397">
        <f>SUMIFS(Collection!$O:$O, Collection!$B:$B, "*" &amp; H$2 &amp; "*", Collection!$A:$A, "="&amp;$A57)</f>
        <v>0</v>
      </c>
      <c r="I57" s="118">
        <f>(SUMIFS('Bucket Counts'!$P:$P, 'Bucket Counts'!$D:$D, "*" &amp; I$2 &amp; "*", 'Bucket Counts'!$A:$A, "="&amp;$A57))</f>
        <v>0</v>
      </c>
      <c r="J57" s="398">
        <f>I56+SUM(H56:H57)</f>
        <v>20</v>
      </c>
      <c r="K57" s="17">
        <f>SUMIFS(Collection!$O:$O, Collection!$B:$B, "*" &amp; K$2 &amp; "*", Collection!$A:$A, "="&amp;$A57)</f>
        <v>0</v>
      </c>
      <c r="L57" s="17">
        <f>(SUMIFS('Bucket Counts'!$P:$P, 'Bucket Counts'!$D:$D, "*" &amp; L$2 &amp; "*", 'Bucket Counts'!$A:$A, "="&amp;$A57))</f>
        <v>0</v>
      </c>
      <c r="M57" s="398">
        <f>L56+SUM(K56:K57)</f>
        <v>14127.499999999998</v>
      </c>
      <c r="N57" s="17">
        <f>SUMIFS(Collection!$O:$O, Collection!$B:$B, "*" &amp; N$2 &amp; "*", Collection!$A:$A, "="&amp;$A57)</f>
        <v>0</v>
      </c>
      <c r="O57" s="17">
        <f>(SUMIFS('Bucket Counts'!$P:$P, 'Bucket Counts'!$D:$D, "*" &amp; O$2 &amp; "*", 'Bucket Counts'!$A:$A, "="&amp;$A57))</f>
        <v>0</v>
      </c>
      <c r="P57" s="398">
        <f>O56+SUM(N56:N57)</f>
        <v>74258.333333333328</v>
      </c>
      <c r="Q57" s="17">
        <f>SUMIFS(Collection!$O:$O, Collection!$B:$B, "*" &amp; Q$2 &amp; "*", Collection!$A:$A, "="&amp;$A57)</f>
        <v>0</v>
      </c>
      <c r="R57" s="17">
        <f>(SUMIFS('Bucket Counts'!$P:$P, 'Bucket Counts'!$D:$D, "*" &amp; R$2 &amp; "*", 'Bucket Counts'!$A:$A, "="&amp;$A57))</f>
        <v>0</v>
      </c>
      <c r="S57" s="398">
        <f>R56+SUM(Q56:Q57)</f>
        <v>0</v>
      </c>
      <c r="T57" s="17">
        <f>SUMIFS(Collection!$O:$O, Collection!$B:$B, "*" &amp; T$2 &amp; "*", Collection!$A:$A, "="&amp;$A57)</f>
        <v>0</v>
      </c>
      <c r="U57" s="17">
        <f>(SUMIFS('Bucket Counts'!$P:$P, 'Bucket Counts'!$D:$D, "*" &amp; U$2 &amp; "*", 'Bucket Counts'!$A:$A, "="&amp;$A57))</f>
        <v>0</v>
      </c>
      <c r="V57" s="398">
        <f>U56+SUM(T56:T57)</f>
        <v>491.11111111111109</v>
      </c>
      <c r="W57" s="17">
        <f>SUMIFS(Collection!$O:$O, Collection!$B:$B, "*" &amp; W$2 &amp; "*", Collection!$A:$A, "="&amp;$A57)</f>
        <v>0</v>
      </c>
      <c r="X57" s="17">
        <f>(SUMIFS('Bucket Counts'!$P:$P, 'Bucket Counts'!$D:$D, "*" &amp; X$2 &amp; "*", 'Bucket Counts'!$A:$A, "="&amp;$A57))</f>
        <v>0</v>
      </c>
      <c r="Y57" s="398">
        <f>X56+SUM(W56:W57)</f>
        <v>39</v>
      </c>
      <c r="Z57" s="17">
        <f>SUMIFS(Collection!$O:$O, Collection!$B:$B, "*" &amp; Z$2 &amp; "*", Collection!$A:$A, "="&amp;$A57)</f>
        <v>0</v>
      </c>
      <c r="AA57" s="17">
        <f>(SUMIFS('Bucket Counts'!$P:$P, 'Bucket Counts'!$D:$D, "*" &amp; AA$2 &amp; "*", 'Bucket Counts'!$A:$A, "="&amp;$A57))</f>
        <v>0</v>
      </c>
      <c r="AB57" s="398">
        <f>AA56+SUM(Z56:Z57)</f>
        <v>50100</v>
      </c>
      <c r="AC57" s="17">
        <f>SUMIFS(Collection!$O:$O, Collection!$B:$B, "*" &amp; AC$2 &amp; "*", Collection!$A:$A, "="&amp;$A57)</f>
        <v>0</v>
      </c>
      <c r="AD57" s="17">
        <f>(SUMIFS('Bucket Counts'!$P:$P, 'Bucket Counts'!$D:$D, "*" &amp; AD$2 &amp; "*", 'Bucket Counts'!$A:$A, "="&amp;$A57))</f>
        <v>0</v>
      </c>
      <c r="AE57" s="398">
        <f>AD56+SUM(AC56:AC57)</f>
        <v>23628.333333333336</v>
      </c>
      <c r="AF57" s="17">
        <f>SUMIFS(Collection!$O:$O, Collection!$B:$B, "*" &amp; AF$2 &amp; "*", Collection!$A:$A, "="&amp;$A57)</f>
        <v>0</v>
      </c>
      <c r="AG57" s="17">
        <f>(SUMIFS('Bucket Counts'!$P:$P, 'Bucket Counts'!$D:$D, "*" &amp; AG$2 &amp; "*", 'Bucket Counts'!$A:$A, "="&amp;$A57))</f>
        <v>0</v>
      </c>
      <c r="AH57" s="398">
        <f>AG56+SUM(AF56:AF57)</f>
        <v>2128.3333333333335</v>
      </c>
      <c r="AI57" s="17">
        <f>SUMIFS(Collection!$O:$O, Collection!$B:$B, "*" &amp; AI$2 &amp; "*", Collection!$A:$A, "="&amp;$A57)</f>
        <v>0</v>
      </c>
      <c r="AJ57" s="17">
        <f>(SUMIFS('Bucket Counts'!$P:$P, 'Bucket Counts'!$D:$D, "*" &amp; AJ$2 &amp; "*", 'Bucket Counts'!$A:$A, "="&amp;$A57))</f>
        <v>0</v>
      </c>
      <c r="AK57" s="398">
        <f>AJ56+SUM(AI56:AI57)</f>
        <v>7483.333333333333</v>
      </c>
      <c r="AL57" s="17">
        <f>SUMIFS(Collection!$O:$O, Collection!$B:$B, "*" &amp; AL$2 &amp; "*", Collection!$A:$A, "="&amp;$A57)</f>
        <v>0</v>
      </c>
      <c r="AM57" s="17">
        <f>(SUMIFS('Bucket Counts'!$P:$P, 'Bucket Counts'!$D:$D, "*" &amp; AM$2 &amp; "*", 'Bucket Counts'!$A:$A, "="&amp;$A57))</f>
        <v>0</v>
      </c>
      <c r="AN57" s="398">
        <f>AM56+SUM(AL56:AL57)</f>
        <v>1892.7777777777778</v>
      </c>
      <c r="AO57" s="17">
        <f>SUMIFS(Collection!$O:$O, Collection!$B:$B, "*" &amp; AO$2 &amp; "*", Collection!$A:$A, "="&amp;$A57)</f>
        <v>0</v>
      </c>
      <c r="AP57" s="17">
        <f>(SUMIFS('Bucket Counts'!$P:$P, 'Bucket Counts'!$D:$D, "*" &amp; AP$2 &amp; "*", 'Bucket Counts'!$A:$A, "="&amp;$A57))</f>
        <v>0</v>
      </c>
      <c r="AQ57" s="398">
        <f>AP56+SUM(AO56:AO57)</f>
        <v>0</v>
      </c>
      <c r="AR57" s="17">
        <f>SUMIFS(Collection!$O:$O, Collection!$B:$B, "*" &amp; AR$2 &amp; "*", Collection!$A:$A, "="&amp;$A57)</f>
        <v>0</v>
      </c>
      <c r="AS57" s="17">
        <f>(SUMIFS('Bucket Counts'!$P:$P, 'Bucket Counts'!$D:$D, "*" &amp; AS$2 &amp; "*", 'Bucket Counts'!$A:$A, "="&amp;$A57))</f>
        <v>0</v>
      </c>
      <c r="AT57" s="398">
        <f>AS56+SUM(AR56:AR57)</f>
        <v>7969.4444444444434</v>
      </c>
      <c r="AU57" s="17">
        <f>SUMIFS(Collection!$O:$O, Collection!$B:$B, "*" &amp; AU$2 &amp; "*", Collection!$A:$A, "="&amp;$A57)</f>
        <v>0</v>
      </c>
      <c r="AV57" s="17">
        <f>(SUMIFS('Bucket Counts'!$P:$P, 'Bucket Counts'!$D:$D, "*" &amp; AV$2 &amp; "*", 'Bucket Counts'!$A:$A, "="&amp;$A57))</f>
        <v>0</v>
      </c>
      <c r="AW57" s="398">
        <f>AV56+SUM(AU56:AU57)</f>
        <v>3277.5</v>
      </c>
    </row>
    <row r="58" spans="1:49">
      <c r="A58" s="16">
        <f t="shared" si="0"/>
        <v>42928</v>
      </c>
      <c r="B58" s="397">
        <f>SUMIFS(Collection!$O:$O, Collection!$B:$B, "*" &amp; B$2 &amp; "*", Collection!$A:$A, "="&amp;$A58)</f>
        <v>0</v>
      </c>
      <c r="C58" s="118">
        <f>(SUMIFS('Bucket Counts'!$P:$P, 'Bucket Counts'!$D:$D, "*" &amp; C$2 &amp; "*", 'Bucket Counts'!$A:$A, "="&amp;$A58))</f>
        <v>0</v>
      </c>
      <c r="D58" s="398">
        <f>C56+SUM(B56:B58)</f>
        <v>155.55555555555557</v>
      </c>
      <c r="E58" s="397">
        <f>SUMIFS(Collection!$O:$O, Collection!$B:$B, "*" &amp; E$2 &amp; "*", Collection!$A:$A, "="&amp;$A58)</f>
        <v>0</v>
      </c>
      <c r="F58" s="118">
        <f>(SUMIFS('Bucket Counts'!$P:$P, 'Bucket Counts'!$D:$D, "*" &amp; F$2 &amp; "*", 'Bucket Counts'!$A:$A, "="&amp;$A58))</f>
        <v>0</v>
      </c>
      <c r="G58" s="398">
        <f>F56+SUM(E56:E58)</f>
        <v>0</v>
      </c>
      <c r="H58" s="397">
        <f>SUMIFS(Collection!$O:$O, Collection!$B:$B, "*" &amp; H$2 &amp; "*", Collection!$A:$A, "="&amp;$A58)</f>
        <v>0</v>
      </c>
      <c r="I58" s="118">
        <f>(SUMIFS('Bucket Counts'!$P:$P, 'Bucket Counts'!$D:$D, "*" &amp; I$2 &amp; "*", 'Bucket Counts'!$A:$A, "="&amp;$A58))</f>
        <v>0</v>
      </c>
      <c r="J58" s="398">
        <f>I56+SUM(H56:H58)</f>
        <v>20</v>
      </c>
      <c r="K58" s="17">
        <f>SUMIFS(Collection!$O:$O, Collection!$B:$B, "*" &amp; K$2 &amp; "*", Collection!$A:$A, "="&amp;$A58)</f>
        <v>0</v>
      </c>
      <c r="L58" s="17">
        <f>(SUMIFS('Bucket Counts'!$P:$P, 'Bucket Counts'!$D:$D, "*" &amp; L$2 &amp; "*", 'Bucket Counts'!$A:$A, "="&amp;$A58))</f>
        <v>0</v>
      </c>
      <c r="M58" s="398">
        <f>L56+SUM(K56:K58)</f>
        <v>14127.499999999998</v>
      </c>
      <c r="N58" s="17">
        <f>SUMIFS(Collection!$O:$O, Collection!$B:$B, "*" &amp; N$2 &amp; "*", Collection!$A:$A, "="&amp;$A58)</f>
        <v>0</v>
      </c>
      <c r="O58" s="17">
        <f>(SUMIFS('Bucket Counts'!$P:$P, 'Bucket Counts'!$D:$D, "*" &amp; O$2 &amp; "*", 'Bucket Counts'!$A:$A, "="&amp;$A58))</f>
        <v>0</v>
      </c>
      <c r="P58" s="398">
        <f>O56+SUM(N56:N58)</f>
        <v>74258.333333333328</v>
      </c>
      <c r="Q58" s="17">
        <f>SUMIFS(Collection!$O:$O, Collection!$B:$B, "*" &amp; Q$2 &amp; "*", Collection!$A:$A, "="&amp;$A58)</f>
        <v>0</v>
      </c>
      <c r="R58" s="17">
        <f>(SUMIFS('Bucket Counts'!$P:$P, 'Bucket Counts'!$D:$D, "*" &amp; R$2 &amp; "*", 'Bucket Counts'!$A:$A, "="&amp;$A58))</f>
        <v>0</v>
      </c>
      <c r="S58" s="398">
        <f>R56+SUM(Q56:Q58)</f>
        <v>0</v>
      </c>
      <c r="T58" s="17">
        <f>SUMIFS(Collection!$O:$O, Collection!$B:$B, "*" &amp; T$2 &amp; "*", Collection!$A:$A, "="&amp;$A58)</f>
        <v>0</v>
      </c>
      <c r="U58" s="17">
        <f>(SUMIFS('Bucket Counts'!$P:$P, 'Bucket Counts'!$D:$D, "*" &amp; U$2 &amp; "*", 'Bucket Counts'!$A:$A, "="&amp;$A58))</f>
        <v>0</v>
      </c>
      <c r="V58" s="398">
        <f>U56+SUM(T56:T58)</f>
        <v>491.11111111111109</v>
      </c>
      <c r="W58" s="17">
        <f>SUMIFS(Collection!$O:$O, Collection!$B:$B, "*" &amp; W$2 &amp; "*", Collection!$A:$A, "="&amp;$A58)</f>
        <v>0</v>
      </c>
      <c r="X58" s="17">
        <f>(SUMIFS('Bucket Counts'!$P:$P, 'Bucket Counts'!$D:$D, "*" &amp; X$2 &amp; "*", 'Bucket Counts'!$A:$A, "="&amp;$A58))</f>
        <v>0</v>
      </c>
      <c r="Y58" s="398">
        <f>X56+SUM(W56:W58)</f>
        <v>39</v>
      </c>
      <c r="Z58" s="17">
        <f>SUMIFS(Collection!$O:$O, Collection!$B:$B, "*" &amp; Z$2 &amp; "*", Collection!$A:$A, "="&amp;$A58)</f>
        <v>0</v>
      </c>
      <c r="AA58" s="17">
        <f>(SUMIFS('Bucket Counts'!$P:$P, 'Bucket Counts'!$D:$D, "*" &amp; AA$2 &amp; "*", 'Bucket Counts'!$A:$A, "="&amp;$A58))</f>
        <v>0</v>
      </c>
      <c r="AB58" s="398">
        <f>AA56+SUM(Z56:Z58)</f>
        <v>50100</v>
      </c>
      <c r="AC58" s="17">
        <f>SUMIFS(Collection!$O:$O, Collection!$B:$B, "*" &amp; AC$2 &amp; "*", Collection!$A:$A, "="&amp;$A58)</f>
        <v>0</v>
      </c>
      <c r="AD58" s="17">
        <f>(SUMIFS('Bucket Counts'!$P:$P, 'Bucket Counts'!$D:$D, "*" &amp; AD$2 &amp; "*", 'Bucket Counts'!$A:$A, "="&amp;$A58))</f>
        <v>0</v>
      </c>
      <c r="AE58" s="398">
        <f>AD56+SUM(AC56:AC58)</f>
        <v>23628.333333333336</v>
      </c>
      <c r="AF58" s="17">
        <f>SUMIFS(Collection!$O:$O, Collection!$B:$B, "*" &amp; AF$2 &amp; "*", Collection!$A:$A, "="&amp;$A58)</f>
        <v>0</v>
      </c>
      <c r="AG58" s="17">
        <f>(SUMIFS('Bucket Counts'!$P:$P, 'Bucket Counts'!$D:$D, "*" &amp; AG$2 &amp; "*", 'Bucket Counts'!$A:$A, "="&amp;$A58))</f>
        <v>0</v>
      </c>
      <c r="AH58" s="398">
        <f>AG56+SUM(AF56:AF58)</f>
        <v>2128.3333333333335</v>
      </c>
      <c r="AI58" s="17">
        <f>SUMIFS(Collection!$O:$O, Collection!$B:$B, "*" &amp; AI$2 &amp; "*", Collection!$A:$A, "="&amp;$A58)</f>
        <v>0</v>
      </c>
      <c r="AJ58" s="17">
        <f>(SUMIFS('Bucket Counts'!$P:$P, 'Bucket Counts'!$D:$D, "*" &amp; AJ$2 &amp; "*", 'Bucket Counts'!$A:$A, "="&amp;$A58))</f>
        <v>0</v>
      </c>
      <c r="AK58" s="398">
        <f>AJ56+SUM(AI56:AI58)</f>
        <v>7483.333333333333</v>
      </c>
      <c r="AL58" s="17">
        <f>SUMIFS(Collection!$O:$O, Collection!$B:$B, "*" &amp; AL$2 &amp; "*", Collection!$A:$A, "="&amp;$A58)</f>
        <v>0</v>
      </c>
      <c r="AM58" s="17">
        <f>(SUMIFS('Bucket Counts'!$P:$P, 'Bucket Counts'!$D:$D, "*" &amp; AM$2 &amp; "*", 'Bucket Counts'!$A:$A, "="&amp;$A58))</f>
        <v>0</v>
      </c>
      <c r="AN58" s="398">
        <f>AM56+SUM(AL56:AL58)</f>
        <v>1892.7777777777778</v>
      </c>
      <c r="AO58" s="17">
        <f>SUMIFS(Collection!$O:$O, Collection!$B:$B, "*" &amp; AO$2 &amp; "*", Collection!$A:$A, "="&amp;$A58)</f>
        <v>0</v>
      </c>
      <c r="AP58" s="17">
        <f>(SUMIFS('Bucket Counts'!$P:$P, 'Bucket Counts'!$D:$D, "*" &amp; AP$2 &amp; "*", 'Bucket Counts'!$A:$A, "="&amp;$A58))</f>
        <v>0</v>
      </c>
      <c r="AQ58" s="398">
        <f>AP56+SUM(AO56:AO58)</f>
        <v>0</v>
      </c>
      <c r="AR58" s="17">
        <f>SUMIFS(Collection!$O:$O, Collection!$B:$B, "*" &amp; AR$2 &amp; "*", Collection!$A:$A, "="&amp;$A58)</f>
        <v>0</v>
      </c>
      <c r="AS58" s="17">
        <f>(SUMIFS('Bucket Counts'!$P:$P, 'Bucket Counts'!$D:$D, "*" &amp; AS$2 &amp; "*", 'Bucket Counts'!$A:$A, "="&amp;$A58))</f>
        <v>0</v>
      </c>
      <c r="AT58" s="398">
        <f>AS56+SUM(AR56:AR58)</f>
        <v>7969.4444444444434</v>
      </c>
      <c r="AU58" s="17">
        <f>SUMIFS(Collection!$O:$O, Collection!$B:$B, "*" &amp; AU$2 &amp; "*", Collection!$A:$A, "="&amp;$A58)</f>
        <v>0</v>
      </c>
      <c r="AV58" s="17">
        <f>(SUMIFS('Bucket Counts'!$P:$P, 'Bucket Counts'!$D:$D, "*" &amp; AV$2 &amp; "*", 'Bucket Counts'!$A:$A, "="&amp;$A58))</f>
        <v>0</v>
      </c>
      <c r="AW58" s="398">
        <f>AV56+SUM(AU56:AU58)</f>
        <v>3277.5</v>
      </c>
    </row>
    <row r="59" spans="1:49">
      <c r="A59" s="16">
        <f t="shared" si="0"/>
        <v>42929</v>
      </c>
      <c r="B59" s="397">
        <f>SUMIFS(Collection!$O:$O, Collection!$B:$B, "*" &amp; B$2 &amp; "*", Collection!$A:$A, "="&amp;$A59)</f>
        <v>0</v>
      </c>
      <c r="C59" s="118">
        <f>(SUMIFS('Bucket Counts'!$P:$P, 'Bucket Counts'!$D:$D, "*" &amp; C$2 &amp; "*", 'Bucket Counts'!$A:$A, "="&amp;$A59))</f>
        <v>46</v>
      </c>
      <c r="D59" s="398">
        <f>C59+B59</f>
        <v>46</v>
      </c>
      <c r="E59" s="397">
        <f>SUMIFS(Collection!$O:$O, Collection!$B:$B, "*" &amp; E$2 &amp; "*", Collection!$A:$A, "="&amp;$A59)</f>
        <v>0</v>
      </c>
      <c r="F59" s="118">
        <f>(SUMIFS('Bucket Counts'!$P:$P, 'Bucket Counts'!$D:$D, "*" &amp; F$2 &amp; "*", 'Bucket Counts'!$A:$A, "="&amp;$A59))</f>
        <v>0</v>
      </c>
      <c r="G59" s="398">
        <f>F59+E59</f>
        <v>0</v>
      </c>
      <c r="H59" s="397">
        <f>SUMIFS(Collection!$O:$O, Collection!$B:$B, "*" &amp; H$2 &amp; "*", Collection!$A:$A, "="&amp;$A59)</f>
        <v>0</v>
      </c>
      <c r="I59" s="118">
        <f>(SUMIFS('Bucket Counts'!$P:$P, 'Bucket Counts'!$D:$D, "*" &amp; I$2 &amp; "*", 'Bucket Counts'!$A:$A, "="&amp;$A59))</f>
        <v>0</v>
      </c>
      <c r="J59" s="398">
        <f>I59+H59</f>
        <v>0</v>
      </c>
      <c r="K59" s="17">
        <f>SUMIFS(Collection!$O:$O, Collection!$B:$B, "*" &amp; K$2 &amp; "*", Collection!$A:$A, "="&amp;$A59)</f>
        <v>0</v>
      </c>
      <c r="L59" s="17">
        <f>(SUMIFS('Bucket Counts'!$P:$P, 'Bucket Counts'!$D:$D, "*" &amp; L$2 &amp; "*", 'Bucket Counts'!$A:$A, "="&amp;$A59))</f>
        <v>704.44444444444457</v>
      </c>
      <c r="M59" s="398">
        <f>L59+K59</f>
        <v>704.44444444444457</v>
      </c>
      <c r="N59" s="17">
        <f>SUMIFS(Collection!$O:$O, Collection!$B:$B, "*" &amp; N$2 &amp; "*", Collection!$A:$A, "="&amp;$A59)</f>
        <v>0</v>
      </c>
      <c r="O59" s="17">
        <f>(SUMIFS('Bucket Counts'!$P:$P, 'Bucket Counts'!$D:$D, "*" &amp; O$2 &amp; "*", 'Bucket Counts'!$A:$A, "="&amp;$A59))</f>
        <v>45880.555555555555</v>
      </c>
      <c r="P59" s="398">
        <f>O59+N59</f>
        <v>45880.555555555555</v>
      </c>
      <c r="Q59" s="17">
        <f>SUMIFS(Collection!$O:$O, Collection!$B:$B, "*" &amp; Q$2 &amp; "*", Collection!$A:$A, "="&amp;$A59)</f>
        <v>0</v>
      </c>
      <c r="R59" s="17">
        <f>(SUMIFS('Bucket Counts'!$P:$P, 'Bucket Counts'!$D:$D, "*" &amp; R$2 &amp; "*", 'Bucket Counts'!$A:$A, "="&amp;$A59))</f>
        <v>0</v>
      </c>
      <c r="S59" s="398">
        <f>R59+Q59</f>
        <v>0</v>
      </c>
      <c r="T59" s="17">
        <f>SUMIFS(Collection!$O:$O, Collection!$B:$B, "*" &amp; T$2 &amp; "*", Collection!$A:$A, "="&amp;$A59)</f>
        <v>0</v>
      </c>
      <c r="U59" s="17">
        <f>(SUMIFS('Bucket Counts'!$P:$P, 'Bucket Counts'!$D:$D, "*" &amp; U$2 &amp; "*", 'Bucket Counts'!$A:$A, "="&amp;$A59))</f>
        <v>208.88888888888889</v>
      </c>
      <c r="V59" s="398">
        <f>U59+T59</f>
        <v>208.88888888888889</v>
      </c>
      <c r="W59" s="17">
        <f>SUMIFS(Collection!$O:$O, Collection!$B:$B, "*" &amp; W$2 &amp; "*", Collection!$A:$A, "="&amp;$A59)</f>
        <v>0</v>
      </c>
      <c r="X59" s="17">
        <f>(SUMIFS('Bucket Counts'!$P:$P, 'Bucket Counts'!$D:$D, "*" &amp; X$2 &amp; "*", 'Bucket Counts'!$A:$A, "="&amp;$A59))</f>
        <v>0</v>
      </c>
      <c r="Y59" s="398">
        <f>X59+W59</f>
        <v>0</v>
      </c>
      <c r="Z59" s="17">
        <f>SUMIFS(Collection!$O:$O, Collection!$B:$B, "*" &amp; Z$2 &amp; "*", Collection!$A:$A, "="&amp;$A59)</f>
        <v>0</v>
      </c>
      <c r="AA59" s="17">
        <f>(SUMIFS('Bucket Counts'!$P:$P, 'Bucket Counts'!$D:$D, "*" &amp; AA$2 &amp; "*", 'Bucket Counts'!$A:$A, "="&amp;$A59))</f>
        <v>16531.666666666668</v>
      </c>
      <c r="AB59" s="398">
        <f>AA59+Z59</f>
        <v>16531.666666666668</v>
      </c>
      <c r="AC59" s="17">
        <f>SUMIFS(Collection!$O:$O, Collection!$B:$B, "*" &amp; AC$2 &amp; "*", Collection!$A:$A, "="&amp;$A59)</f>
        <v>0</v>
      </c>
      <c r="AD59" s="17">
        <f>(SUMIFS('Bucket Counts'!$P:$P, 'Bucket Counts'!$D:$D, "*" &amp; AD$2 &amp; "*", 'Bucket Counts'!$A:$A, "="&amp;$A59))</f>
        <v>10900.000000000002</v>
      </c>
      <c r="AE59" s="398">
        <f>AD59+AC59</f>
        <v>10900.000000000002</v>
      </c>
      <c r="AF59" s="17">
        <f>SUMIFS(Collection!$O:$O, Collection!$B:$B, "*" &amp; AF$2 &amp; "*", Collection!$A:$A, "="&amp;$A59)</f>
        <v>0</v>
      </c>
      <c r="AG59" s="17">
        <f>(SUMIFS('Bucket Counts'!$P:$P, 'Bucket Counts'!$D:$D, "*" &amp; AG$2 &amp; "*", 'Bucket Counts'!$A:$A, "="&amp;$A59))</f>
        <v>760.83333333333337</v>
      </c>
      <c r="AH59" s="398">
        <f>AG59+AF59</f>
        <v>760.83333333333337</v>
      </c>
      <c r="AI59" s="17">
        <f>SUMIFS(Collection!$O:$O, Collection!$B:$B, "*" &amp; AI$2 &amp; "*", Collection!$A:$A, "="&amp;$A59)</f>
        <v>0</v>
      </c>
      <c r="AJ59" s="17">
        <f>(SUMIFS('Bucket Counts'!$P:$P, 'Bucket Counts'!$D:$D, "*" &amp; AJ$2 &amp; "*", 'Bucket Counts'!$A:$A, "="&amp;$A59))</f>
        <v>4795</v>
      </c>
      <c r="AK59" s="398">
        <f>AJ59+AI59</f>
        <v>4795</v>
      </c>
      <c r="AL59" s="17">
        <f>SUMIFS(Collection!$O:$O, Collection!$B:$B, "*" &amp; AL$2 &amp; "*", Collection!$A:$A, "="&amp;$A59)</f>
        <v>0</v>
      </c>
      <c r="AM59" s="17">
        <f>(SUMIFS('Bucket Counts'!$P:$P, 'Bucket Counts'!$D:$D, "*" &amp; AM$2 &amp; "*", 'Bucket Counts'!$A:$A, "="&amp;$A59))</f>
        <v>371.66666666666669</v>
      </c>
      <c r="AN59" s="398">
        <f>AM59+AL59</f>
        <v>371.66666666666669</v>
      </c>
      <c r="AO59" s="17">
        <f>SUMIFS(Collection!$O:$O, Collection!$B:$B, "*" &amp; AO$2 &amp; "*", Collection!$A:$A, "="&amp;$A59)</f>
        <v>0</v>
      </c>
      <c r="AP59" s="17">
        <f>(SUMIFS('Bucket Counts'!$P:$P, 'Bucket Counts'!$D:$D, "*" &amp; AP$2 &amp; "*", 'Bucket Counts'!$A:$A, "="&amp;$A59))</f>
        <v>0</v>
      </c>
      <c r="AQ59" s="398">
        <f>AP59+AO59</f>
        <v>0</v>
      </c>
      <c r="AR59" s="17">
        <f>SUMIFS(Collection!$O:$O, Collection!$B:$B, "*" &amp; AR$2 &amp; "*", Collection!$A:$A, "="&amp;$A59)</f>
        <v>0</v>
      </c>
      <c r="AS59" s="17">
        <f>(SUMIFS('Bucket Counts'!$P:$P, 'Bucket Counts'!$D:$D, "*" &amp; AS$2 &amp; "*", 'Bucket Counts'!$A:$A, "="&amp;$A59))</f>
        <v>2829.166666666667</v>
      </c>
      <c r="AT59" s="398">
        <f>AS59+AR59</f>
        <v>2829.166666666667</v>
      </c>
      <c r="AU59" s="17">
        <f>SUMIFS(Collection!$O:$O, Collection!$B:$B, "*" &amp; AU$2 &amp; "*", Collection!$A:$A, "="&amp;$A59)</f>
        <v>0</v>
      </c>
      <c r="AV59" s="17">
        <f>(SUMIFS('Bucket Counts'!$P:$P, 'Bucket Counts'!$D:$D, "*" &amp; AV$2 &amp; "*", 'Bucket Counts'!$A:$A, "="&amp;$A59))</f>
        <v>401.11111111111109</v>
      </c>
      <c r="AW59" s="398">
        <f>AV59+AU59</f>
        <v>401.11111111111109</v>
      </c>
    </row>
    <row r="60" spans="1:49">
      <c r="A60" s="16">
        <f t="shared" si="0"/>
        <v>42930</v>
      </c>
      <c r="B60" s="397">
        <f>SUMIFS(Collection!$O:$O, Collection!$B:$B, "*" &amp; B$2 &amp; "*", Collection!$A:$A, "="&amp;$A60)</f>
        <v>0</v>
      </c>
      <c r="C60" s="118">
        <f>(SUMIFS('Bucket Counts'!$P:$P, 'Bucket Counts'!$D:$D, "*" &amp; C$2 &amp; "*", 'Bucket Counts'!$A:$A, "="&amp;$A60))</f>
        <v>0</v>
      </c>
      <c r="D60" s="398">
        <f>C59+SUM(B59:B60)</f>
        <v>46</v>
      </c>
      <c r="E60" s="397">
        <f>SUMIFS(Collection!$O:$O, Collection!$B:$B, "*" &amp; E$2 &amp; "*", Collection!$A:$A, "="&amp;$A60)</f>
        <v>0</v>
      </c>
      <c r="F60" s="118">
        <f>(SUMIFS('Bucket Counts'!$P:$P, 'Bucket Counts'!$D:$D, "*" &amp; F$2 &amp; "*", 'Bucket Counts'!$A:$A, "="&amp;$A60))</f>
        <v>0</v>
      </c>
      <c r="G60" s="398">
        <f>F59+SUM(E59:E60)</f>
        <v>0</v>
      </c>
      <c r="H60" s="397">
        <f>SUMIFS(Collection!$O:$O, Collection!$B:$B, "*" &amp; H$2 &amp; "*", Collection!$A:$A, "="&amp;$A60)</f>
        <v>0</v>
      </c>
      <c r="I60" s="118">
        <f>(SUMIFS('Bucket Counts'!$P:$P, 'Bucket Counts'!$D:$D, "*" &amp; I$2 &amp; "*", 'Bucket Counts'!$A:$A, "="&amp;$A60))</f>
        <v>0</v>
      </c>
      <c r="J60" s="398">
        <f>I59+SUM(H59:H60)</f>
        <v>0</v>
      </c>
      <c r="K60" s="17">
        <f>SUMIFS(Collection!$O:$O, Collection!$B:$B, "*" &amp; K$2 &amp; "*", Collection!$A:$A, "="&amp;$A60)</f>
        <v>0</v>
      </c>
      <c r="L60" s="17">
        <f>(SUMIFS('Bucket Counts'!$P:$P, 'Bucket Counts'!$D:$D, "*" &amp; L$2 &amp; "*", 'Bucket Counts'!$A:$A, "="&amp;$A60))</f>
        <v>0</v>
      </c>
      <c r="M60" s="398">
        <f>L59+SUM(K59:K60)</f>
        <v>704.44444444444457</v>
      </c>
      <c r="N60" s="17">
        <f>SUMIFS(Collection!$O:$O, Collection!$B:$B, "*" &amp; N$2 &amp; "*", Collection!$A:$A, "="&amp;$A60)</f>
        <v>0</v>
      </c>
      <c r="O60" s="17">
        <f>(SUMIFS('Bucket Counts'!$P:$P, 'Bucket Counts'!$D:$D, "*" &amp; O$2 &amp; "*", 'Bucket Counts'!$A:$A, "="&amp;$A60))</f>
        <v>0</v>
      </c>
      <c r="P60" s="398">
        <f>O59+SUM(N59:N60)</f>
        <v>45880.555555555555</v>
      </c>
      <c r="Q60" s="17">
        <f>SUMIFS(Collection!$O:$O, Collection!$B:$B, "*" &amp; Q$2 &amp; "*", Collection!$A:$A, "="&amp;$A60)</f>
        <v>0</v>
      </c>
      <c r="R60" s="17">
        <f>(SUMIFS('Bucket Counts'!$P:$P, 'Bucket Counts'!$D:$D, "*" &amp; R$2 &amp; "*", 'Bucket Counts'!$A:$A, "="&amp;$A60))</f>
        <v>0</v>
      </c>
      <c r="S60" s="398">
        <f>R59+SUM(Q59:Q60)</f>
        <v>0</v>
      </c>
      <c r="T60" s="17">
        <f>SUMIFS(Collection!$O:$O, Collection!$B:$B, "*" &amp; T$2 &amp; "*", Collection!$A:$A, "="&amp;$A60)</f>
        <v>0</v>
      </c>
      <c r="U60" s="17">
        <f>(SUMIFS('Bucket Counts'!$P:$P, 'Bucket Counts'!$D:$D, "*" &amp; U$2 &amp; "*", 'Bucket Counts'!$A:$A, "="&amp;$A60))</f>
        <v>0</v>
      </c>
      <c r="V60" s="398">
        <f>U59+SUM(T59:T60)</f>
        <v>208.88888888888889</v>
      </c>
      <c r="W60" s="17">
        <f>SUMIFS(Collection!$O:$O, Collection!$B:$B, "*" &amp; W$2 &amp; "*", Collection!$A:$A, "="&amp;$A60)</f>
        <v>0</v>
      </c>
      <c r="X60" s="17">
        <f>(SUMIFS('Bucket Counts'!$P:$P, 'Bucket Counts'!$D:$D, "*" &amp; X$2 &amp; "*", 'Bucket Counts'!$A:$A, "="&amp;$A60))</f>
        <v>0</v>
      </c>
      <c r="Y60" s="398">
        <f>X59+SUM(W59:W60)</f>
        <v>0</v>
      </c>
      <c r="Z60" s="17">
        <f>SUMIFS(Collection!$O:$O, Collection!$B:$B, "*" &amp; Z$2 &amp; "*", Collection!$A:$A, "="&amp;$A60)</f>
        <v>0</v>
      </c>
      <c r="AA60" s="17">
        <f>(SUMIFS('Bucket Counts'!$P:$P, 'Bucket Counts'!$D:$D, "*" &amp; AA$2 &amp; "*", 'Bucket Counts'!$A:$A, "="&amp;$A60))</f>
        <v>0</v>
      </c>
      <c r="AB60" s="398">
        <f>AA59+SUM(Z59:Z60)</f>
        <v>16531.666666666668</v>
      </c>
      <c r="AC60" s="17">
        <f>SUMIFS(Collection!$O:$O, Collection!$B:$B, "*" &amp; AC$2 &amp; "*", Collection!$A:$A, "="&amp;$A60)</f>
        <v>0</v>
      </c>
      <c r="AD60" s="17">
        <f>(SUMIFS('Bucket Counts'!$P:$P, 'Bucket Counts'!$D:$D, "*" &amp; AD$2 &amp; "*", 'Bucket Counts'!$A:$A, "="&amp;$A60))</f>
        <v>0</v>
      </c>
      <c r="AE60" s="398">
        <f>AD59+SUM(AC59:AC60)</f>
        <v>10900.000000000002</v>
      </c>
      <c r="AF60" s="17">
        <f>SUMIFS(Collection!$O:$O, Collection!$B:$B, "*" &amp; AF$2 &amp; "*", Collection!$A:$A, "="&amp;$A60)</f>
        <v>0</v>
      </c>
      <c r="AG60" s="17">
        <f>(SUMIFS('Bucket Counts'!$P:$P, 'Bucket Counts'!$D:$D, "*" &amp; AG$2 &amp; "*", 'Bucket Counts'!$A:$A, "="&amp;$A60))</f>
        <v>0</v>
      </c>
      <c r="AH60" s="398">
        <f>AG59+SUM(AF59:AF60)</f>
        <v>760.83333333333337</v>
      </c>
      <c r="AI60" s="17">
        <f>SUMIFS(Collection!$O:$O, Collection!$B:$B, "*" &amp; AI$2 &amp; "*", Collection!$A:$A, "="&amp;$A60)</f>
        <v>0</v>
      </c>
      <c r="AJ60" s="17">
        <f>(SUMIFS('Bucket Counts'!$P:$P, 'Bucket Counts'!$D:$D, "*" &amp; AJ$2 &amp; "*", 'Bucket Counts'!$A:$A, "="&amp;$A60))</f>
        <v>0</v>
      </c>
      <c r="AK60" s="398">
        <f>AJ59+SUM(AI59:AI60)</f>
        <v>4795</v>
      </c>
      <c r="AL60" s="17">
        <f>SUMIFS(Collection!$O:$O, Collection!$B:$B, "*" &amp; AL$2 &amp; "*", Collection!$A:$A, "="&amp;$A60)</f>
        <v>0</v>
      </c>
      <c r="AM60" s="17">
        <f>(SUMIFS('Bucket Counts'!$P:$P, 'Bucket Counts'!$D:$D, "*" &amp; AM$2 &amp; "*", 'Bucket Counts'!$A:$A, "="&amp;$A60))</f>
        <v>0</v>
      </c>
      <c r="AN60" s="398">
        <f>AM59+SUM(AL59:AL60)</f>
        <v>371.66666666666669</v>
      </c>
      <c r="AO60" s="17">
        <f>SUMIFS(Collection!$O:$O, Collection!$B:$B, "*" &amp; AO$2 &amp; "*", Collection!$A:$A, "="&amp;$A60)</f>
        <v>0</v>
      </c>
      <c r="AP60" s="17">
        <f>(SUMIFS('Bucket Counts'!$P:$P, 'Bucket Counts'!$D:$D, "*" &amp; AP$2 &amp; "*", 'Bucket Counts'!$A:$A, "="&amp;$A60))</f>
        <v>0</v>
      </c>
      <c r="AQ60" s="398">
        <f>AP59+SUM(AO59:AO60)</f>
        <v>0</v>
      </c>
      <c r="AR60" s="17">
        <f>SUMIFS(Collection!$O:$O, Collection!$B:$B, "*" &amp; AR$2 &amp; "*", Collection!$A:$A, "="&amp;$A60)</f>
        <v>0</v>
      </c>
      <c r="AS60" s="17">
        <f>(SUMIFS('Bucket Counts'!$P:$P, 'Bucket Counts'!$D:$D, "*" &amp; AS$2 &amp; "*", 'Bucket Counts'!$A:$A, "="&amp;$A60))</f>
        <v>0</v>
      </c>
      <c r="AT60" s="398">
        <f>AS59+SUM(AR59:AR60)</f>
        <v>2829.166666666667</v>
      </c>
      <c r="AU60" s="17">
        <f>SUMIFS(Collection!$O:$O, Collection!$B:$B, "*" &amp; AU$2 &amp; "*", Collection!$A:$A, "="&amp;$A60)</f>
        <v>0</v>
      </c>
      <c r="AV60" s="17">
        <f>(SUMIFS('Bucket Counts'!$P:$P, 'Bucket Counts'!$D:$D, "*" &amp; AV$2 &amp; "*", 'Bucket Counts'!$A:$A, "="&amp;$A60))</f>
        <v>0</v>
      </c>
      <c r="AW60" s="398">
        <f>AV59+SUM(AU59:AU60)</f>
        <v>401.11111111111109</v>
      </c>
    </row>
    <row r="61" spans="1:49">
      <c r="A61" s="16">
        <f t="shared" si="0"/>
        <v>42931</v>
      </c>
      <c r="B61" s="397">
        <f>SUMIFS(Collection!$O:$O, Collection!$B:$B, "*" &amp; B$2 &amp; "*", Collection!$A:$A, "="&amp;$A61)</f>
        <v>0</v>
      </c>
      <c r="C61" s="118">
        <f>(SUMIFS('Bucket Counts'!$P:$P, 'Bucket Counts'!$D:$D, "*" &amp; C$2 &amp; "*", 'Bucket Counts'!$A:$A, "="&amp;$A61))</f>
        <v>0</v>
      </c>
      <c r="D61" s="398">
        <f>C59+SUM(B59:B61)</f>
        <v>46</v>
      </c>
      <c r="E61" s="397">
        <f>SUMIFS(Collection!$O:$O, Collection!$B:$B, "*" &amp; E$2 &amp; "*", Collection!$A:$A, "="&amp;$A61)</f>
        <v>0</v>
      </c>
      <c r="F61" s="118">
        <f>(SUMIFS('Bucket Counts'!$P:$P, 'Bucket Counts'!$D:$D, "*" &amp; F$2 &amp; "*", 'Bucket Counts'!$A:$A, "="&amp;$A61))</f>
        <v>0</v>
      </c>
      <c r="G61" s="398">
        <f>F59+SUM(E59:E61)</f>
        <v>0</v>
      </c>
      <c r="H61" s="397">
        <f>SUMIFS(Collection!$O:$O, Collection!$B:$B, "*" &amp; H$2 &amp; "*", Collection!$A:$A, "="&amp;$A61)</f>
        <v>0</v>
      </c>
      <c r="I61" s="118">
        <f>(SUMIFS('Bucket Counts'!$P:$P, 'Bucket Counts'!$D:$D, "*" &amp; I$2 &amp; "*", 'Bucket Counts'!$A:$A, "="&amp;$A61))</f>
        <v>0</v>
      </c>
      <c r="J61" s="398">
        <f>I59+SUM(H59:H61)</f>
        <v>0</v>
      </c>
      <c r="K61" s="17">
        <f>SUMIFS(Collection!$O:$O, Collection!$B:$B, "*" &amp; K$2 &amp; "*", Collection!$A:$A, "="&amp;$A61)</f>
        <v>0</v>
      </c>
      <c r="L61" s="17">
        <f>(SUMIFS('Bucket Counts'!$P:$P, 'Bucket Counts'!$D:$D, "*" &amp; L$2 &amp; "*", 'Bucket Counts'!$A:$A, "="&amp;$A61))</f>
        <v>0</v>
      </c>
      <c r="M61" s="398">
        <f>L59+SUM(K59:K61)</f>
        <v>704.44444444444457</v>
      </c>
      <c r="N61" s="17">
        <f>SUMIFS(Collection!$O:$O, Collection!$B:$B, "*" &amp; N$2 &amp; "*", Collection!$A:$A, "="&amp;$A61)</f>
        <v>0</v>
      </c>
      <c r="O61" s="17">
        <f>(SUMIFS('Bucket Counts'!$P:$P, 'Bucket Counts'!$D:$D, "*" &amp; O$2 &amp; "*", 'Bucket Counts'!$A:$A, "="&amp;$A61))</f>
        <v>0</v>
      </c>
      <c r="P61" s="398">
        <f>O59+SUM(N59:N61)</f>
        <v>45880.555555555555</v>
      </c>
      <c r="Q61" s="17">
        <f>SUMIFS(Collection!$O:$O, Collection!$B:$B, "*" &amp; Q$2 &amp; "*", Collection!$A:$A, "="&amp;$A61)</f>
        <v>0</v>
      </c>
      <c r="R61" s="17">
        <f>(SUMIFS('Bucket Counts'!$P:$P, 'Bucket Counts'!$D:$D, "*" &amp; R$2 &amp; "*", 'Bucket Counts'!$A:$A, "="&amp;$A61))</f>
        <v>0</v>
      </c>
      <c r="S61" s="398">
        <f>R59+SUM(Q59:Q61)</f>
        <v>0</v>
      </c>
      <c r="T61" s="17">
        <f>SUMIFS(Collection!$O:$O, Collection!$B:$B, "*" &amp; T$2 &amp; "*", Collection!$A:$A, "="&amp;$A61)</f>
        <v>0</v>
      </c>
      <c r="U61" s="17">
        <f>(SUMIFS('Bucket Counts'!$P:$P, 'Bucket Counts'!$D:$D, "*" &amp; U$2 &amp; "*", 'Bucket Counts'!$A:$A, "="&amp;$A61))</f>
        <v>0</v>
      </c>
      <c r="V61" s="398">
        <f>U59+SUM(T59:T61)</f>
        <v>208.88888888888889</v>
      </c>
      <c r="W61" s="17">
        <f>SUMIFS(Collection!$O:$O, Collection!$B:$B, "*" &amp; W$2 &amp; "*", Collection!$A:$A, "="&amp;$A61)</f>
        <v>0</v>
      </c>
      <c r="X61" s="17">
        <f>(SUMIFS('Bucket Counts'!$P:$P, 'Bucket Counts'!$D:$D, "*" &amp; X$2 &amp; "*", 'Bucket Counts'!$A:$A, "="&amp;$A61))</f>
        <v>0</v>
      </c>
      <c r="Y61" s="398">
        <f>X59+SUM(W59:W61)</f>
        <v>0</v>
      </c>
      <c r="Z61" s="17">
        <f>SUMIFS(Collection!$O:$O, Collection!$B:$B, "*" &amp; Z$2 &amp; "*", Collection!$A:$A, "="&amp;$A61)</f>
        <v>0</v>
      </c>
      <c r="AA61" s="17">
        <f>(SUMIFS('Bucket Counts'!$P:$P, 'Bucket Counts'!$D:$D, "*" &amp; AA$2 &amp; "*", 'Bucket Counts'!$A:$A, "="&amp;$A61))</f>
        <v>0</v>
      </c>
      <c r="AB61" s="398">
        <f>AA59+SUM(Z59:Z61)</f>
        <v>16531.666666666668</v>
      </c>
      <c r="AC61" s="17">
        <f>SUMIFS(Collection!$O:$O, Collection!$B:$B, "*" &amp; AC$2 &amp; "*", Collection!$A:$A, "="&amp;$A61)</f>
        <v>0</v>
      </c>
      <c r="AD61" s="17">
        <f>(SUMIFS('Bucket Counts'!$P:$P, 'Bucket Counts'!$D:$D, "*" &amp; AD$2 &amp; "*", 'Bucket Counts'!$A:$A, "="&amp;$A61))</f>
        <v>0</v>
      </c>
      <c r="AE61" s="398">
        <f>AD59+SUM(AC59:AC61)</f>
        <v>10900.000000000002</v>
      </c>
      <c r="AF61" s="17">
        <f>SUMIFS(Collection!$O:$O, Collection!$B:$B, "*" &amp; AF$2 &amp; "*", Collection!$A:$A, "="&amp;$A61)</f>
        <v>0</v>
      </c>
      <c r="AG61" s="17">
        <f>(SUMIFS('Bucket Counts'!$P:$P, 'Bucket Counts'!$D:$D, "*" &amp; AG$2 &amp; "*", 'Bucket Counts'!$A:$A, "="&amp;$A61))</f>
        <v>0</v>
      </c>
      <c r="AH61" s="398">
        <f>AG59+SUM(AF59:AF61)</f>
        <v>760.83333333333337</v>
      </c>
      <c r="AI61" s="17">
        <f>SUMIFS(Collection!$O:$O, Collection!$B:$B, "*" &amp; AI$2 &amp; "*", Collection!$A:$A, "="&amp;$A61)</f>
        <v>0</v>
      </c>
      <c r="AJ61" s="17">
        <f>(SUMIFS('Bucket Counts'!$P:$P, 'Bucket Counts'!$D:$D, "*" &amp; AJ$2 &amp; "*", 'Bucket Counts'!$A:$A, "="&amp;$A61))</f>
        <v>0</v>
      </c>
      <c r="AK61" s="398">
        <f>AJ59+SUM(AI59:AI61)</f>
        <v>4795</v>
      </c>
      <c r="AL61" s="17">
        <f>SUMIFS(Collection!$O:$O, Collection!$B:$B, "*" &amp; AL$2 &amp; "*", Collection!$A:$A, "="&amp;$A61)</f>
        <v>0</v>
      </c>
      <c r="AM61" s="17">
        <f>(SUMIFS('Bucket Counts'!$P:$P, 'Bucket Counts'!$D:$D, "*" &amp; AM$2 &amp; "*", 'Bucket Counts'!$A:$A, "="&amp;$A61))</f>
        <v>0</v>
      </c>
      <c r="AN61" s="398">
        <f>AM59+SUM(AL59:AL61)</f>
        <v>371.66666666666669</v>
      </c>
      <c r="AO61" s="17">
        <f>SUMIFS(Collection!$O:$O, Collection!$B:$B, "*" &amp; AO$2 &amp; "*", Collection!$A:$A, "="&amp;$A61)</f>
        <v>0</v>
      </c>
      <c r="AP61" s="17">
        <f>(SUMIFS('Bucket Counts'!$P:$P, 'Bucket Counts'!$D:$D, "*" &amp; AP$2 &amp; "*", 'Bucket Counts'!$A:$A, "="&amp;$A61))</f>
        <v>0</v>
      </c>
      <c r="AQ61" s="398">
        <f>AP59+SUM(AO59:AO61)</f>
        <v>0</v>
      </c>
      <c r="AR61" s="17">
        <f>SUMIFS(Collection!$O:$O, Collection!$B:$B, "*" &amp; AR$2 &amp; "*", Collection!$A:$A, "="&amp;$A61)</f>
        <v>0</v>
      </c>
      <c r="AS61" s="17">
        <f>(SUMIFS('Bucket Counts'!$P:$P, 'Bucket Counts'!$D:$D, "*" &amp; AS$2 &amp; "*", 'Bucket Counts'!$A:$A, "="&amp;$A61))</f>
        <v>0</v>
      </c>
      <c r="AT61" s="398">
        <f>AS59+SUM(AR59:AR61)</f>
        <v>2829.166666666667</v>
      </c>
      <c r="AU61" s="17">
        <f>SUMIFS(Collection!$O:$O, Collection!$B:$B, "*" &amp; AU$2 &amp; "*", Collection!$A:$A, "="&amp;$A61)</f>
        <v>0</v>
      </c>
      <c r="AV61" s="17">
        <f>(SUMIFS('Bucket Counts'!$P:$P, 'Bucket Counts'!$D:$D, "*" &amp; AV$2 &amp; "*", 'Bucket Counts'!$A:$A, "="&amp;$A61))</f>
        <v>0</v>
      </c>
      <c r="AW61" s="398">
        <f>AV59+SUM(AU59:AU61)</f>
        <v>401.11111111111109</v>
      </c>
    </row>
    <row r="62" spans="1:49">
      <c r="A62" s="16">
        <f t="shared" si="0"/>
        <v>42932</v>
      </c>
      <c r="B62" s="397">
        <f>SUMIFS(Collection!$O:$O, Collection!$B:$B, "*" &amp; B$2 &amp; "*", Collection!$A:$A, "="&amp;$A62)</f>
        <v>0</v>
      </c>
      <c r="C62" s="118">
        <f>(SUMIFS('Bucket Counts'!$P:$P, 'Bucket Counts'!$D:$D, "*" &amp; C$2 &amp; "*", 'Bucket Counts'!$A:$A, "="&amp;$A62))</f>
        <v>0</v>
      </c>
      <c r="D62" s="398">
        <f>C59+SUM(B59:B62)</f>
        <v>46</v>
      </c>
      <c r="E62" s="397">
        <f>SUMIFS(Collection!$O:$O, Collection!$B:$B, "*" &amp; E$2 &amp; "*", Collection!$A:$A, "="&amp;$A62)</f>
        <v>0</v>
      </c>
      <c r="F62" s="118">
        <f>(SUMIFS('Bucket Counts'!$P:$P, 'Bucket Counts'!$D:$D, "*" &amp; F$2 &amp; "*", 'Bucket Counts'!$A:$A, "="&amp;$A62))</f>
        <v>0</v>
      </c>
      <c r="G62" s="398">
        <f>F59+SUM(E59:E62)</f>
        <v>0</v>
      </c>
      <c r="H62" s="397">
        <f>SUMIFS(Collection!$O:$O, Collection!$B:$B, "*" &amp; H$2 &amp; "*", Collection!$A:$A, "="&amp;$A62)</f>
        <v>0</v>
      </c>
      <c r="I62" s="118">
        <f>(SUMIFS('Bucket Counts'!$P:$P, 'Bucket Counts'!$D:$D, "*" &amp; I$2 &amp; "*", 'Bucket Counts'!$A:$A, "="&amp;$A62))</f>
        <v>0</v>
      </c>
      <c r="J62" s="398">
        <f>I59+SUM(H59:H62)</f>
        <v>0</v>
      </c>
      <c r="K62" s="17">
        <f>SUMIFS(Collection!$O:$O, Collection!$B:$B, "*" &amp; K$2 &amp; "*", Collection!$A:$A, "="&amp;$A62)</f>
        <v>0</v>
      </c>
      <c r="L62" s="17">
        <f>(SUMIFS('Bucket Counts'!$P:$P, 'Bucket Counts'!$D:$D, "*" &amp; L$2 &amp; "*", 'Bucket Counts'!$A:$A, "="&amp;$A62))</f>
        <v>0</v>
      </c>
      <c r="M62" s="398">
        <f>L59+SUM(K59:K62)</f>
        <v>704.44444444444457</v>
      </c>
      <c r="N62" s="17">
        <f>SUMIFS(Collection!$O:$O, Collection!$B:$B, "*" &amp; N$2 &amp; "*", Collection!$A:$A, "="&amp;$A62)</f>
        <v>0</v>
      </c>
      <c r="O62" s="17">
        <f>(SUMIFS('Bucket Counts'!$P:$P, 'Bucket Counts'!$D:$D, "*" &amp; O$2 &amp; "*", 'Bucket Counts'!$A:$A, "="&amp;$A62))</f>
        <v>0</v>
      </c>
      <c r="P62" s="398">
        <f>O59+SUM(N59:N62)</f>
        <v>45880.555555555555</v>
      </c>
      <c r="Q62" s="17">
        <f>SUMIFS(Collection!$O:$O, Collection!$B:$B, "*" &amp; Q$2 &amp; "*", Collection!$A:$A, "="&amp;$A62)</f>
        <v>0</v>
      </c>
      <c r="R62" s="17">
        <f>(SUMIFS('Bucket Counts'!$P:$P, 'Bucket Counts'!$D:$D, "*" &amp; R$2 &amp; "*", 'Bucket Counts'!$A:$A, "="&amp;$A62))</f>
        <v>0</v>
      </c>
      <c r="S62" s="398">
        <f>R59+SUM(Q59:Q62)</f>
        <v>0</v>
      </c>
      <c r="T62" s="17">
        <f>SUMIFS(Collection!$O:$O, Collection!$B:$B, "*" &amp; T$2 &amp; "*", Collection!$A:$A, "="&amp;$A62)</f>
        <v>0</v>
      </c>
      <c r="U62" s="17">
        <f>(SUMIFS('Bucket Counts'!$P:$P, 'Bucket Counts'!$D:$D, "*" &amp; U$2 &amp; "*", 'Bucket Counts'!$A:$A, "="&amp;$A62))</f>
        <v>0</v>
      </c>
      <c r="V62" s="398">
        <f>U59+SUM(T59:T62)</f>
        <v>208.88888888888889</v>
      </c>
      <c r="W62" s="17">
        <f>SUMIFS(Collection!$O:$O, Collection!$B:$B, "*" &amp; W$2 &amp; "*", Collection!$A:$A, "="&amp;$A62)</f>
        <v>0</v>
      </c>
      <c r="X62" s="17">
        <f>(SUMIFS('Bucket Counts'!$P:$P, 'Bucket Counts'!$D:$D, "*" &amp; X$2 &amp; "*", 'Bucket Counts'!$A:$A, "="&amp;$A62))</f>
        <v>0</v>
      </c>
      <c r="Y62" s="398">
        <f>X59+SUM(W59:W62)</f>
        <v>0</v>
      </c>
      <c r="Z62" s="17">
        <f>SUMIFS(Collection!$O:$O, Collection!$B:$B, "*" &amp; Z$2 &amp; "*", Collection!$A:$A, "="&amp;$A62)</f>
        <v>0</v>
      </c>
      <c r="AA62" s="17">
        <f>(SUMIFS('Bucket Counts'!$P:$P, 'Bucket Counts'!$D:$D, "*" &amp; AA$2 &amp; "*", 'Bucket Counts'!$A:$A, "="&amp;$A62))</f>
        <v>0</v>
      </c>
      <c r="AB62" s="398">
        <f>AA59+SUM(Z59:Z62)</f>
        <v>16531.666666666668</v>
      </c>
      <c r="AC62" s="17">
        <f>SUMIFS(Collection!$O:$O, Collection!$B:$B, "*" &amp; AC$2 &amp; "*", Collection!$A:$A, "="&amp;$A62)</f>
        <v>0</v>
      </c>
      <c r="AD62" s="17">
        <f>(SUMIFS('Bucket Counts'!$P:$P, 'Bucket Counts'!$D:$D, "*" &amp; AD$2 &amp; "*", 'Bucket Counts'!$A:$A, "="&amp;$A62))</f>
        <v>0</v>
      </c>
      <c r="AE62" s="398">
        <f>AD59+SUM(AC59:AC62)</f>
        <v>10900.000000000002</v>
      </c>
      <c r="AF62" s="17">
        <f>SUMIFS(Collection!$O:$O, Collection!$B:$B, "*" &amp; AF$2 &amp; "*", Collection!$A:$A, "="&amp;$A62)</f>
        <v>0</v>
      </c>
      <c r="AG62" s="17">
        <f>(SUMIFS('Bucket Counts'!$P:$P, 'Bucket Counts'!$D:$D, "*" &amp; AG$2 &amp; "*", 'Bucket Counts'!$A:$A, "="&amp;$A62))</f>
        <v>0</v>
      </c>
      <c r="AH62" s="398">
        <f>AG59+SUM(AF59:AF62)</f>
        <v>760.83333333333337</v>
      </c>
      <c r="AI62" s="17">
        <f>SUMIFS(Collection!$O:$O, Collection!$B:$B, "*" &amp; AI$2 &amp; "*", Collection!$A:$A, "="&amp;$A62)</f>
        <v>0</v>
      </c>
      <c r="AJ62" s="17">
        <f>(SUMIFS('Bucket Counts'!$P:$P, 'Bucket Counts'!$D:$D, "*" &amp; AJ$2 &amp; "*", 'Bucket Counts'!$A:$A, "="&amp;$A62))</f>
        <v>0</v>
      </c>
      <c r="AK62" s="398">
        <f>AJ59+SUM(AI59:AI62)</f>
        <v>4795</v>
      </c>
      <c r="AL62" s="17">
        <f>SUMIFS(Collection!$O:$O, Collection!$B:$B, "*" &amp; AL$2 &amp; "*", Collection!$A:$A, "="&amp;$A62)</f>
        <v>0</v>
      </c>
      <c r="AM62" s="17">
        <f>(SUMIFS('Bucket Counts'!$P:$P, 'Bucket Counts'!$D:$D, "*" &amp; AM$2 &amp; "*", 'Bucket Counts'!$A:$A, "="&amp;$A62))</f>
        <v>0</v>
      </c>
      <c r="AN62" s="398">
        <f>AM59+SUM(AL59:AL62)</f>
        <v>371.66666666666669</v>
      </c>
      <c r="AO62" s="17">
        <f>SUMIFS(Collection!$O:$O, Collection!$B:$B, "*" &amp; AO$2 &amp; "*", Collection!$A:$A, "="&amp;$A62)</f>
        <v>0</v>
      </c>
      <c r="AP62" s="17">
        <f>(SUMIFS('Bucket Counts'!$P:$P, 'Bucket Counts'!$D:$D, "*" &amp; AP$2 &amp; "*", 'Bucket Counts'!$A:$A, "="&amp;$A62))</f>
        <v>0</v>
      </c>
      <c r="AQ62" s="398">
        <f>AP59+SUM(AO59:AO62)</f>
        <v>0</v>
      </c>
      <c r="AR62" s="17">
        <f>SUMIFS(Collection!$O:$O, Collection!$B:$B, "*" &amp; AR$2 &amp; "*", Collection!$A:$A, "="&amp;$A62)</f>
        <v>0</v>
      </c>
      <c r="AS62" s="17">
        <f>(SUMIFS('Bucket Counts'!$P:$P, 'Bucket Counts'!$D:$D, "*" &amp; AS$2 &amp; "*", 'Bucket Counts'!$A:$A, "="&amp;$A62))</f>
        <v>0</v>
      </c>
      <c r="AT62" s="398">
        <f>AS59+SUM(AR59:AR62)</f>
        <v>2829.166666666667</v>
      </c>
      <c r="AU62" s="17">
        <f>SUMIFS(Collection!$O:$O, Collection!$B:$B, "*" &amp; AU$2 &amp; "*", Collection!$A:$A, "="&amp;$A62)</f>
        <v>0</v>
      </c>
      <c r="AV62" s="17">
        <f>(SUMIFS('Bucket Counts'!$P:$P, 'Bucket Counts'!$D:$D, "*" &amp; AV$2 &amp; "*", 'Bucket Counts'!$A:$A, "="&amp;$A62))</f>
        <v>0</v>
      </c>
      <c r="AW62" s="398">
        <f>AV59+SUM(AU59:AU62)</f>
        <v>401.11111111111109</v>
      </c>
    </row>
    <row r="63" spans="1:49">
      <c r="A63" s="16">
        <f t="shared" si="0"/>
        <v>42933</v>
      </c>
      <c r="B63" s="397">
        <f>SUMIFS(Collection!$O:$O, Collection!$B:$B, "*" &amp; B$2 &amp; "*", Collection!$A:$A, "="&amp;$A63)</f>
        <v>0</v>
      </c>
      <c r="C63" s="118">
        <f>(SUMIFS('Bucket Counts'!$P:$P, 'Bucket Counts'!$D:$D, "*" &amp; C$2 &amp; "*", 'Bucket Counts'!$A:$A, "="&amp;$A63))</f>
        <v>142.77777777777777</v>
      </c>
      <c r="D63" s="398">
        <f>C63+B63</f>
        <v>142.77777777777777</v>
      </c>
      <c r="E63" s="397">
        <f>SUMIFS(Collection!$O:$O, Collection!$B:$B, "*" &amp; E$2 &amp; "*", Collection!$A:$A, "="&amp;$A63)</f>
        <v>0</v>
      </c>
      <c r="F63" s="118">
        <f>(SUMIFS('Bucket Counts'!$P:$P, 'Bucket Counts'!$D:$D, "*" &amp; F$2 &amp; "*", 'Bucket Counts'!$A:$A, "="&amp;$A63))</f>
        <v>0</v>
      </c>
      <c r="G63" s="398">
        <f>F63+E63</f>
        <v>0</v>
      </c>
      <c r="H63" s="397">
        <f>SUMIFS(Collection!$O:$O, Collection!$B:$B, "*" &amp; H$2 &amp; "*", Collection!$A:$A, "="&amp;$A63)</f>
        <v>0</v>
      </c>
      <c r="I63" s="118">
        <f>(SUMIFS('Bucket Counts'!$P:$P, 'Bucket Counts'!$D:$D, "*" &amp; I$2 &amp; "*", 'Bucket Counts'!$A:$A, "="&amp;$A63))</f>
        <v>0</v>
      </c>
      <c r="J63" s="398">
        <f>I63+H63</f>
        <v>0</v>
      </c>
      <c r="K63" s="17">
        <f>SUMIFS(Collection!$O:$O, Collection!$B:$B, "*" &amp; K$2 &amp; "*", Collection!$A:$A, "="&amp;$A63)</f>
        <v>0</v>
      </c>
      <c r="L63" s="17">
        <f>(SUMIFS('Bucket Counts'!$P:$P, 'Bucket Counts'!$D:$D, "*" &amp; L$2 &amp; "*", 'Bucket Counts'!$A:$A, "="&amp;$A63))</f>
        <v>490.27777777777777</v>
      </c>
      <c r="M63" s="398">
        <f>L63+K63</f>
        <v>490.27777777777777</v>
      </c>
      <c r="N63" s="17">
        <f>SUMIFS(Collection!$O:$O, Collection!$B:$B, "*" &amp; N$2 &amp; "*", Collection!$A:$A, "="&amp;$A63)</f>
        <v>0</v>
      </c>
      <c r="O63" s="17">
        <f>(SUMIFS('Bucket Counts'!$P:$P, 'Bucket Counts'!$D:$D, "*" &amp; O$2 &amp; "*", 'Bucket Counts'!$A:$A, "="&amp;$A63))</f>
        <v>37153.333333333336</v>
      </c>
      <c r="P63" s="398">
        <f>O63+N63</f>
        <v>37153.333333333336</v>
      </c>
      <c r="Q63" s="17">
        <f>SUMIFS(Collection!$O:$O, Collection!$B:$B, "*" &amp; Q$2 &amp; "*", Collection!$A:$A, "="&amp;$A63)</f>
        <v>0</v>
      </c>
      <c r="R63" s="17">
        <f>(SUMIFS('Bucket Counts'!$P:$P, 'Bucket Counts'!$D:$D, "*" &amp; R$2 &amp; "*", 'Bucket Counts'!$A:$A, "="&amp;$A63))</f>
        <v>0</v>
      </c>
      <c r="S63" s="398">
        <f>R63+Q63</f>
        <v>0</v>
      </c>
      <c r="T63" s="17">
        <f>SUMIFS(Collection!$O:$O, Collection!$B:$B, "*" &amp; T$2 &amp; "*", Collection!$A:$A, "="&amp;$A63)</f>
        <v>0</v>
      </c>
      <c r="U63" s="17">
        <f>(SUMIFS('Bucket Counts'!$P:$P, 'Bucket Counts'!$D:$D, "*" &amp; U$2 &amp; "*", 'Bucket Counts'!$A:$A, "="&amp;$A63))</f>
        <v>85.555555555555543</v>
      </c>
      <c r="V63" s="398">
        <f>U63+T63</f>
        <v>85.555555555555543</v>
      </c>
      <c r="W63" s="17">
        <f>SUMIFS(Collection!$O:$O, Collection!$B:$B, "*" &amp; W$2 &amp; "*", Collection!$A:$A, "="&amp;$A63)</f>
        <v>0</v>
      </c>
      <c r="X63" s="17">
        <f>(SUMIFS('Bucket Counts'!$P:$P, 'Bucket Counts'!$D:$D, "*" &amp; X$2 &amp; "*", 'Bucket Counts'!$A:$A, "="&amp;$A63))</f>
        <v>0</v>
      </c>
      <c r="Y63" s="398">
        <f>X63+W63</f>
        <v>0</v>
      </c>
      <c r="Z63" s="17">
        <f>SUMIFS(Collection!$O:$O, Collection!$B:$B, "*" &amp; Z$2 &amp; "*", Collection!$A:$A, "="&amp;$A63)</f>
        <v>0</v>
      </c>
      <c r="AA63" s="17">
        <f>(SUMIFS('Bucket Counts'!$P:$P, 'Bucket Counts'!$D:$D, "*" &amp; AA$2 &amp; "*", 'Bucket Counts'!$A:$A, "="&amp;$A63))</f>
        <v>3251.1111111111109</v>
      </c>
      <c r="AB63" s="398">
        <f>AA63+Z63</f>
        <v>3251.1111111111109</v>
      </c>
      <c r="AC63" s="17">
        <f>SUMIFS(Collection!$O:$O, Collection!$B:$B, "*" &amp; AC$2 &amp; "*", Collection!$A:$A, "="&amp;$A63)</f>
        <v>0</v>
      </c>
      <c r="AD63" s="17">
        <f>(SUMIFS('Bucket Counts'!$P:$P, 'Bucket Counts'!$D:$D, "*" &amp; AD$2 &amp; "*", 'Bucket Counts'!$A:$A, "="&amp;$A63))</f>
        <v>5070.5555555555547</v>
      </c>
      <c r="AE63" s="398">
        <f>AD63+AC63</f>
        <v>5070.5555555555547</v>
      </c>
      <c r="AF63" s="17">
        <f>SUMIFS(Collection!$O:$O, Collection!$B:$B, "*" &amp; AF$2 &amp; "*", Collection!$A:$A, "="&amp;$A63)</f>
        <v>0</v>
      </c>
      <c r="AG63" s="17">
        <f>(SUMIFS('Bucket Counts'!$P:$P, 'Bucket Counts'!$D:$D, "*" &amp; AG$2 &amp; "*", 'Bucket Counts'!$A:$A, "="&amp;$A63))</f>
        <v>575.55555555555554</v>
      </c>
      <c r="AH63" s="398">
        <f>AG63+AF63</f>
        <v>575.55555555555554</v>
      </c>
      <c r="AI63" s="17">
        <f>SUMIFS(Collection!$O:$O, Collection!$B:$B, "*" &amp; AI$2 &amp; "*", Collection!$A:$A, "="&amp;$A63)</f>
        <v>0</v>
      </c>
      <c r="AJ63" s="17">
        <f>(SUMIFS('Bucket Counts'!$P:$P, 'Bucket Counts'!$D:$D, "*" &amp; AJ$2 &amp; "*", 'Bucket Counts'!$A:$A, "="&amp;$A63))</f>
        <v>1138.3333333333333</v>
      </c>
      <c r="AK63" s="398">
        <f>AJ63+AI63</f>
        <v>1138.3333333333333</v>
      </c>
      <c r="AL63" s="17">
        <f>SUMIFS(Collection!$O:$O, Collection!$B:$B, "*" &amp; AL$2 &amp; "*", Collection!$A:$A, "="&amp;$A63)</f>
        <v>0</v>
      </c>
      <c r="AM63" s="17">
        <f>(SUMIFS('Bucket Counts'!$P:$P, 'Bucket Counts'!$D:$D, "*" &amp; AM$2 &amp; "*", 'Bucket Counts'!$A:$A, "="&amp;$A63))</f>
        <v>30.777777777777775</v>
      </c>
      <c r="AN63" s="398">
        <f>AM63+AL63</f>
        <v>30.777777777777775</v>
      </c>
      <c r="AO63" s="17">
        <f>SUMIFS(Collection!$O:$O, Collection!$B:$B, "*" &amp; AO$2 &amp; "*", Collection!$A:$A, "="&amp;$A63)</f>
        <v>0</v>
      </c>
      <c r="AP63" s="17">
        <f>(SUMIFS('Bucket Counts'!$P:$P, 'Bucket Counts'!$D:$D, "*" &amp; AP$2 &amp; "*", 'Bucket Counts'!$A:$A, "="&amp;$A63))</f>
        <v>0</v>
      </c>
      <c r="AQ63" s="398">
        <f>AP63+AO63</f>
        <v>0</v>
      </c>
      <c r="AR63" s="17">
        <f>SUMIFS(Collection!$O:$O, Collection!$B:$B, "*" &amp; AR$2 &amp; "*", Collection!$A:$A, "="&amp;$A63)</f>
        <v>0</v>
      </c>
      <c r="AS63" s="17">
        <f>(SUMIFS('Bucket Counts'!$P:$P, 'Bucket Counts'!$D:$D, "*" &amp; AS$2 &amp; "*", 'Bucket Counts'!$A:$A, "="&amp;$A63))</f>
        <v>649.88888888888891</v>
      </c>
      <c r="AT63" s="398">
        <f>AS63+AR63</f>
        <v>649.88888888888891</v>
      </c>
      <c r="AU63" s="17">
        <f>SUMIFS(Collection!$O:$O, Collection!$B:$B, "*" &amp; AU$2 &amp; "*", Collection!$A:$A, "="&amp;$A63)</f>
        <v>0</v>
      </c>
      <c r="AV63" s="17">
        <f>(SUMIFS('Bucket Counts'!$P:$P, 'Bucket Counts'!$D:$D, "*" &amp; AV$2 &amp; "*", 'Bucket Counts'!$A:$A, "="&amp;$A63))</f>
        <v>243</v>
      </c>
      <c r="AW63" s="398">
        <f>AV63+AU63</f>
        <v>243</v>
      </c>
    </row>
    <row r="64" spans="1:49">
      <c r="A64" s="16">
        <f t="shared" si="0"/>
        <v>42934</v>
      </c>
      <c r="B64" s="397">
        <f>SUMIFS(Collection!$O:$O, Collection!$B:$B, "*" &amp; B$2 &amp; "*", Collection!$A:$A, "="&amp;$A64)</f>
        <v>0</v>
      </c>
      <c r="C64" s="118">
        <f>(SUMIFS('Bucket Counts'!$P:$P, 'Bucket Counts'!$D:$D, "*" &amp; C$2 &amp; "*", 'Bucket Counts'!$A:$A, "="&amp;$A64))</f>
        <v>0</v>
      </c>
      <c r="D64" s="398">
        <f>C63+SUM(B63:B64)</f>
        <v>142.77777777777777</v>
      </c>
      <c r="E64" s="397">
        <f>SUMIFS(Collection!$O:$O, Collection!$B:$B, "*" &amp; E$2 &amp; "*", Collection!$A:$A, "="&amp;$A64)</f>
        <v>0</v>
      </c>
      <c r="F64" s="118">
        <f>(SUMIFS('Bucket Counts'!$P:$P, 'Bucket Counts'!$D:$D, "*" &amp; F$2 &amp; "*", 'Bucket Counts'!$A:$A, "="&amp;$A64))</f>
        <v>0</v>
      </c>
      <c r="G64" s="398">
        <f>F63+SUM(E63:E64)</f>
        <v>0</v>
      </c>
      <c r="H64" s="397">
        <f>SUMIFS(Collection!$O:$O, Collection!$B:$B, "*" &amp; H$2 &amp; "*", Collection!$A:$A, "="&amp;$A64)</f>
        <v>0</v>
      </c>
      <c r="I64" s="118">
        <f>(SUMIFS('Bucket Counts'!$P:$P, 'Bucket Counts'!$D:$D, "*" &amp; I$2 &amp; "*", 'Bucket Counts'!$A:$A, "="&amp;$A64))</f>
        <v>0</v>
      </c>
      <c r="J64" s="398">
        <f>I63+SUM(H63:H64)</f>
        <v>0</v>
      </c>
      <c r="K64" s="17">
        <f>SUMIFS(Collection!$O:$O, Collection!$B:$B, "*" &amp; K$2 &amp; "*", Collection!$A:$A, "="&amp;$A64)</f>
        <v>0</v>
      </c>
      <c r="L64" s="17">
        <f>(SUMIFS('Bucket Counts'!$P:$P, 'Bucket Counts'!$D:$D, "*" &amp; L$2 &amp; "*", 'Bucket Counts'!$A:$A, "="&amp;$A64))</f>
        <v>0</v>
      </c>
      <c r="M64" s="398">
        <f>L63+SUM(K63:K64)</f>
        <v>490.27777777777777</v>
      </c>
      <c r="N64" s="17">
        <f>SUMIFS(Collection!$O:$O, Collection!$B:$B, "*" &amp; N$2 &amp; "*", Collection!$A:$A, "="&amp;$A64)</f>
        <v>0</v>
      </c>
      <c r="O64" s="17">
        <f>(SUMIFS('Bucket Counts'!$P:$P, 'Bucket Counts'!$D:$D, "*" &amp; O$2 &amp; "*", 'Bucket Counts'!$A:$A, "="&amp;$A64))</f>
        <v>0</v>
      </c>
      <c r="P64" s="398">
        <f>O63+SUM(N63:N64)</f>
        <v>37153.333333333336</v>
      </c>
      <c r="Q64" s="17">
        <f>SUMIFS(Collection!$O:$O, Collection!$B:$B, "*" &amp; Q$2 &amp; "*", Collection!$A:$A, "="&amp;$A64)</f>
        <v>0</v>
      </c>
      <c r="R64" s="17">
        <f>(SUMIFS('Bucket Counts'!$P:$P, 'Bucket Counts'!$D:$D, "*" &amp; R$2 &amp; "*", 'Bucket Counts'!$A:$A, "="&amp;$A64))</f>
        <v>0</v>
      </c>
      <c r="S64" s="398">
        <f>R63+SUM(Q63:Q64)</f>
        <v>0</v>
      </c>
      <c r="T64" s="17">
        <f>SUMIFS(Collection!$O:$O, Collection!$B:$B, "*" &amp; T$2 &amp; "*", Collection!$A:$A, "="&amp;$A64)</f>
        <v>0</v>
      </c>
      <c r="U64" s="17">
        <f>(SUMIFS('Bucket Counts'!$P:$P, 'Bucket Counts'!$D:$D, "*" &amp; U$2 &amp; "*", 'Bucket Counts'!$A:$A, "="&amp;$A64))</f>
        <v>0</v>
      </c>
      <c r="V64" s="398">
        <f>U63+SUM(T63:T64)</f>
        <v>85.555555555555543</v>
      </c>
      <c r="W64" s="17">
        <f>SUMIFS(Collection!$O:$O, Collection!$B:$B, "*" &amp; W$2 &amp; "*", Collection!$A:$A, "="&amp;$A64)</f>
        <v>0</v>
      </c>
      <c r="X64" s="17">
        <f>(SUMIFS('Bucket Counts'!$P:$P, 'Bucket Counts'!$D:$D, "*" &amp; X$2 &amp; "*", 'Bucket Counts'!$A:$A, "="&amp;$A64))</f>
        <v>0</v>
      </c>
      <c r="Y64" s="398">
        <f>X63+SUM(W63:W64)</f>
        <v>0</v>
      </c>
      <c r="Z64" s="17">
        <f>SUMIFS(Collection!$O:$O, Collection!$B:$B, "*" &amp; Z$2 &amp; "*", Collection!$A:$A, "="&amp;$A64)</f>
        <v>0</v>
      </c>
      <c r="AA64" s="17">
        <f>(SUMIFS('Bucket Counts'!$P:$P, 'Bucket Counts'!$D:$D, "*" &amp; AA$2 &amp; "*", 'Bucket Counts'!$A:$A, "="&amp;$A64))</f>
        <v>0</v>
      </c>
      <c r="AB64" s="398">
        <f>AA63+SUM(Z63:Z64)</f>
        <v>3251.1111111111109</v>
      </c>
      <c r="AC64" s="17">
        <f>SUMIFS(Collection!$O:$O, Collection!$B:$B, "*" &amp; AC$2 &amp; "*", Collection!$A:$A, "="&amp;$A64)</f>
        <v>0</v>
      </c>
      <c r="AD64" s="17">
        <f>(SUMIFS('Bucket Counts'!$P:$P, 'Bucket Counts'!$D:$D, "*" &amp; AD$2 &amp; "*", 'Bucket Counts'!$A:$A, "="&amp;$A64))</f>
        <v>0</v>
      </c>
      <c r="AE64" s="398">
        <f>AD63+SUM(AC63:AC64)</f>
        <v>5070.5555555555547</v>
      </c>
      <c r="AF64" s="17">
        <f>SUMIFS(Collection!$O:$O, Collection!$B:$B, "*" &amp; AF$2 &amp; "*", Collection!$A:$A, "="&amp;$A64)</f>
        <v>0</v>
      </c>
      <c r="AG64" s="17">
        <f>(SUMIFS('Bucket Counts'!$P:$P, 'Bucket Counts'!$D:$D, "*" &amp; AG$2 &amp; "*", 'Bucket Counts'!$A:$A, "="&amp;$A64))</f>
        <v>0</v>
      </c>
      <c r="AH64" s="398">
        <f>AG63+SUM(AF63:AF64)</f>
        <v>575.55555555555554</v>
      </c>
      <c r="AI64" s="17">
        <f>SUMIFS(Collection!$O:$O, Collection!$B:$B, "*" &amp; AI$2 &amp; "*", Collection!$A:$A, "="&amp;$A64)</f>
        <v>0</v>
      </c>
      <c r="AJ64" s="17">
        <f>(SUMIFS('Bucket Counts'!$P:$P, 'Bucket Counts'!$D:$D, "*" &amp; AJ$2 &amp; "*", 'Bucket Counts'!$A:$A, "="&amp;$A64))</f>
        <v>0</v>
      </c>
      <c r="AK64" s="398">
        <f>AJ63+SUM(AI63:AI64)</f>
        <v>1138.3333333333333</v>
      </c>
      <c r="AL64" s="17">
        <f>SUMIFS(Collection!$O:$O, Collection!$B:$B, "*" &amp; AL$2 &amp; "*", Collection!$A:$A, "="&amp;$A64)</f>
        <v>0</v>
      </c>
      <c r="AM64" s="17">
        <f>(SUMIFS('Bucket Counts'!$P:$P, 'Bucket Counts'!$D:$D, "*" &amp; AM$2 &amp; "*", 'Bucket Counts'!$A:$A, "="&amp;$A64))</f>
        <v>0</v>
      </c>
      <c r="AN64" s="398">
        <f>AM63+SUM(AL63:AL64)</f>
        <v>30.777777777777775</v>
      </c>
      <c r="AO64" s="17">
        <f>SUMIFS(Collection!$O:$O, Collection!$B:$B, "*" &amp; AO$2 &amp; "*", Collection!$A:$A, "="&amp;$A64)</f>
        <v>0</v>
      </c>
      <c r="AP64" s="17">
        <f>(SUMIFS('Bucket Counts'!$P:$P, 'Bucket Counts'!$D:$D, "*" &amp; AP$2 &amp; "*", 'Bucket Counts'!$A:$A, "="&amp;$A64))</f>
        <v>0</v>
      </c>
      <c r="AQ64" s="398">
        <f>AP63+SUM(AO63:AO64)</f>
        <v>0</v>
      </c>
      <c r="AR64" s="17">
        <f>SUMIFS(Collection!$O:$O, Collection!$B:$B, "*" &amp; AR$2 &amp; "*", Collection!$A:$A, "="&amp;$A64)</f>
        <v>0</v>
      </c>
      <c r="AS64" s="17">
        <f>(SUMIFS('Bucket Counts'!$P:$P, 'Bucket Counts'!$D:$D, "*" &amp; AS$2 &amp; "*", 'Bucket Counts'!$A:$A, "="&amp;$A64))</f>
        <v>0</v>
      </c>
      <c r="AT64" s="398">
        <f>AS63+SUM(AR63:AR64)</f>
        <v>649.88888888888891</v>
      </c>
      <c r="AU64" s="17">
        <f>SUMIFS(Collection!$O:$O, Collection!$B:$B, "*" &amp; AU$2 &amp; "*", Collection!$A:$A, "="&amp;$A64)</f>
        <v>0</v>
      </c>
      <c r="AV64" s="17">
        <f>(SUMIFS('Bucket Counts'!$P:$P, 'Bucket Counts'!$D:$D, "*" &amp; AV$2 &amp; "*", 'Bucket Counts'!$A:$A, "="&amp;$A64))</f>
        <v>0</v>
      </c>
      <c r="AW64" s="398">
        <f>AV63+SUM(AU63:AU64)</f>
        <v>243</v>
      </c>
    </row>
    <row r="65" spans="1:49">
      <c r="A65" s="16">
        <f t="shared" si="0"/>
        <v>42935</v>
      </c>
      <c r="B65" s="397">
        <f>SUMIFS(Collection!$O:$O, Collection!$B:$B, "*" &amp; B$2 &amp; "*", Collection!$A:$A, "="&amp;$A65)</f>
        <v>0</v>
      </c>
      <c r="C65" s="118">
        <f>(SUMIFS('Bucket Counts'!$P:$P, 'Bucket Counts'!$D:$D, "*" &amp; C$2 &amp; "*", 'Bucket Counts'!$A:$A, "="&amp;$A65))</f>
        <v>0</v>
      </c>
      <c r="D65" s="398">
        <f>C63+SUM(B63:B65)</f>
        <v>142.77777777777777</v>
      </c>
      <c r="E65" s="397">
        <f>SUMIFS(Collection!$O:$O, Collection!$B:$B, "*" &amp; E$2 &amp; "*", Collection!$A:$A, "="&amp;$A65)</f>
        <v>0</v>
      </c>
      <c r="F65" s="118">
        <f>(SUMIFS('Bucket Counts'!$P:$P, 'Bucket Counts'!$D:$D, "*" &amp; F$2 &amp; "*", 'Bucket Counts'!$A:$A, "="&amp;$A65))</f>
        <v>0</v>
      </c>
      <c r="G65" s="398">
        <f>F63+SUM(E63:E65)</f>
        <v>0</v>
      </c>
      <c r="H65" s="397">
        <f>SUMIFS(Collection!$O:$O, Collection!$B:$B, "*" &amp; H$2 &amp; "*", Collection!$A:$A, "="&amp;$A65)</f>
        <v>0</v>
      </c>
      <c r="I65" s="118">
        <f>(SUMIFS('Bucket Counts'!$P:$P, 'Bucket Counts'!$D:$D, "*" &amp; I$2 &amp; "*", 'Bucket Counts'!$A:$A, "="&amp;$A65))</f>
        <v>0</v>
      </c>
      <c r="J65" s="398">
        <f>I63+SUM(H63:H65)</f>
        <v>0</v>
      </c>
      <c r="K65" s="17">
        <f>SUMIFS(Collection!$O:$O, Collection!$B:$B, "*" &amp; K$2 &amp; "*", Collection!$A:$A, "="&amp;$A65)</f>
        <v>0</v>
      </c>
      <c r="L65" s="17">
        <f>(SUMIFS('Bucket Counts'!$P:$P, 'Bucket Counts'!$D:$D, "*" &amp; L$2 &amp; "*", 'Bucket Counts'!$A:$A, "="&amp;$A65))</f>
        <v>0</v>
      </c>
      <c r="M65" s="398">
        <f>L63+SUM(K63:K65)</f>
        <v>490.27777777777777</v>
      </c>
      <c r="N65" s="17">
        <f>SUMIFS(Collection!$O:$O, Collection!$B:$B, "*" &amp; N$2 &amp; "*", Collection!$A:$A, "="&amp;$A65)</f>
        <v>0</v>
      </c>
      <c r="O65" s="17">
        <f>(SUMIFS('Bucket Counts'!$P:$P, 'Bucket Counts'!$D:$D, "*" &amp; O$2 &amp; "*", 'Bucket Counts'!$A:$A, "="&amp;$A65))</f>
        <v>0</v>
      </c>
      <c r="P65" s="398">
        <f>O63+SUM(N63:N65)</f>
        <v>37153.333333333336</v>
      </c>
      <c r="Q65" s="17">
        <f>SUMIFS(Collection!$O:$O, Collection!$B:$B, "*" &amp; Q$2 &amp; "*", Collection!$A:$A, "="&amp;$A65)</f>
        <v>0</v>
      </c>
      <c r="R65" s="17">
        <f>(SUMIFS('Bucket Counts'!$P:$P, 'Bucket Counts'!$D:$D, "*" &amp; R$2 &amp; "*", 'Bucket Counts'!$A:$A, "="&amp;$A65))</f>
        <v>0</v>
      </c>
      <c r="S65" s="398">
        <f>R63+SUM(Q63:Q65)</f>
        <v>0</v>
      </c>
      <c r="T65" s="17">
        <f>SUMIFS(Collection!$O:$O, Collection!$B:$B, "*" &amp; T$2 &amp; "*", Collection!$A:$A, "="&amp;$A65)</f>
        <v>0</v>
      </c>
      <c r="U65" s="17">
        <f>(SUMIFS('Bucket Counts'!$P:$P, 'Bucket Counts'!$D:$D, "*" &amp; U$2 &amp; "*", 'Bucket Counts'!$A:$A, "="&amp;$A65))</f>
        <v>0</v>
      </c>
      <c r="V65" s="398">
        <f>U63+SUM(T63:T65)</f>
        <v>85.555555555555543</v>
      </c>
      <c r="W65" s="17">
        <f>SUMIFS(Collection!$O:$O, Collection!$B:$B, "*" &amp; W$2 &amp; "*", Collection!$A:$A, "="&amp;$A65)</f>
        <v>0</v>
      </c>
      <c r="X65" s="17">
        <f>(SUMIFS('Bucket Counts'!$P:$P, 'Bucket Counts'!$D:$D, "*" &amp; X$2 &amp; "*", 'Bucket Counts'!$A:$A, "="&amp;$A65))</f>
        <v>0</v>
      </c>
      <c r="Y65" s="398">
        <f>X63+SUM(W63:W65)</f>
        <v>0</v>
      </c>
      <c r="Z65" s="17">
        <f>SUMIFS(Collection!$O:$O, Collection!$B:$B, "*" &amp; Z$2 &amp; "*", Collection!$A:$A, "="&amp;$A65)</f>
        <v>0</v>
      </c>
      <c r="AA65" s="17">
        <f>(SUMIFS('Bucket Counts'!$P:$P, 'Bucket Counts'!$D:$D, "*" &amp; AA$2 &amp; "*", 'Bucket Counts'!$A:$A, "="&amp;$A65))</f>
        <v>0</v>
      </c>
      <c r="AB65" s="398">
        <f>AA63+SUM(Z63:Z65)</f>
        <v>3251.1111111111109</v>
      </c>
      <c r="AC65" s="17">
        <f>SUMIFS(Collection!$O:$O, Collection!$B:$B, "*" &amp; AC$2 &amp; "*", Collection!$A:$A, "="&amp;$A65)</f>
        <v>0</v>
      </c>
      <c r="AD65" s="17">
        <f>(SUMIFS('Bucket Counts'!$P:$P, 'Bucket Counts'!$D:$D, "*" &amp; AD$2 &amp; "*", 'Bucket Counts'!$A:$A, "="&amp;$A65))</f>
        <v>0</v>
      </c>
      <c r="AE65" s="398">
        <f>AD63+SUM(AC63:AC65)</f>
        <v>5070.5555555555547</v>
      </c>
      <c r="AF65" s="17">
        <f>SUMIFS(Collection!$O:$O, Collection!$B:$B, "*" &amp; AF$2 &amp; "*", Collection!$A:$A, "="&amp;$A65)</f>
        <v>0</v>
      </c>
      <c r="AG65" s="17">
        <f>(SUMIFS('Bucket Counts'!$P:$P, 'Bucket Counts'!$D:$D, "*" &amp; AG$2 &amp; "*", 'Bucket Counts'!$A:$A, "="&amp;$A65))</f>
        <v>0</v>
      </c>
      <c r="AH65" s="398">
        <f>AG63+SUM(AF63:AF65)</f>
        <v>575.55555555555554</v>
      </c>
      <c r="AI65" s="17">
        <f>SUMIFS(Collection!$O:$O, Collection!$B:$B, "*" &amp; AI$2 &amp; "*", Collection!$A:$A, "="&amp;$A65)</f>
        <v>0</v>
      </c>
      <c r="AJ65" s="17">
        <f>(SUMIFS('Bucket Counts'!$P:$P, 'Bucket Counts'!$D:$D, "*" &amp; AJ$2 &amp; "*", 'Bucket Counts'!$A:$A, "="&amp;$A65))</f>
        <v>0</v>
      </c>
      <c r="AK65" s="398">
        <f>AJ63+SUM(AI63:AI65)</f>
        <v>1138.3333333333333</v>
      </c>
      <c r="AL65" s="17">
        <f>SUMIFS(Collection!$O:$O, Collection!$B:$B, "*" &amp; AL$2 &amp; "*", Collection!$A:$A, "="&amp;$A65)</f>
        <v>0</v>
      </c>
      <c r="AM65" s="17">
        <f>(SUMIFS('Bucket Counts'!$P:$P, 'Bucket Counts'!$D:$D, "*" &amp; AM$2 &amp; "*", 'Bucket Counts'!$A:$A, "="&amp;$A65))</f>
        <v>0</v>
      </c>
      <c r="AN65" s="398">
        <f>AM63+SUM(AL63:AL65)</f>
        <v>30.777777777777775</v>
      </c>
      <c r="AO65" s="17">
        <f>SUMIFS(Collection!$O:$O, Collection!$B:$B, "*" &amp; AO$2 &amp; "*", Collection!$A:$A, "="&amp;$A65)</f>
        <v>0</v>
      </c>
      <c r="AP65" s="17">
        <f>(SUMIFS('Bucket Counts'!$P:$P, 'Bucket Counts'!$D:$D, "*" &amp; AP$2 &amp; "*", 'Bucket Counts'!$A:$A, "="&amp;$A65))</f>
        <v>0</v>
      </c>
      <c r="AQ65" s="398">
        <f>AP63+SUM(AO63:AO65)</f>
        <v>0</v>
      </c>
      <c r="AR65" s="17">
        <f>SUMIFS(Collection!$O:$O, Collection!$B:$B, "*" &amp; AR$2 &amp; "*", Collection!$A:$A, "="&amp;$A65)</f>
        <v>0</v>
      </c>
      <c r="AS65" s="17">
        <f>(SUMIFS('Bucket Counts'!$P:$P, 'Bucket Counts'!$D:$D, "*" &amp; AS$2 &amp; "*", 'Bucket Counts'!$A:$A, "="&amp;$A65))</f>
        <v>0</v>
      </c>
      <c r="AT65" s="398">
        <f>AS63+SUM(AR63:AR65)</f>
        <v>649.88888888888891</v>
      </c>
      <c r="AU65" s="17">
        <f>SUMIFS(Collection!$O:$O, Collection!$B:$B, "*" &amp; AU$2 &amp; "*", Collection!$A:$A, "="&amp;$A65)</f>
        <v>0</v>
      </c>
      <c r="AV65" s="17">
        <f>(SUMIFS('Bucket Counts'!$P:$P, 'Bucket Counts'!$D:$D, "*" &amp; AV$2 &amp; "*", 'Bucket Counts'!$A:$A, "="&amp;$A65))</f>
        <v>0</v>
      </c>
      <c r="AW65" s="398">
        <f>AV63+SUM(AU63:AU65)</f>
        <v>243</v>
      </c>
    </row>
    <row r="66" spans="1:49">
      <c r="A66" s="16">
        <f t="shared" si="0"/>
        <v>42936</v>
      </c>
      <c r="B66" s="397">
        <f>SUMIFS(Collection!$O:$O, Collection!$B:$B, "*" &amp; B$2 &amp; "*", Collection!$A:$A, "="&amp;$A66)</f>
        <v>0</v>
      </c>
      <c r="C66" s="118">
        <f>(SUMIFS('Bucket Counts'!$P:$P, 'Bucket Counts'!$D:$D, "*" &amp; C$2 &amp; "*", 'Bucket Counts'!$A:$A, "="&amp;$A66))</f>
        <v>37</v>
      </c>
      <c r="D66" s="398">
        <f>C66+B66</f>
        <v>37</v>
      </c>
      <c r="E66" s="397">
        <f>SUMIFS(Collection!$O:$O, Collection!$B:$B, "*" &amp; E$2 &amp; "*", Collection!$A:$A, "="&amp;$A66)</f>
        <v>0</v>
      </c>
      <c r="F66" s="118">
        <f>(SUMIFS('Bucket Counts'!$P:$P, 'Bucket Counts'!$D:$D, "*" &amp; F$2 &amp; "*", 'Bucket Counts'!$A:$A, "="&amp;$A66))</f>
        <v>0</v>
      </c>
      <c r="G66" s="398">
        <f>F66+E66</f>
        <v>0</v>
      </c>
      <c r="H66" s="397">
        <f>SUMIFS(Collection!$O:$O, Collection!$B:$B, "*" &amp; H$2 &amp; "*", Collection!$A:$A, "="&amp;$A66)</f>
        <v>0</v>
      </c>
      <c r="I66" s="118">
        <f>(SUMIFS('Bucket Counts'!$P:$P, 'Bucket Counts'!$D:$D, "*" &amp; I$2 &amp; "*", 'Bucket Counts'!$A:$A, "="&amp;$A66))</f>
        <v>0</v>
      </c>
      <c r="J66" s="398">
        <f>I66+H66</f>
        <v>0</v>
      </c>
      <c r="K66" s="17">
        <f>SUMIFS(Collection!$O:$O, Collection!$B:$B, "*" &amp; K$2 &amp; "*", Collection!$A:$A, "="&amp;$A66)</f>
        <v>0</v>
      </c>
      <c r="L66" s="17">
        <f>(SUMIFS('Bucket Counts'!$P:$P, 'Bucket Counts'!$D:$D, "*" &amp; L$2 &amp; "*", 'Bucket Counts'!$A:$A, "="&amp;$A66))</f>
        <v>0</v>
      </c>
      <c r="M66" s="398">
        <f>L66+K66</f>
        <v>0</v>
      </c>
      <c r="N66" s="17">
        <f>SUMIFS(Collection!$O:$O, Collection!$B:$B, "*" &amp; N$2 &amp; "*", Collection!$A:$A, "="&amp;$A66)</f>
        <v>0</v>
      </c>
      <c r="O66" s="17">
        <f>(SUMIFS('Bucket Counts'!$P:$P, 'Bucket Counts'!$D:$D, "*" &amp; O$2 &amp; "*", 'Bucket Counts'!$A:$A, "="&amp;$A66))</f>
        <v>15581.666666666666</v>
      </c>
      <c r="P66" s="398">
        <f>O66+N66</f>
        <v>15581.666666666666</v>
      </c>
      <c r="Q66" s="17">
        <f>SUMIFS(Collection!$O:$O, Collection!$B:$B, "*" &amp; Q$2 &amp; "*", Collection!$A:$A, "="&amp;$A66)</f>
        <v>0</v>
      </c>
      <c r="R66" s="17">
        <f>(SUMIFS('Bucket Counts'!$P:$P, 'Bucket Counts'!$D:$D, "*" &amp; R$2 &amp; "*", 'Bucket Counts'!$A:$A, "="&amp;$A66))</f>
        <v>0</v>
      </c>
      <c r="S66" s="398">
        <f>R66+Q66</f>
        <v>0</v>
      </c>
      <c r="T66" s="17">
        <f>SUMIFS(Collection!$O:$O, Collection!$B:$B, "*" &amp; T$2 &amp; "*", Collection!$A:$A, "="&amp;$A66)</f>
        <v>0</v>
      </c>
      <c r="U66" s="17">
        <f>(SUMIFS('Bucket Counts'!$P:$P, 'Bucket Counts'!$D:$D, "*" &amp; U$2 &amp; "*", 'Bucket Counts'!$A:$A, "="&amp;$A66))</f>
        <v>0</v>
      </c>
      <c r="V66" s="398">
        <f>U66+T66</f>
        <v>0</v>
      </c>
      <c r="W66" s="17">
        <f>SUMIFS(Collection!$O:$O, Collection!$B:$B, "*" &amp; W$2 &amp; "*", Collection!$A:$A, "="&amp;$A66)</f>
        <v>0</v>
      </c>
      <c r="X66" s="17">
        <f>(SUMIFS('Bucket Counts'!$P:$P, 'Bucket Counts'!$D:$D, "*" &amp; X$2 &amp; "*", 'Bucket Counts'!$A:$A, "="&amp;$A66))</f>
        <v>0</v>
      </c>
      <c r="Y66" s="398">
        <f>X66+W66</f>
        <v>0</v>
      </c>
      <c r="Z66" s="17">
        <f>SUMIFS(Collection!$O:$O, Collection!$B:$B, "*" &amp; Z$2 &amp; "*", Collection!$A:$A, "="&amp;$A66)</f>
        <v>0</v>
      </c>
      <c r="AA66" s="17">
        <f>(SUMIFS('Bucket Counts'!$P:$P, 'Bucket Counts'!$D:$D, "*" &amp; AA$2 &amp; "*", 'Bucket Counts'!$A:$A, "="&amp;$A66))</f>
        <v>331.11111111111109</v>
      </c>
      <c r="AB66" s="398">
        <f>AA66+Z66</f>
        <v>331.11111111111109</v>
      </c>
      <c r="AC66" s="17">
        <f>SUMIFS(Collection!$O:$O, Collection!$B:$B, "*" &amp; AC$2 &amp; "*", Collection!$A:$A, "="&amp;$A66)</f>
        <v>0</v>
      </c>
      <c r="AD66" s="17">
        <f>(SUMIFS('Bucket Counts'!$P:$P, 'Bucket Counts'!$D:$D, "*" &amp; AD$2 &amp; "*", 'Bucket Counts'!$A:$A, "="&amp;$A66))</f>
        <v>1675</v>
      </c>
      <c r="AE66" s="398">
        <f>AD66+AC66</f>
        <v>1675</v>
      </c>
      <c r="AF66" s="17">
        <f>SUMIFS(Collection!$O:$O, Collection!$B:$B, "*" &amp; AF$2 &amp; "*", Collection!$A:$A, "="&amp;$A66)</f>
        <v>0</v>
      </c>
      <c r="AG66" s="17">
        <f>(SUMIFS('Bucket Counts'!$P:$P, 'Bucket Counts'!$D:$D, "*" &amp; AG$2 &amp; "*", 'Bucket Counts'!$A:$A, "="&amp;$A66))</f>
        <v>0</v>
      </c>
      <c r="AH66" s="398">
        <f>AG66+AF66</f>
        <v>0</v>
      </c>
      <c r="AI66" s="17">
        <f>SUMIFS(Collection!$O:$O, Collection!$B:$B, "*" &amp; AI$2 &amp; "*", Collection!$A:$A, "="&amp;$A66)</f>
        <v>0</v>
      </c>
      <c r="AJ66" s="17">
        <f>(SUMIFS('Bucket Counts'!$P:$P, 'Bucket Counts'!$D:$D, "*" &amp; AJ$2 &amp; "*", 'Bucket Counts'!$A:$A, "="&amp;$A66))</f>
        <v>199.99999999999997</v>
      </c>
      <c r="AK66" s="398">
        <f>AJ66+AI66</f>
        <v>199.99999999999997</v>
      </c>
      <c r="AL66" s="17">
        <f>SUMIFS(Collection!$O:$O, Collection!$B:$B, "*" &amp; AL$2 &amp; "*", Collection!$A:$A, "="&amp;$A66)</f>
        <v>0</v>
      </c>
      <c r="AM66" s="17">
        <f>(SUMIFS('Bucket Counts'!$P:$P, 'Bucket Counts'!$D:$D, "*" &amp; AM$2 &amp; "*", 'Bucket Counts'!$A:$A, "="&amp;$A66))</f>
        <v>0</v>
      </c>
      <c r="AN66" s="398">
        <f>AM66+AL66</f>
        <v>0</v>
      </c>
      <c r="AO66" s="17">
        <f>SUMIFS(Collection!$O:$O, Collection!$B:$B, "*" &amp; AO$2 &amp; "*", Collection!$A:$A, "="&amp;$A66)</f>
        <v>0</v>
      </c>
      <c r="AP66" s="17">
        <f>(SUMIFS('Bucket Counts'!$P:$P, 'Bucket Counts'!$D:$D, "*" &amp; AP$2 &amp; "*", 'Bucket Counts'!$A:$A, "="&amp;$A66))</f>
        <v>0</v>
      </c>
      <c r="AQ66" s="398">
        <f>AP66+AO66</f>
        <v>0</v>
      </c>
      <c r="AR66" s="17">
        <f>SUMIFS(Collection!$O:$O, Collection!$B:$B, "*" &amp; AR$2 &amp; "*", Collection!$A:$A, "="&amp;$A66)</f>
        <v>0</v>
      </c>
      <c r="AS66" s="17">
        <f>(SUMIFS('Bucket Counts'!$P:$P, 'Bucket Counts'!$D:$D, "*" &amp; AS$2 &amp; "*", 'Bucket Counts'!$A:$A, "="&amp;$A66))</f>
        <v>93.333333333333314</v>
      </c>
      <c r="AT66" s="398">
        <f>AS66+AR66</f>
        <v>93.333333333333314</v>
      </c>
      <c r="AU66" s="17">
        <f>SUMIFS(Collection!$O:$O, Collection!$B:$B, "*" &amp; AU$2 &amp; "*", Collection!$A:$A, "="&amp;$A66)</f>
        <v>0</v>
      </c>
      <c r="AV66" s="17">
        <f>(SUMIFS('Bucket Counts'!$P:$P, 'Bucket Counts'!$D:$D, "*" &amp; AV$2 &amp; "*", 'Bucket Counts'!$A:$A, "="&amp;$A66))</f>
        <v>0</v>
      </c>
      <c r="AW66" s="398">
        <f>AV66+AU66</f>
        <v>0</v>
      </c>
    </row>
    <row r="67" spans="1:49">
      <c r="A67" s="16">
        <f t="shared" si="0"/>
        <v>42937</v>
      </c>
      <c r="B67" s="397">
        <f>SUMIFS(Collection!$O:$O, Collection!$B:$B, "*" &amp; B$2 &amp; "*", Collection!$A:$A, "="&amp;$A67)</f>
        <v>0</v>
      </c>
      <c r="C67" s="118">
        <f>(SUMIFS('Bucket Counts'!$P:$P, 'Bucket Counts'!$D:$D, "*" &amp; C$2 &amp; "*", 'Bucket Counts'!$A:$A, "="&amp;$A67))</f>
        <v>0</v>
      </c>
      <c r="D67" s="398">
        <f>C66+SUM(B66:B67)</f>
        <v>37</v>
      </c>
      <c r="E67" s="397">
        <f>SUMIFS(Collection!$O:$O, Collection!$B:$B, "*" &amp; E$2 &amp; "*", Collection!$A:$A, "="&amp;$A67)</f>
        <v>0</v>
      </c>
      <c r="F67" s="118">
        <f>(SUMIFS('Bucket Counts'!$P:$P, 'Bucket Counts'!$D:$D, "*" &amp; F$2 &amp; "*", 'Bucket Counts'!$A:$A, "="&amp;$A67))</f>
        <v>0</v>
      </c>
      <c r="G67" s="398">
        <f>F66+SUM(E66:E67)</f>
        <v>0</v>
      </c>
      <c r="H67" s="397">
        <f>SUMIFS(Collection!$O:$O, Collection!$B:$B, "*" &amp; H$2 &amp; "*", Collection!$A:$A, "="&amp;$A67)</f>
        <v>0</v>
      </c>
      <c r="I67" s="118">
        <f>(SUMIFS('Bucket Counts'!$P:$P, 'Bucket Counts'!$D:$D, "*" &amp; I$2 &amp; "*", 'Bucket Counts'!$A:$A, "="&amp;$A67))</f>
        <v>0</v>
      </c>
      <c r="J67" s="398">
        <f>I66+SUM(H66:H67)</f>
        <v>0</v>
      </c>
      <c r="K67" s="17">
        <f>SUMIFS(Collection!$O:$O, Collection!$B:$B, "*" &amp; K$2 &amp; "*", Collection!$A:$A, "="&amp;$A67)</f>
        <v>0</v>
      </c>
      <c r="L67" s="17">
        <f>(SUMIFS('Bucket Counts'!$P:$P, 'Bucket Counts'!$D:$D, "*" &amp; L$2 &amp; "*", 'Bucket Counts'!$A:$A, "="&amp;$A67))</f>
        <v>0</v>
      </c>
      <c r="M67" s="398">
        <f>L66+SUM(K66:K67)</f>
        <v>0</v>
      </c>
      <c r="N67" s="17">
        <f>SUMIFS(Collection!$O:$O, Collection!$B:$B, "*" &amp; N$2 &amp; "*", Collection!$A:$A, "="&amp;$A67)</f>
        <v>0</v>
      </c>
      <c r="O67" s="17">
        <f>(SUMIFS('Bucket Counts'!$P:$P, 'Bucket Counts'!$D:$D, "*" &amp; O$2 &amp; "*", 'Bucket Counts'!$A:$A, "="&amp;$A67))</f>
        <v>0</v>
      </c>
      <c r="P67" s="398">
        <f>O66+SUM(N66:N67)</f>
        <v>15581.666666666666</v>
      </c>
      <c r="Q67" s="17">
        <f>SUMIFS(Collection!$O:$O, Collection!$B:$B, "*" &amp; Q$2 &amp; "*", Collection!$A:$A, "="&amp;$A67)</f>
        <v>0</v>
      </c>
      <c r="R67" s="17">
        <f>(SUMIFS('Bucket Counts'!$P:$P, 'Bucket Counts'!$D:$D, "*" &amp; R$2 &amp; "*", 'Bucket Counts'!$A:$A, "="&amp;$A67))</f>
        <v>0</v>
      </c>
      <c r="S67" s="398">
        <f>R66+SUM(Q66:Q67)</f>
        <v>0</v>
      </c>
      <c r="T67" s="17">
        <f>SUMIFS(Collection!$O:$O, Collection!$B:$B, "*" &amp; T$2 &amp; "*", Collection!$A:$A, "="&amp;$A67)</f>
        <v>0</v>
      </c>
      <c r="U67" s="17">
        <f>(SUMIFS('Bucket Counts'!$P:$P, 'Bucket Counts'!$D:$D, "*" &amp; U$2 &amp; "*", 'Bucket Counts'!$A:$A, "="&amp;$A67))</f>
        <v>0</v>
      </c>
      <c r="V67" s="398">
        <f>U66+SUM(T66:T67)</f>
        <v>0</v>
      </c>
      <c r="W67" s="17">
        <f>SUMIFS(Collection!$O:$O, Collection!$B:$B, "*" &amp; W$2 &amp; "*", Collection!$A:$A, "="&amp;$A67)</f>
        <v>0</v>
      </c>
      <c r="X67" s="17">
        <f>(SUMIFS('Bucket Counts'!$P:$P, 'Bucket Counts'!$D:$D, "*" &amp; X$2 &amp; "*", 'Bucket Counts'!$A:$A, "="&amp;$A67))</f>
        <v>0</v>
      </c>
      <c r="Y67" s="398">
        <f>X66+SUM(W66:W67)</f>
        <v>0</v>
      </c>
      <c r="Z67" s="17">
        <f>SUMIFS(Collection!$O:$O, Collection!$B:$B, "*" &amp; Z$2 &amp; "*", Collection!$A:$A, "="&amp;$A67)</f>
        <v>0</v>
      </c>
      <c r="AA67" s="17">
        <f>(SUMIFS('Bucket Counts'!$P:$P, 'Bucket Counts'!$D:$D, "*" &amp; AA$2 &amp; "*", 'Bucket Counts'!$A:$A, "="&amp;$A67))</f>
        <v>0</v>
      </c>
      <c r="AB67" s="398">
        <f>AA66+SUM(Z66:Z67)</f>
        <v>331.11111111111109</v>
      </c>
      <c r="AC67" s="17">
        <f>SUMIFS(Collection!$O:$O, Collection!$B:$B, "*" &amp; AC$2 &amp; "*", Collection!$A:$A, "="&amp;$A67)</f>
        <v>0</v>
      </c>
      <c r="AD67" s="17">
        <f>(SUMIFS('Bucket Counts'!$P:$P, 'Bucket Counts'!$D:$D, "*" &amp; AD$2 &amp; "*", 'Bucket Counts'!$A:$A, "="&amp;$A67))</f>
        <v>0</v>
      </c>
      <c r="AE67" s="398">
        <f>AD66+SUM(AC66:AC67)</f>
        <v>1675</v>
      </c>
      <c r="AF67" s="17">
        <f>SUMIFS(Collection!$O:$O, Collection!$B:$B, "*" &amp; AF$2 &amp; "*", Collection!$A:$A, "="&amp;$A67)</f>
        <v>0</v>
      </c>
      <c r="AG67" s="17">
        <f>(SUMIFS('Bucket Counts'!$P:$P, 'Bucket Counts'!$D:$D, "*" &amp; AG$2 &amp; "*", 'Bucket Counts'!$A:$A, "="&amp;$A67))</f>
        <v>0</v>
      </c>
      <c r="AH67" s="398">
        <f>AG66+SUM(AF66:AF67)</f>
        <v>0</v>
      </c>
      <c r="AI67" s="17">
        <f>SUMIFS(Collection!$O:$O, Collection!$B:$B, "*" &amp; AI$2 &amp; "*", Collection!$A:$A, "="&amp;$A67)</f>
        <v>0</v>
      </c>
      <c r="AJ67" s="17">
        <f>(SUMIFS('Bucket Counts'!$P:$P, 'Bucket Counts'!$D:$D, "*" &amp; AJ$2 &amp; "*", 'Bucket Counts'!$A:$A, "="&amp;$A67))</f>
        <v>0</v>
      </c>
      <c r="AK67" s="398">
        <f>AJ66+SUM(AI66:AI67)</f>
        <v>199.99999999999997</v>
      </c>
      <c r="AL67" s="17">
        <f>SUMIFS(Collection!$O:$O, Collection!$B:$B, "*" &amp; AL$2 &amp; "*", Collection!$A:$A, "="&amp;$A67)</f>
        <v>0</v>
      </c>
      <c r="AM67" s="17">
        <f>(SUMIFS('Bucket Counts'!$P:$P, 'Bucket Counts'!$D:$D, "*" &amp; AM$2 &amp; "*", 'Bucket Counts'!$A:$A, "="&amp;$A67))</f>
        <v>0</v>
      </c>
      <c r="AN67" s="398">
        <f>AM66+SUM(AL66:AL67)</f>
        <v>0</v>
      </c>
      <c r="AO67" s="17">
        <f>SUMIFS(Collection!$O:$O, Collection!$B:$B, "*" &amp; AO$2 &amp; "*", Collection!$A:$A, "="&amp;$A67)</f>
        <v>0</v>
      </c>
      <c r="AP67" s="17">
        <f>(SUMIFS('Bucket Counts'!$P:$P, 'Bucket Counts'!$D:$D, "*" &amp; AP$2 &amp; "*", 'Bucket Counts'!$A:$A, "="&amp;$A67))</f>
        <v>0</v>
      </c>
      <c r="AQ67" s="398">
        <f>AP66+SUM(AO66:AO67)</f>
        <v>0</v>
      </c>
      <c r="AR67" s="17">
        <f>SUMIFS(Collection!$O:$O, Collection!$B:$B, "*" &amp; AR$2 &amp; "*", Collection!$A:$A, "="&amp;$A67)</f>
        <v>0</v>
      </c>
      <c r="AS67" s="17">
        <f>(SUMIFS('Bucket Counts'!$P:$P, 'Bucket Counts'!$D:$D, "*" &amp; AS$2 &amp; "*", 'Bucket Counts'!$A:$A, "="&amp;$A67))</f>
        <v>0</v>
      </c>
      <c r="AT67" s="398">
        <f>AS66+SUM(AR66:AR67)</f>
        <v>93.333333333333314</v>
      </c>
      <c r="AU67" s="17">
        <f>SUMIFS(Collection!$O:$O, Collection!$B:$B, "*" &amp; AU$2 &amp; "*", Collection!$A:$A, "="&amp;$A67)</f>
        <v>0</v>
      </c>
      <c r="AV67" s="17">
        <f>(SUMIFS('Bucket Counts'!$P:$P, 'Bucket Counts'!$D:$D, "*" &amp; AV$2 &amp; "*", 'Bucket Counts'!$A:$A, "="&amp;$A67))</f>
        <v>0</v>
      </c>
      <c r="AW67" s="398">
        <f>AV66+SUM(AU66:AU67)</f>
        <v>0</v>
      </c>
    </row>
    <row r="68" spans="1:49">
      <c r="A68" s="16">
        <f t="shared" si="0"/>
        <v>42938</v>
      </c>
      <c r="B68" s="397">
        <f>SUMIFS(Collection!$O:$O, Collection!$B:$B, "*" &amp; B$2 &amp; "*", Collection!$A:$A, "="&amp;$A68)</f>
        <v>0</v>
      </c>
      <c r="C68" s="118">
        <f>(SUMIFS('Bucket Counts'!$P:$P, 'Bucket Counts'!$D:$D, "*" &amp; C$2 &amp; "*", 'Bucket Counts'!$A:$A, "="&amp;$A68))</f>
        <v>0</v>
      </c>
      <c r="D68" s="398">
        <f>C66+SUM(B66:B67)</f>
        <v>37</v>
      </c>
      <c r="E68" s="397">
        <f>SUMIFS(Collection!$O:$O, Collection!$B:$B, "*" &amp; E$2 &amp; "*", Collection!$A:$A, "="&amp;$A68)</f>
        <v>0</v>
      </c>
      <c r="F68" s="118">
        <f>(SUMIFS('Bucket Counts'!$P:$P, 'Bucket Counts'!$D:$D, "*" &amp; F$2 &amp; "*", 'Bucket Counts'!$A:$A, "="&amp;$A68))</f>
        <v>0</v>
      </c>
      <c r="G68" s="398">
        <f>F66+SUM(E66:E67)</f>
        <v>0</v>
      </c>
      <c r="H68" s="397">
        <f>SUMIFS(Collection!$O:$O, Collection!$B:$B, "*" &amp; H$2 &amp; "*", Collection!$A:$A, "="&amp;$A68)</f>
        <v>0</v>
      </c>
      <c r="I68" s="118">
        <f>(SUMIFS('Bucket Counts'!$P:$P, 'Bucket Counts'!$D:$D, "*" &amp; I$2 &amp; "*", 'Bucket Counts'!$A:$A, "="&amp;$A68))</f>
        <v>0</v>
      </c>
      <c r="J68" s="398">
        <f>I66+SUM(H66:H67)</f>
        <v>0</v>
      </c>
      <c r="K68" s="17">
        <f>SUMIFS(Collection!$O:$O, Collection!$B:$B, "*" &amp; K$2 &amp; "*", Collection!$A:$A, "="&amp;$A68)</f>
        <v>0</v>
      </c>
      <c r="L68" s="17">
        <f>(SUMIFS('Bucket Counts'!$P:$P, 'Bucket Counts'!$D:$D, "*" &amp; L$2 &amp; "*", 'Bucket Counts'!$A:$A, "="&amp;$A68))</f>
        <v>0</v>
      </c>
      <c r="M68" s="398">
        <f>L66+SUM(K66:K67)</f>
        <v>0</v>
      </c>
      <c r="N68" s="17">
        <f>SUMIFS(Collection!$O:$O, Collection!$B:$B, "*" &amp; N$2 &amp; "*", Collection!$A:$A, "="&amp;$A68)</f>
        <v>0</v>
      </c>
      <c r="O68" s="17">
        <f>(SUMIFS('Bucket Counts'!$P:$P, 'Bucket Counts'!$D:$D, "*" &amp; O$2 &amp; "*", 'Bucket Counts'!$A:$A, "="&amp;$A68))</f>
        <v>0</v>
      </c>
      <c r="P68" s="398">
        <f>O66+SUM(N66:N67)</f>
        <v>15581.666666666666</v>
      </c>
      <c r="Q68" s="17">
        <f>SUMIFS(Collection!$O:$O, Collection!$B:$B, "*" &amp; Q$2 &amp; "*", Collection!$A:$A, "="&amp;$A68)</f>
        <v>0</v>
      </c>
      <c r="R68" s="17">
        <f>(SUMIFS('Bucket Counts'!$P:$P, 'Bucket Counts'!$D:$D, "*" &amp; R$2 &amp; "*", 'Bucket Counts'!$A:$A, "="&amp;$A68))</f>
        <v>0</v>
      </c>
      <c r="S68" s="398">
        <f>R66+SUM(Q66:Q67)</f>
        <v>0</v>
      </c>
      <c r="T68" s="17">
        <f>SUMIFS(Collection!$O:$O, Collection!$B:$B, "*" &amp; T$2 &amp; "*", Collection!$A:$A, "="&amp;$A68)</f>
        <v>0</v>
      </c>
      <c r="U68" s="17">
        <f>(SUMIFS('Bucket Counts'!$P:$P, 'Bucket Counts'!$D:$D, "*" &amp; U$2 &amp; "*", 'Bucket Counts'!$A:$A, "="&amp;$A68))</f>
        <v>0</v>
      </c>
      <c r="V68" s="398">
        <f>U66+SUM(T66:T67)</f>
        <v>0</v>
      </c>
      <c r="W68" s="17">
        <f>SUMIFS(Collection!$O:$O, Collection!$B:$B, "*" &amp; W$2 &amp; "*", Collection!$A:$A, "="&amp;$A68)</f>
        <v>0</v>
      </c>
      <c r="X68" s="17">
        <f>(SUMIFS('Bucket Counts'!$P:$P, 'Bucket Counts'!$D:$D, "*" &amp; X$2 &amp; "*", 'Bucket Counts'!$A:$A, "="&amp;$A68))</f>
        <v>0</v>
      </c>
      <c r="Y68" s="398">
        <f>X66+SUM(W66:W67)</f>
        <v>0</v>
      </c>
      <c r="Z68" s="17">
        <f>SUMIFS(Collection!$O:$O, Collection!$B:$B, "*" &amp; Z$2 &amp; "*", Collection!$A:$A, "="&amp;$A68)</f>
        <v>0</v>
      </c>
      <c r="AA68" s="17">
        <f>(SUMIFS('Bucket Counts'!$P:$P, 'Bucket Counts'!$D:$D, "*" &amp; AA$2 &amp; "*", 'Bucket Counts'!$A:$A, "="&amp;$A68))</f>
        <v>0</v>
      </c>
      <c r="AB68" s="398">
        <f>AA66+SUM(Z66:Z67)</f>
        <v>331.11111111111109</v>
      </c>
      <c r="AC68" s="17">
        <f>SUMIFS(Collection!$O:$O, Collection!$B:$B, "*" &amp; AC$2 &amp; "*", Collection!$A:$A, "="&amp;$A68)</f>
        <v>0</v>
      </c>
      <c r="AD68" s="17">
        <f>(SUMIFS('Bucket Counts'!$P:$P, 'Bucket Counts'!$D:$D, "*" &amp; AD$2 &amp; "*", 'Bucket Counts'!$A:$A, "="&amp;$A68))</f>
        <v>0</v>
      </c>
      <c r="AE68" s="398">
        <f>AD66+SUM(AC66:AC67)</f>
        <v>1675</v>
      </c>
      <c r="AF68" s="17">
        <f>SUMIFS(Collection!$O:$O, Collection!$B:$B, "*" &amp; AF$2 &amp; "*", Collection!$A:$A, "="&amp;$A68)</f>
        <v>0</v>
      </c>
      <c r="AG68" s="17">
        <f>(SUMIFS('Bucket Counts'!$P:$P, 'Bucket Counts'!$D:$D, "*" &amp; AG$2 &amp; "*", 'Bucket Counts'!$A:$A, "="&amp;$A68))</f>
        <v>0</v>
      </c>
      <c r="AH68" s="398">
        <f>AG66+SUM(AF66:AF67)</f>
        <v>0</v>
      </c>
      <c r="AI68" s="17">
        <f>SUMIFS(Collection!$O:$O, Collection!$B:$B, "*" &amp; AI$2 &amp; "*", Collection!$A:$A, "="&amp;$A68)</f>
        <v>0</v>
      </c>
      <c r="AJ68" s="17">
        <f>(SUMIFS('Bucket Counts'!$P:$P, 'Bucket Counts'!$D:$D, "*" &amp; AJ$2 &amp; "*", 'Bucket Counts'!$A:$A, "="&amp;$A68))</f>
        <v>0</v>
      </c>
      <c r="AK68" s="398">
        <f>AJ66+SUM(AI66:AI67)</f>
        <v>199.99999999999997</v>
      </c>
      <c r="AL68" s="17">
        <f>SUMIFS(Collection!$O:$O, Collection!$B:$B, "*" &amp; AL$2 &amp; "*", Collection!$A:$A, "="&amp;$A68)</f>
        <v>0</v>
      </c>
      <c r="AM68" s="17">
        <f>(SUMIFS('Bucket Counts'!$P:$P, 'Bucket Counts'!$D:$D, "*" &amp; AM$2 &amp; "*", 'Bucket Counts'!$A:$A, "="&amp;$A68))</f>
        <v>0</v>
      </c>
      <c r="AN68" s="398">
        <f>AM66+SUM(AL66:AL67)</f>
        <v>0</v>
      </c>
      <c r="AO68" s="17">
        <f>SUMIFS(Collection!$O:$O, Collection!$B:$B, "*" &amp; AO$2 &amp; "*", Collection!$A:$A, "="&amp;$A68)</f>
        <v>0</v>
      </c>
      <c r="AP68" s="17">
        <f>(SUMIFS('Bucket Counts'!$P:$P, 'Bucket Counts'!$D:$D, "*" &amp; AP$2 &amp; "*", 'Bucket Counts'!$A:$A, "="&amp;$A68))</f>
        <v>0</v>
      </c>
      <c r="AQ68" s="398">
        <f>AP66+SUM(AO66:AO67)</f>
        <v>0</v>
      </c>
      <c r="AR68" s="17">
        <f>SUMIFS(Collection!$O:$O, Collection!$B:$B, "*" &amp; AR$2 &amp; "*", Collection!$A:$A, "="&amp;$A68)</f>
        <v>0</v>
      </c>
      <c r="AS68" s="17">
        <f>(SUMIFS('Bucket Counts'!$P:$P, 'Bucket Counts'!$D:$D, "*" &amp; AS$2 &amp; "*", 'Bucket Counts'!$A:$A, "="&amp;$A68))</f>
        <v>0</v>
      </c>
      <c r="AT68" s="398">
        <f>AS66+SUM(AR66:AR67)</f>
        <v>93.333333333333314</v>
      </c>
      <c r="AU68" s="17">
        <f>SUMIFS(Collection!$O:$O, Collection!$B:$B, "*" &amp; AU$2 &amp; "*", Collection!$A:$A, "="&amp;$A68)</f>
        <v>0</v>
      </c>
      <c r="AV68" s="17">
        <f>(SUMIFS('Bucket Counts'!$P:$P, 'Bucket Counts'!$D:$D, "*" &amp; AV$2 &amp; "*", 'Bucket Counts'!$A:$A, "="&amp;$A68))</f>
        <v>0</v>
      </c>
      <c r="AW68" s="398">
        <f>AV66+SUM(AU66:AU67)</f>
        <v>0</v>
      </c>
    </row>
    <row r="69" spans="1:49">
      <c r="A69" s="16">
        <f t="shared" si="0"/>
        <v>42939</v>
      </c>
      <c r="B69" s="397">
        <f>SUMIFS(Collection!$O:$O, Collection!$B:$B, "*" &amp; B$2 &amp; "*", Collection!$A:$A, "="&amp;$A69)</f>
        <v>0</v>
      </c>
      <c r="C69" s="118">
        <f>(SUMIFS('Bucket Counts'!$P:$P, 'Bucket Counts'!$D:$D, "*" &amp; C$2 &amp; "*", 'Bucket Counts'!$A:$A, "="&amp;$A69))</f>
        <v>0</v>
      </c>
      <c r="D69" s="398">
        <f>C66+SUM(B66:B69)</f>
        <v>37</v>
      </c>
      <c r="E69" s="397">
        <f>SUMIFS(Collection!$O:$O, Collection!$B:$B, "*" &amp; E$2 &amp; "*", Collection!$A:$A, "="&amp;$A69)</f>
        <v>0</v>
      </c>
      <c r="F69" s="118">
        <f>(SUMIFS('Bucket Counts'!$P:$P, 'Bucket Counts'!$D:$D, "*" &amp; F$2 &amp; "*", 'Bucket Counts'!$A:$A, "="&amp;$A69))</f>
        <v>0</v>
      </c>
      <c r="G69" s="398">
        <f>F66+SUM(E66:E69)</f>
        <v>0</v>
      </c>
      <c r="H69" s="397">
        <f>SUMIFS(Collection!$O:$O, Collection!$B:$B, "*" &amp; H$2 &amp; "*", Collection!$A:$A, "="&amp;$A69)</f>
        <v>0</v>
      </c>
      <c r="I69" s="118">
        <f>(SUMIFS('Bucket Counts'!$P:$P, 'Bucket Counts'!$D:$D, "*" &amp; I$2 &amp; "*", 'Bucket Counts'!$A:$A, "="&amp;$A69))</f>
        <v>0</v>
      </c>
      <c r="J69" s="398">
        <f>I66+SUM(H66:H69)</f>
        <v>0</v>
      </c>
      <c r="K69" s="17">
        <f>SUMIFS(Collection!$O:$O, Collection!$B:$B, "*" &amp; K$2 &amp; "*", Collection!$A:$A, "="&amp;$A69)</f>
        <v>0</v>
      </c>
      <c r="L69" s="17">
        <f>(SUMIFS('Bucket Counts'!$P:$P, 'Bucket Counts'!$D:$D, "*" &amp; L$2 &amp; "*", 'Bucket Counts'!$A:$A, "="&amp;$A69))</f>
        <v>0</v>
      </c>
      <c r="M69" s="398">
        <f>L66+SUM(K66:K69)</f>
        <v>0</v>
      </c>
      <c r="N69" s="17">
        <f>SUMIFS(Collection!$O:$O, Collection!$B:$B, "*" &amp; N$2 &amp; "*", Collection!$A:$A, "="&amp;$A69)</f>
        <v>0</v>
      </c>
      <c r="O69" s="17">
        <f>(SUMIFS('Bucket Counts'!$P:$P, 'Bucket Counts'!$D:$D, "*" &amp; O$2 &amp; "*", 'Bucket Counts'!$A:$A, "="&amp;$A69))</f>
        <v>0</v>
      </c>
      <c r="P69" s="398">
        <f>O66+SUM(N66:N69)</f>
        <v>15581.666666666666</v>
      </c>
      <c r="Q69" s="17">
        <f>SUMIFS(Collection!$O:$O, Collection!$B:$B, "*" &amp; Q$2 &amp; "*", Collection!$A:$A, "="&amp;$A69)</f>
        <v>0</v>
      </c>
      <c r="R69" s="17">
        <f>(SUMIFS('Bucket Counts'!$P:$P, 'Bucket Counts'!$D:$D, "*" &amp; R$2 &amp; "*", 'Bucket Counts'!$A:$A, "="&amp;$A69))</f>
        <v>0</v>
      </c>
      <c r="S69" s="398">
        <f>R66+SUM(Q66:Q69)</f>
        <v>0</v>
      </c>
      <c r="T69" s="17">
        <f>SUMIFS(Collection!$O:$O, Collection!$B:$B, "*" &amp; T$2 &amp; "*", Collection!$A:$A, "="&amp;$A69)</f>
        <v>0</v>
      </c>
      <c r="U69" s="17">
        <f>(SUMIFS('Bucket Counts'!$P:$P, 'Bucket Counts'!$D:$D, "*" &amp; U$2 &amp; "*", 'Bucket Counts'!$A:$A, "="&amp;$A69))</f>
        <v>0</v>
      </c>
      <c r="V69" s="398">
        <f>U66+SUM(T66:T69)</f>
        <v>0</v>
      </c>
      <c r="W69" s="17">
        <f>SUMIFS(Collection!$O:$O, Collection!$B:$B, "*" &amp; W$2 &amp; "*", Collection!$A:$A, "="&amp;$A69)</f>
        <v>0</v>
      </c>
      <c r="X69" s="17">
        <f>(SUMIFS('Bucket Counts'!$P:$P, 'Bucket Counts'!$D:$D, "*" &amp; X$2 &amp; "*", 'Bucket Counts'!$A:$A, "="&amp;$A69))</f>
        <v>0</v>
      </c>
      <c r="Y69" s="398">
        <f>X66+SUM(W66:W69)</f>
        <v>0</v>
      </c>
      <c r="Z69" s="17">
        <f>SUMIFS(Collection!$O:$O, Collection!$B:$B, "*" &amp; Z$2 &amp; "*", Collection!$A:$A, "="&amp;$A69)</f>
        <v>0</v>
      </c>
      <c r="AA69" s="17">
        <f>(SUMIFS('Bucket Counts'!$P:$P, 'Bucket Counts'!$D:$D, "*" &amp; AA$2 &amp; "*", 'Bucket Counts'!$A:$A, "="&amp;$A69))</f>
        <v>0</v>
      </c>
      <c r="AB69" s="398">
        <f>AA66+SUM(Z66:Z69)</f>
        <v>331.11111111111109</v>
      </c>
      <c r="AC69" s="17">
        <f>SUMIFS(Collection!$O:$O, Collection!$B:$B, "*" &amp; AC$2 &amp; "*", Collection!$A:$A, "="&amp;$A69)</f>
        <v>0</v>
      </c>
      <c r="AD69" s="17">
        <f>(SUMIFS('Bucket Counts'!$P:$P, 'Bucket Counts'!$D:$D, "*" &amp; AD$2 &amp; "*", 'Bucket Counts'!$A:$A, "="&amp;$A69))</f>
        <v>0</v>
      </c>
      <c r="AE69" s="398">
        <f>AD66+SUM(AC66:AC69)</f>
        <v>1675</v>
      </c>
      <c r="AF69" s="17">
        <f>SUMIFS(Collection!$O:$O, Collection!$B:$B, "*" &amp; AF$2 &amp; "*", Collection!$A:$A, "="&amp;$A69)</f>
        <v>0</v>
      </c>
      <c r="AG69" s="17">
        <f>(SUMIFS('Bucket Counts'!$P:$P, 'Bucket Counts'!$D:$D, "*" &amp; AG$2 &amp; "*", 'Bucket Counts'!$A:$A, "="&amp;$A69))</f>
        <v>0</v>
      </c>
      <c r="AH69" s="398">
        <f>AG66+SUM(AF66:AF69)</f>
        <v>0</v>
      </c>
      <c r="AI69" s="17">
        <f>SUMIFS(Collection!$O:$O, Collection!$B:$B, "*" &amp; AI$2 &amp; "*", Collection!$A:$A, "="&amp;$A69)</f>
        <v>0</v>
      </c>
      <c r="AJ69" s="17">
        <f>(SUMIFS('Bucket Counts'!$P:$P, 'Bucket Counts'!$D:$D, "*" &amp; AJ$2 &amp; "*", 'Bucket Counts'!$A:$A, "="&amp;$A69))</f>
        <v>0</v>
      </c>
      <c r="AK69" s="398">
        <f>AJ66+SUM(AI66:AI69)</f>
        <v>199.99999999999997</v>
      </c>
      <c r="AL69" s="17">
        <f>SUMIFS(Collection!$O:$O, Collection!$B:$B, "*" &amp; AL$2 &amp; "*", Collection!$A:$A, "="&amp;$A69)</f>
        <v>0</v>
      </c>
      <c r="AM69" s="17">
        <f>(SUMIFS('Bucket Counts'!$P:$P, 'Bucket Counts'!$D:$D, "*" &amp; AM$2 &amp; "*", 'Bucket Counts'!$A:$A, "="&amp;$A69))</f>
        <v>0</v>
      </c>
      <c r="AN69" s="398">
        <f>AM66+SUM(AL66:AL69)</f>
        <v>0</v>
      </c>
      <c r="AO69" s="17">
        <f>SUMIFS(Collection!$O:$O, Collection!$B:$B, "*" &amp; AO$2 &amp; "*", Collection!$A:$A, "="&amp;$A69)</f>
        <v>0</v>
      </c>
      <c r="AP69" s="17">
        <f>(SUMIFS('Bucket Counts'!$P:$P, 'Bucket Counts'!$D:$D, "*" &amp; AP$2 &amp; "*", 'Bucket Counts'!$A:$A, "="&amp;$A69))</f>
        <v>0</v>
      </c>
      <c r="AQ69" s="398">
        <f>AP66+SUM(AO66:AO69)</f>
        <v>0</v>
      </c>
      <c r="AR69" s="17">
        <f>SUMIFS(Collection!$O:$O, Collection!$B:$B, "*" &amp; AR$2 &amp; "*", Collection!$A:$A, "="&amp;$A69)</f>
        <v>0</v>
      </c>
      <c r="AS69" s="17">
        <f>(SUMIFS('Bucket Counts'!$P:$P, 'Bucket Counts'!$D:$D, "*" &amp; AS$2 &amp; "*", 'Bucket Counts'!$A:$A, "="&amp;$A69))</f>
        <v>0</v>
      </c>
      <c r="AT69" s="398">
        <f>AS66+SUM(AR66:AR69)</f>
        <v>93.333333333333314</v>
      </c>
      <c r="AU69" s="17">
        <f>SUMIFS(Collection!$O:$O, Collection!$B:$B, "*" &amp; AU$2 &amp; "*", Collection!$A:$A, "="&amp;$A69)</f>
        <v>0</v>
      </c>
      <c r="AV69" s="17">
        <f>(SUMIFS('Bucket Counts'!$P:$P, 'Bucket Counts'!$D:$D, "*" &amp; AV$2 &amp; "*", 'Bucket Counts'!$A:$A, "="&amp;$A69))</f>
        <v>0</v>
      </c>
      <c r="AW69" s="398">
        <f>AV66+SUM(AU66:AU69)</f>
        <v>0</v>
      </c>
    </row>
    <row r="70" spans="1:49">
      <c r="A70" s="16">
        <f t="shared" si="0"/>
        <v>42940</v>
      </c>
      <c r="B70" s="397">
        <f>SUMIFS(Collection!$O:$O, Collection!$B:$B, "*" &amp; B$2 &amp; "*", Collection!$A:$A, "="&amp;$A70)</f>
        <v>0</v>
      </c>
      <c r="C70" s="118">
        <f>(SUMIFS('Bucket Counts'!$P:$P, 'Bucket Counts'!$D:$D, "*" &amp; C$2 &amp; "*", 'Bucket Counts'!$A:$A, "="&amp;$A70))</f>
        <v>0</v>
      </c>
      <c r="D70" s="398">
        <f>C66+SUM(B66:B70)</f>
        <v>37</v>
      </c>
      <c r="E70" s="397">
        <f>SUMIFS(Collection!$O:$O, Collection!$B:$B, "*" &amp; E$2 &amp; "*", Collection!$A:$A, "="&amp;$A70)</f>
        <v>0</v>
      </c>
      <c r="F70" s="118">
        <f>(SUMIFS('Bucket Counts'!$P:$P, 'Bucket Counts'!$D:$D, "*" &amp; F$2 &amp; "*", 'Bucket Counts'!$A:$A, "="&amp;$A70))</f>
        <v>0</v>
      </c>
      <c r="G70" s="398">
        <f>F66+SUM(E66:E70)</f>
        <v>0</v>
      </c>
      <c r="H70" s="397">
        <f>SUMIFS(Collection!$O:$O, Collection!$B:$B, "*" &amp; H$2 &amp; "*", Collection!$A:$A, "="&amp;$A70)</f>
        <v>0</v>
      </c>
      <c r="I70" s="118">
        <f>(SUMIFS('Bucket Counts'!$P:$P, 'Bucket Counts'!$D:$D, "*" &amp; I$2 &amp; "*", 'Bucket Counts'!$A:$A, "="&amp;$A70))</f>
        <v>0</v>
      </c>
      <c r="J70" s="398">
        <f>I66+SUM(H66:H70)</f>
        <v>0</v>
      </c>
      <c r="K70" s="17">
        <f>SUMIFS(Collection!$O:$O, Collection!$B:$B, "*" &amp; K$2 &amp; "*", Collection!$A:$A, "="&amp;$A70)</f>
        <v>0</v>
      </c>
      <c r="L70" s="17">
        <f>(SUMIFS('Bucket Counts'!$P:$P, 'Bucket Counts'!$D:$D, "*" &amp; L$2 &amp; "*", 'Bucket Counts'!$A:$A, "="&amp;$A70))</f>
        <v>0</v>
      </c>
      <c r="M70" s="398">
        <f>L66+SUM(K66:K70)</f>
        <v>0</v>
      </c>
      <c r="N70" s="17">
        <f>SUMIFS(Collection!$O:$O, Collection!$B:$B, "*" &amp; N$2 &amp; "*", Collection!$A:$A, "="&amp;$A70)</f>
        <v>0</v>
      </c>
      <c r="O70" s="17">
        <f>(SUMIFS('Bucket Counts'!$P:$P, 'Bucket Counts'!$D:$D, "*" &amp; O$2 &amp; "*", 'Bucket Counts'!$A:$A, "="&amp;$A70))</f>
        <v>0</v>
      </c>
      <c r="P70" s="398">
        <f>O66+SUM(N66:N70)</f>
        <v>15581.666666666666</v>
      </c>
      <c r="Q70" s="17">
        <f>SUMIFS(Collection!$O:$O, Collection!$B:$B, "*" &amp; Q$2 &amp; "*", Collection!$A:$A, "="&amp;$A70)</f>
        <v>0</v>
      </c>
      <c r="R70" s="17">
        <f>(SUMIFS('Bucket Counts'!$P:$P, 'Bucket Counts'!$D:$D, "*" &amp; R$2 &amp; "*", 'Bucket Counts'!$A:$A, "="&amp;$A70))</f>
        <v>0</v>
      </c>
      <c r="S70" s="398">
        <f>R66+SUM(Q66:Q70)</f>
        <v>0</v>
      </c>
      <c r="T70" s="17">
        <f>SUMIFS(Collection!$O:$O, Collection!$B:$B, "*" &amp; T$2 &amp; "*", Collection!$A:$A, "="&amp;$A70)</f>
        <v>0</v>
      </c>
      <c r="U70" s="17">
        <f>(SUMIFS('Bucket Counts'!$P:$P, 'Bucket Counts'!$D:$D, "*" &amp; U$2 &amp; "*", 'Bucket Counts'!$A:$A, "="&amp;$A70))</f>
        <v>0</v>
      </c>
      <c r="V70" s="398">
        <f>U66+SUM(T66:T70)</f>
        <v>0</v>
      </c>
      <c r="W70" s="17">
        <f>SUMIFS(Collection!$O:$O, Collection!$B:$B, "*" &amp; W$2 &amp; "*", Collection!$A:$A, "="&amp;$A70)</f>
        <v>0</v>
      </c>
      <c r="X70" s="17">
        <f>(SUMIFS('Bucket Counts'!$P:$P, 'Bucket Counts'!$D:$D, "*" &amp; X$2 &amp; "*", 'Bucket Counts'!$A:$A, "="&amp;$A70))</f>
        <v>0</v>
      </c>
      <c r="Y70" s="398">
        <f>X66+SUM(W66:W70)</f>
        <v>0</v>
      </c>
      <c r="Z70" s="17">
        <f>SUMIFS(Collection!$O:$O, Collection!$B:$B, "*" &amp; Z$2 &amp; "*", Collection!$A:$A, "="&amp;$A70)</f>
        <v>0</v>
      </c>
      <c r="AA70" s="17">
        <f>(SUMIFS('Bucket Counts'!$P:$P, 'Bucket Counts'!$D:$D, "*" &amp; AA$2 &amp; "*", 'Bucket Counts'!$A:$A, "="&amp;$A70))</f>
        <v>0</v>
      </c>
      <c r="AB70" s="398">
        <f>AA66+SUM(Z66:Z70)</f>
        <v>331.11111111111109</v>
      </c>
      <c r="AC70" s="17">
        <f>SUMIFS(Collection!$O:$O, Collection!$B:$B, "*" &amp; AC$2 &amp; "*", Collection!$A:$A, "="&amp;$A70)</f>
        <v>0</v>
      </c>
      <c r="AD70" s="17">
        <f>(SUMIFS('Bucket Counts'!$P:$P, 'Bucket Counts'!$D:$D, "*" &amp; AD$2 &amp; "*", 'Bucket Counts'!$A:$A, "="&amp;$A70))</f>
        <v>0</v>
      </c>
      <c r="AE70" s="398">
        <f>AD66+SUM(AC66:AC70)</f>
        <v>1675</v>
      </c>
      <c r="AF70" s="17">
        <f>SUMIFS(Collection!$O:$O, Collection!$B:$B, "*" &amp; AF$2 &amp; "*", Collection!$A:$A, "="&amp;$A70)</f>
        <v>0</v>
      </c>
      <c r="AG70" s="17">
        <f>(SUMIFS('Bucket Counts'!$P:$P, 'Bucket Counts'!$D:$D, "*" &amp; AG$2 &amp; "*", 'Bucket Counts'!$A:$A, "="&amp;$A70))</f>
        <v>0</v>
      </c>
      <c r="AH70" s="398">
        <f>AG66+SUM(AF66:AF70)</f>
        <v>0</v>
      </c>
      <c r="AI70" s="17">
        <f>SUMIFS(Collection!$O:$O, Collection!$B:$B, "*" &amp; AI$2 &amp; "*", Collection!$A:$A, "="&amp;$A70)</f>
        <v>0</v>
      </c>
      <c r="AJ70" s="17">
        <f>(SUMIFS('Bucket Counts'!$P:$P, 'Bucket Counts'!$D:$D, "*" &amp; AJ$2 &amp; "*", 'Bucket Counts'!$A:$A, "="&amp;$A70))</f>
        <v>0</v>
      </c>
      <c r="AK70" s="398">
        <f>AJ66+SUM(AI66:AI70)</f>
        <v>199.99999999999997</v>
      </c>
      <c r="AL70" s="17">
        <f>SUMIFS(Collection!$O:$O, Collection!$B:$B, "*" &amp; AL$2 &amp; "*", Collection!$A:$A, "="&amp;$A70)</f>
        <v>0</v>
      </c>
      <c r="AM70" s="17">
        <f>(SUMIFS('Bucket Counts'!$P:$P, 'Bucket Counts'!$D:$D, "*" &amp; AM$2 &amp; "*", 'Bucket Counts'!$A:$A, "="&amp;$A70))</f>
        <v>0</v>
      </c>
      <c r="AN70" s="398">
        <f>AM66+SUM(AL66:AL70)</f>
        <v>0</v>
      </c>
      <c r="AO70" s="17">
        <f>SUMIFS(Collection!$O:$O, Collection!$B:$B, "*" &amp; AO$2 &amp; "*", Collection!$A:$A, "="&amp;$A70)</f>
        <v>0</v>
      </c>
      <c r="AP70" s="17">
        <f>(SUMIFS('Bucket Counts'!$P:$P, 'Bucket Counts'!$D:$D, "*" &amp; AP$2 &amp; "*", 'Bucket Counts'!$A:$A, "="&amp;$A70))</f>
        <v>0</v>
      </c>
      <c r="AQ70" s="398">
        <f>AP66+SUM(AO66:AO70)</f>
        <v>0</v>
      </c>
      <c r="AR70" s="17">
        <f>SUMIFS(Collection!$O:$O, Collection!$B:$B, "*" &amp; AR$2 &amp; "*", Collection!$A:$A, "="&amp;$A70)</f>
        <v>0</v>
      </c>
      <c r="AS70" s="17">
        <f>(SUMIFS('Bucket Counts'!$P:$P, 'Bucket Counts'!$D:$D, "*" &amp; AS$2 &amp; "*", 'Bucket Counts'!$A:$A, "="&amp;$A70))</f>
        <v>0</v>
      </c>
      <c r="AT70" s="398">
        <f>AS66+SUM(AR66:AR70)</f>
        <v>93.333333333333314</v>
      </c>
      <c r="AU70" s="17">
        <f>SUMIFS(Collection!$O:$O, Collection!$B:$B, "*" &amp; AU$2 &amp; "*", Collection!$A:$A, "="&amp;$A70)</f>
        <v>0</v>
      </c>
      <c r="AV70" s="17">
        <f>(SUMIFS('Bucket Counts'!$P:$P, 'Bucket Counts'!$D:$D, "*" &amp; AV$2 &amp; "*", 'Bucket Counts'!$A:$A, "="&amp;$A70))</f>
        <v>0</v>
      </c>
      <c r="AW70" s="398">
        <f>AV66+SUM(AU66:AU70)</f>
        <v>0</v>
      </c>
    </row>
    <row r="71" spans="1:49">
      <c r="A71" s="16">
        <f t="shared" si="0"/>
        <v>42941</v>
      </c>
      <c r="B71" s="397">
        <f>SUMIFS(Collection!$O:$O, Collection!$B:$B, "*" &amp; B$2 &amp; "*", Collection!$A:$A, "="&amp;$A71)</f>
        <v>0</v>
      </c>
      <c r="C71" s="118">
        <f>(SUMIFS('Bucket Counts'!$P:$P, 'Bucket Counts'!$D:$D, "*" &amp; C$2 &amp; "*", 'Bucket Counts'!$A:$A, "="&amp;$A71))</f>
        <v>0</v>
      </c>
      <c r="D71" s="398">
        <f>C66+SUM(B66:B71)</f>
        <v>37</v>
      </c>
      <c r="E71" s="397">
        <f>SUMIFS(Collection!$O:$O, Collection!$B:$B, "*" &amp; E$2 &amp; "*", Collection!$A:$A, "="&amp;$A71)</f>
        <v>0</v>
      </c>
      <c r="F71" s="118">
        <f>(SUMIFS('Bucket Counts'!$P:$P, 'Bucket Counts'!$D:$D, "*" &amp; F$2 &amp; "*", 'Bucket Counts'!$A:$A, "="&amp;$A71))</f>
        <v>0</v>
      </c>
      <c r="G71" s="398">
        <f>F66+SUM(E66:E71)</f>
        <v>0</v>
      </c>
      <c r="H71" s="397">
        <f>SUMIFS(Collection!$O:$O, Collection!$B:$B, "*" &amp; H$2 &amp; "*", Collection!$A:$A, "="&amp;$A71)</f>
        <v>0</v>
      </c>
      <c r="I71" s="118">
        <f>(SUMIFS('Bucket Counts'!$P:$P, 'Bucket Counts'!$D:$D, "*" &amp; I$2 &amp; "*", 'Bucket Counts'!$A:$A, "="&amp;$A71))</f>
        <v>0</v>
      </c>
      <c r="J71" s="398">
        <f>I66+SUM(H66:H71)</f>
        <v>0</v>
      </c>
      <c r="K71" s="17">
        <f>SUMIFS(Collection!$O:$O, Collection!$B:$B, "*" &amp; K$2 &amp; "*", Collection!$A:$A, "="&amp;$A71)</f>
        <v>0</v>
      </c>
      <c r="L71" s="17">
        <f>(SUMIFS('Bucket Counts'!$P:$P, 'Bucket Counts'!$D:$D, "*" &amp; L$2 &amp; "*", 'Bucket Counts'!$A:$A, "="&amp;$A71))</f>
        <v>0</v>
      </c>
      <c r="M71" s="398">
        <f>L66+SUM(K66:K71)</f>
        <v>0</v>
      </c>
      <c r="N71" s="17">
        <f>SUMIFS(Collection!$O:$O, Collection!$B:$B, "*" &amp; N$2 &amp; "*", Collection!$A:$A, "="&amp;$A71)</f>
        <v>0</v>
      </c>
      <c r="O71" s="17">
        <f>(SUMIFS('Bucket Counts'!$P:$P, 'Bucket Counts'!$D:$D, "*" &amp; O$2 &amp; "*", 'Bucket Counts'!$A:$A, "="&amp;$A71))</f>
        <v>0</v>
      </c>
      <c r="P71" s="398">
        <f>O66+SUM(N66:N71)</f>
        <v>15581.666666666666</v>
      </c>
      <c r="Q71" s="17">
        <f>SUMIFS(Collection!$O:$O, Collection!$B:$B, "*" &amp; Q$2 &amp; "*", Collection!$A:$A, "="&amp;$A71)</f>
        <v>0</v>
      </c>
      <c r="R71" s="17">
        <f>(SUMIFS('Bucket Counts'!$P:$P, 'Bucket Counts'!$D:$D, "*" &amp; R$2 &amp; "*", 'Bucket Counts'!$A:$A, "="&amp;$A71))</f>
        <v>0</v>
      </c>
      <c r="S71" s="398">
        <f>R66+SUM(Q66:Q71)</f>
        <v>0</v>
      </c>
      <c r="T71" s="17">
        <f>SUMIFS(Collection!$O:$O, Collection!$B:$B, "*" &amp; T$2 &amp; "*", Collection!$A:$A, "="&amp;$A71)</f>
        <v>0</v>
      </c>
      <c r="U71" s="17">
        <f>(SUMIFS('Bucket Counts'!$P:$P, 'Bucket Counts'!$D:$D, "*" &amp; U$2 &amp; "*", 'Bucket Counts'!$A:$A, "="&amp;$A71))</f>
        <v>0</v>
      </c>
      <c r="V71" s="398">
        <f>U66+SUM(T66:T71)</f>
        <v>0</v>
      </c>
      <c r="W71" s="17">
        <f>SUMIFS(Collection!$O:$O, Collection!$B:$B, "*" &amp; W$2 &amp; "*", Collection!$A:$A, "="&amp;$A71)</f>
        <v>0</v>
      </c>
      <c r="X71" s="17">
        <f>(SUMIFS('Bucket Counts'!$P:$P, 'Bucket Counts'!$D:$D, "*" &amp; X$2 &amp; "*", 'Bucket Counts'!$A:$A, "="&amp;$A71))</f>
        <v>0</v>
      </c>
      <c r="Y71" s="398">
        <f>X66+SUM(W66:W71)</f>
        <v>0</v>
      </c>
      <c r="Z71" s="17">
        <f>SUMIFS(Collection!$O:$O, Collection!$B:$B, "*" &amp; Z$2 &amp; "*", Collection!$A:$A, "="&amp;$A71)</f>
        <v>0</v>
      </c>
      <c r="AA71" s="17">
        <f>(SUMIFS('Bucket Counts'!$P:$P, 'Bucket Counts'!$D:$D, "*" &amp; AA$2 &amp; "*", 'Bucket Counts'!$A:$A, "="&amp;$A71))</f>
        <v>111.1111111111111</v>
      </c>
      <c r="AB71" s="398">
        <f>AA66+SUM(Z66:Z71)</f>
        <v>331.11111111111109</v>
      </c>
      <c r="AC71" s="17">
        <f>SUMIFS(Collection!$O:$O, Collection!$B:$B, "*" &amp; AC$2 &amp; "*", Collection!$A:$A, "="&amp;$A71)</f>
        <v>0</v>
      </c>
      <c r="AD71" s="17">
        <f>(SUMIFS('Bucket Counts'!$P:$P, 'Bucket Counts'!$D:$D, "*" &amp; AD$2 &amp; "*", 'Bucket Counts'!$A:$A, "="&amp;$A71))</f>
        <v>313.88888888888886</v>
      </c>
      <c r="AE71" s="398">
        <f>AD66+SUM(AC66:AC71)</f>
        <v>1675</v>
      </c>
      <c r="AF71" s="17">
        <f>SUMIFS(Collection!$O:$O, Collection!$B:$B, "*" &amp; AF$2 &amp; "*", Collection!$A:$A, "="&amp;$A71)</f>
        <v>0</v>
      </c>
      <c r="AG71" s="17">
        <f>(SUMIFS('Bucket Counts'!$P:$P, 'Bucket Counts'!$D:$D, "*" &amp; AG$2 &amp; "*", 'Bucket Counts'!$A:$A, "="&amp;$A71))</f>
        <v>0</v>
      </c>
      <c r="AH71" s="398">
        <f>AG66+SUM(AF66:AF71)</f>
        <v>0</v>
      </c>
      <c r="AI71" s="17">
        <f>SUMIFS(Collection!$O:$O, Collection!$B:$B, "*" &amp; AI$2 &amp; "*", Collection!$A:$A, "="&amp;$A71)</f>
        <v>0</v>
      </c>
      <c r="AJ71" s="17">
        <f>(SUMIFS('Bucket Counts'!$P:$P, 'Bucket Counts'!$D:$D, "*" &amp; AJ$2 &amp; "*", 'Bucket Counts'!$A:$A, "="&amp;$A71))</f>
        <v>0</v>
      </c>
      <c r="AK71" s="398">
        <f>AJ66+SUM(AI66:AI71)</f>
        <v>199.99999999999997</v>
      </c>
      <c r="AL71" s="17">
        <f>SUMIFS(Collection!$O:$O, Collection!$B:$B, "*" &amp; AL$2 &amp; "*", Collection!$A:$A, "="&amp;$A71)</f>
        <v>0</v>
      </c>
      <c r="AM71" s="17">
        <f>(SUMIFS('Bucket Counts'!$P:$P, 'Bucket Counts'!$D:$D, "*" &amp; AM$2 &amp; "*", 'Bucket Counts'!$A:$A, "="&amp;$A71))</f>
        <v>0</v>
      </c>
      <c r="AN71" s="398">
        <f>AM66+SUM(AL66:AL71)</f>
        <v>0</v>
      </c>
      <c r="AO71" s="17">
        <f>SUMIFS(Collection!$O:$O, Collection!$B:$B, "*" &amp; AO$2 &amp; "*", Collection!$A:$A, "="&amp;$A71)</f>
        <v>0</v>
      </c>
      <c r="AP71" s="17">
        <f>(SUMIFS('Bucket Counts'!$P:$P, 'Bucket Counts'!$D:$D, "*" &amp; AP$2 &amp; "*", 'Bucket Counts'!$A:$A, "="&amp;$A71))</f>
        <v>0</v>
      </c>
      <c r="AQ71" s="398">
        <f>AP66+SUM(AO66:AO71)</f>
        <v>0</v>
      </c>
      <c r="AR71" s="17">
        <f>SUMIFS(Collection!$O:$O, Collection!$B:$B, "*" &amp; AR$2 &amp; "*", Collection!$A:$A, "="&amp;$A71)</f>
        <v>0</v>
      </c>
      <c r="AS71" s="17">
        <f>(SUMIFS('Bucket Counts'!$P:$P, 'Bucket Counts'!$D:$D, "*" &amp; AS$2 &amp; "*", 'Bucket Counts'!$A:$A, "="&amp;$A71))</f>
        <v>0</v>
      </c>
      <c r="AT71" s="398">
        <f>AS66+SUM(AR66:AR71)</f>
        <v>93.333333333333314</v>
      </c>
      <c r="AU71" s="17">
        <f>SUMIFS(Collection!$O:$O, Collection!$B:$B, "*" &amp; AU$2 &amp; "*", Collection!$A:$A, "="&amp;$A71)</f>
        <v>0</v>
      </c>
      <c r="AV71" s="17">
        <f>(SUMIFS('Bucket Counts'!$P:$P, 'Bucket Counts'!$D:$D, "*" &amp; AV$2 &amp; "*", 'Bucket Counts'!$A:$A, "="&amp;$A71))</f>
        <v>0</v>
      </c>
      <c r="AW71" s="398">
        <f>AV66+SUM(AU66:AU71)</f>
        <v>0</v>
      </c>
    </row>
    <row r="72" spans="1:49">
      <c r="A72" s="16">
        <f t="shared" si="0"/>
        <v>42942</v>
      </c>
      <c r="B72" s="397">
        <f>SUMIFS(Collection!$O:$O, Collection!$B:$B, "*" &amp; B$2 &amp; "*", Collection!$A:$A, "="&amp;$A72)</f>
        <v>0</v>
      </c>
      <c r="C72" s="118">
        <f>(SUMIFS('Bucket Counts'!$P:$P, 'Bucket Counts'!$D:$D, "*" &amp; C$2 &amp; "*", 'Bucket Counts'!$A:$A, "="&amp;$A72))</f>
        <v>0</v>
      </c>
      <c r="D72" s="398">
        <f>C66+SUM(B66:B72)</f>
        <v>37</v>
      </c>
      <c r="E72" s="397">
        <f>SUMIFS(Collection!$O:$O, Collection!$B:$B, "*" &amp; E$2 &amp; "*", Collection!$A:$A, "="&amp;$A72)</f>
        <v>0</v>
      </c>
      <c r="F72" s="118">
        <f>(SUMIFS('Bucket Counts'!$P:$P, 'Bucket Counts'!$D:$D, "*" &amp; F$2 &amp; "*", 'Bucket Counts'!$A:$A, "="&amp;$A72))</f>
        <v>0</v>
      </c>
      <c r="G72" s="398">
        <f>F66+SUM(E66:E72)</f>
        <v>0</v>
      </c>
      <c r="H72" s="397">
        <f>SUMIFS(Collection!$O:$O, Collection!$B:$B, "*" &amp; H$2 &amp; "*", Collection!$A:$A, "="&amp;$A72)</f>
        <v>0</v>
      </c>
      <c r="I72" s="118">
        <f>(SUMIFS('Bucket Counts'!$P:$P, 'Bucket Counts'!$D:$D, "*" &amp; I$2 &amp; "*", 'Bucket Counts'!$A:$A, "="&amp;$A72))</f>
        <v>0</v>
      </c>
      <c r="J72" s="398">
        <f>I66+SUM(H66:H72)</f>
        <v>0</v>
      </c>
      <c r="K72" s="17">
        <f>SUMIFS(Collection!$O:$O, Collection!$B:$B, "*" &amp; K$2 &amp; "*", Collection!$A:$A, "="&amp;$A72)</f>
        <v>0</v>
      </c>
      <c r="L72" s="17">
        <f>(SUMIFS('Bucket Counts'!$P:$P, 'Bucket Counts'!$D:$D, "*" &amp; L$2 &amp; "*", 'Bucket Counts'!$A:$A, "="&amp;$A72))</f>
        <v>0</v>
      </c>
      <c r="M72" s="398">
        <f>L66+SUM(K66:K72)</f>
        <v>0</v>
      </c>
      <c r="N72" s="17">
        <f>SUMIFS(Collection!$O:$O, Collection!$B:$B, "*" &amp; N$2 &amp; "*", Collection!$A:$A, "="&amp;$A72)</f>
        <v>0</v>
      </c>
      <c r="O72" s="17">
        <f>(SUMIFS('Bucket Counts'!$P:$P, 'Bucket Counts'!$D:$D, "*" &amp; O$2 &amp; "*", 'Bucket Counts'!$A:$A, "="&amp;$A72))</f>
        <v>0</v>
      </c>
      <c r="P72" s="398">
        <f>O66+SUM(N66:N72)</f>
        <v>15581.666666666666</v>
      </c>
      <c r="Q72" s="17">
        <f>SUMIFS(Collection!$O:$O, Collection!$B:$B, "*" &amp; Q$2 &amp; "*", Collection!$A:$A, "="&amp;$A72)</f>
        <v>0</v>
      </c>
      <c r="R72" s="17">
        <f>(SUMIFS('Bucket Counts'!$P:$P, 'Bucket Counts'!$D:$D, "*" &amp; R$2 &amp; "*", 'Bucket Counts'!$A:$A, "="&amp;$A72))</f>
        <v>0</v>
      </c>
      <c r="S72" s="398">
        <f>R66+SUM(Q66:Q72)</f>
        <v>0</v>
      </c>
      <c r="T72" s="17">
        <f>SUMIFS(Collection!$O:$O, Collection!$B:$B, "*" &amp; T$2 &amp; "*", Collection!$A:$A, "="&amp;$A72)</f>
        <v>0</v>
      </c>
      <c r="U72" s="17">
        <f>(SUMIFS('Bucket Counts'!$P:$P, 'Bucket Counts'!$D:$D, "*" &amp; U$2 &amp; "*", 'Bucket Counts'!$A:$A, "="&amp;$A72))</f>
        <v>0</v>
      </c>
      <c r="V72" s="398">
        <f>U66+SUM(T66:T72)</f>
        <v>0</v>
      </c>
      <c r="W72" s="17">
        <f>SUMIFS(Collection!$O:$O, Collection!$B:$B, "*" &amp; W$2 &amp; "*", Collection!$A:$A, "="&amp;$A72)</f>
        <v>0</v>
      </c>
      <c r="X72" s="17">
        <f>(SUMIFS('Bucket Counts'!$P:$P, 'Bucket Counts'!$D:$D, "*" &amp; X$2 &amp; "*", 'Bucket Counts'!$A:$A, "="&amp;$A72))</f>
        <v>0</v>
      </c>
      <c r="Y72" s="398">
        <f>X66+SUM(W66:W72)</f>
        <v>0</v>
      </c>
      <c r="Z72" s="17">
        <f>SUMIFS(Collection!$O:$O, Collection!$B:$B, "*" &amp; Z$2 &amp; "*", Collection!$A:$A, "="&amp;$A72)</f>
        <v>0</v>
      </c>
      <c r="AA72" s="17">
        <f>(SUMIFS('Bucket Counts'!$P:$P, 'Bucket Counts'!$D:$D, "*" &amp; AA$2 &amp; "*", 'Bucket Counts'!$A:$A, "="&amp;$A72))</f>
        <v>0</v>
      </c>
      <c r="AB72" s="398">
        <f>AA66+SUM(Z66:Z72)</f>
        <v>331.11111111111109</v>
      </c>
      <c r="AC72" s="17">
        <f>SUMIFS(Collection!$O:$O, Collection!$B:$B, "*" &amp; AC$2 &amp; "*", Collection!$A:$A, "="&amp;$A72)</f>
        <v>0</v>
      </c>
      <c r="AD72" s="17">
        <f>(SUMIFS('Bucket Counts'!$P:$P, 'Bucket Counts'!$D:$D, "*" &amp; AD$2 &amp; "*", 'Bucket Counts'!$A:$A, "="&amp;$A72))</f>
        <v>0</v>
      </c>
      <c r="AE72" s="398">
        <f>AD66+SUM(AC66:AC72)</f>
        <v>1675</v>
      </c>
      <c r="AF72" s="17">
        <f>SUMIFS(Collection!$O:$O, Collection!$B:$B, "*" &amp; AF$2 &amp; "*", Collection!$A:$A, "="&amp;$A72)</f>
        <v>0</v>
      </c>
      <c r="AG72" s="17">
        <f>(SUMIFS('Bucket Counts'!$P:$P, 'Bucket Counts'!$D:$D, "*" &amp; AG$2 &amp; "*", 'Bucket Counts'!$A:$A, "="&amp;$A72))</f>
        <v>0</v>
      </c>
      <c r="AH72" s="398">
        <f>AG66+SUM(AF66:AF72)</f>
        <v>0</v>
      </c>
      <c r="AI72" s="17">
        <f>SUMIFS(Collection!$O:$O, Collection!$B:$B, "*" &amp; AI$2 &amp; "*", Collection!$A:$A, "="&amp;$A72)</f>
        <v>0</v>
      </c>
      <c r="AJ72" s="17">
        <f>(SUMIFS('Bucket Counts'!$P:$P, 'Bucket Counts'!$D:$D, "*" &amp; AJ$2 &amp; "*", 'Bucket Counts'!$A:$A, "="&amp;$A72))</f>
        <v>0</v>
      </c>
      <c r="AK72" s="398">
        <f>AJ66+SUM(AI66:AI72)</f>
        <v>199.99999999999997</v>
      </c>
      <c r="AL72" s="17">
        <f>SUMIFS(Collection!$O:$O, Collection!$B:$B, "*" &amp; AL$2 &amp; "*", Collection!$A:$A, "="&amp;$A72)</f>
        <v>0</v>
      </c>
      <c r="AM72" s="17">
        <f>(SUMIFS('Bucket Counts'!$P:$P, 'Bucket Counts'!$D:$D, "*" &amp; AM$2 &amp; "*", 'Bucket Counts'!$A:$A, "="&amp;$A72))</f>
        <v>0</v>
      </c>
      <c r="AN72" s="398">
        <f>AM66+SUM(AL66:AL72)</f>
        <v>0</v>
      </c>
      <c r="AO72" s="17">
        <f>SUMIFS(Collection!$O:$O, Collection!$B:$B, "*" &amp; AO$2 &amp; "*", Collection!$A:$A, "="&amp;$A72)</f>
        <v>0</v>
      </c>
      <c r="AP72" s="17">
        <f>(SUMIFS('Bucket Counts'!$P:$P, 'Bucket Counts'!$D:$D, "*" &amp; AP$2 &amp; "*", 'Bucket Counts'!$A:$A, "="&amp;$A72))</f>
        <v>0</v>
      </c>
      <c r="AQ72" s="398">
        <f>AP66+SUM(AO66:AO72)</f>
        <v>0</v>
      </c>
      <c r="AR72" s="17">
        <f>SUMIFS(Collection!$O:$O, Collection!$B:$B, "*" &amp; AR$2 &amp; "*", Collection!$A:$A, "="&amp;$A72)</f>
        <v>0</v>
      </c>
      <c r="AS72" s="17">
        <f>(SUMIFS('Bucket Counts'!$P:$P, 'Bucket Counts'!$D:$D, "*" &amp; AS$2 &amp; "*", 'Bucket Counts'!$A:$A, "="&amp;$A72))</f>
        <v>0</v>
      </c>
      <c r="AT72" s="398">
        <f>AS66+SUM(AR66:AR72)</f>
        <v>93.333333333333314</v>
      </c>
      <c r="AU72" s="17">
        <f>SUMIFS(Collection!$O:$O, Collection!$B:$B, "*" &amp; AU$2 &amp; "*", Collection!$A:$A, "="&amp;$A72)</f>
        <v>0</v>
      </c>
      <c r="AV72" s="17">
        <f>(SUMIFS('Bucket Counts'!$P:$P, 'Bucket Counts'!$D:$D, "*" &amp; AV$2 &amp; "*", 'Bucket Counts'!$A:$A, "="&amp;$A72))</f>
        <v>0</v>
      </c>
      <c r="AW72" s="398">
        <f>AV66+SUM(AU66:AU72)</f>
        <v>0</v>
      </c>
    </row>
    <row r="73" spans="1:49">
      <c r="A73" s="16">
        <f t="shared" si="0"/>
        <v>42943</v>
      </c>
      <c r="B73" s="397">
        <f>SUMIFS(Collection!$O:$O, Collection!$B:$B, "*" &amp; B$2 &amp; "*", Collection!$A:$A, "="&amp;$A73)</f>
        <v>0</v>
      </c>
      <c r="C73" s="118">
        <f>(SUMIFS('Bucket Counts'!$P:$P, 'Bucket Counts'!$D:$D, "*" &amp; C$2 &amp; "*", 'Bucket Counts'!$A:$A, "="&amp;$A73))</f>
        <v>0</v>
      </c>
      <c r="D73" s="398">
        <f>C66+SUM(B66:B73)</f>
        <v>37</v>
      </c>
      <c r="E73" s="397">
        <f>SUMIFS(Collection!$O:$O, Collection!$B:$B, "*" &amp; E$2 &amp; "*", Collection!$A:$A, "="&amp;$A73)</f>
        <v>0</v>
      </c>
      <c r="F73" s="118">
        <f>(SUMIFS('Bucket Counts'!$P:$P, 'Bucket Counts'!$D:$D, "*" &amp; F$2 &amp; "*", 'Bucket Counts'!$A:$A, "="&amp;$A73))</f>
        <v>0</v>
      </c>
      <c r="G73" s="398">
        <f>F66+SUM(E66:E73)</f>
        <v>0</v>
      </c>
      <c r="H73" s="397">
        <f>SUMIFS(Collection!$O:$O, Collection!$B:$B, "*" &amp; H$2 &amp; "*", Collection!$A:$A, "="&amp;$A73)</f>
        <v>0</v>
      </c>
      <c r="I73" s="118">
        <f>(SUMIFS('Bucket Counts'!$P:$P, 'Bucket Counts'!$D:$D, "*" &amp; I$2 &amp; "*", 'Bucket Counts'!$A:$A, "="&amp;$A73))</f>
        <v>0</v>
      </c>
      <c r="J73" s="398">
        <f>I66+SUM(H66:H73)</f>
        <v>0</v>
      </c>
      <c r="K73" s="17">
        <f>SUMIFS(Collection!$O:$O, Collection!$B:$B, "*" &amp; K$2 &amp; "*", Collection!$A:$A, "="&amp;$A73)</f>
        <v>0</v>
      </c>
      <c r="L73" s="17">
        <f>(SUMIFS('Bucket Counts'!$P:$P, 'Bucket Counts'!$D:$D, "*" &amp; L$2 &amp; "*", 'Bucket Counts'!$A:$A, "="&amp;$A73))</f>
        <v>0</v>
      </c>
      <c r="M73" s="398">
        <f>L66+SUM(K66:K73)</f>
        <v>0</v>
      </c>
      <c r="N73" s="17">
        <f>SUMIFS(Collection!$O:$O, Collection!$B:$B, "*" &amp; N$2 &amp; "*", Collection!$A:$A, "="&amp;$A73)</f>
        <v>0</v>
      </c>
      <c r="O73" s="17">
        <f>(SUMIFS('Bucket Counts'!$P:$P, 'Bucket Counts'!$D:$D, "*" &amp; O$2 &amp; "*", 'Bucket Counts'!$A:$A, "="&amp;$A73))</f>
        <v>0</v>
      </c>
      <c r="P73" s="398">
        <f>O66+SUM(N66:N73)</f>
        <v>15581.666666666666</v>
      </c>
      <c r="Q73" s="17">
        <f>SUMIFS(Collection!$O:$O, Collection!$B:$B, "*" &amp; Q$2 &amp; "*", Collection!$A:$A, "="&amp;$A73)</f>
        <v>0</v>
      </c>
      <c r="R73" s="17">
        <f>(SUMIFS('Bucket Counts'!$P:$P, 'Bucket Counts'!$D:$D, "*" &amp; R$2 &amp; "*", 'Bucket Counts'!$A:$A, "="&amp;$A73))</f>
        <v>0</v>
      </c>
      <c r="S73" s="398">
        <f>R66+SUM(Q66:Q73)</f>
        <v>0</v>
      </c>
      <c r="T73" s="17">
        <f>SUMIFS(Collection!$O:$O, Collection!$B:$B, "*" &amp; T$2 &amp; "*", Collection!$A:$A, "="&amp;$A73)</f>
        <v>0</v>
      </c>
      <c r="U73" s="17">
        <f>(SUMIFS('Bucket Counts'!$P:$P, 'Bucket Counts'!$D:$D, "*" &amp; U$2 &amp; "*", 'Bucket Counts'!$A:$A, "="&amp;$A73))</f>
        <v>0</v>
      </c>
      <c r="V73" s="398">
        <f>U66+SUM(T66:T73)</f>
        <v>0</v>
      </c>
      <c r="W73" s="17">
        <f>SUMIFS(Collection!$O:$O, Collection!$B:$B, "*" &amp; W$2 &amp; "*", Collection!$A:$A, "="&amp;$A73)</f>
        <v>0</v>
      </c>
      <c r="X73" s="17">
        <f>(SUMIFS('Bucket Counts'!$P:$P, 'Bucket Counts'!$D:$D, "*" &amp; X$2 &amp; "*", 'Bucket Counts'!$A:$A, "="&amp;$A73))</f>
        <v>0</v>
      </c>
      <c r="Y73" s="398">
        <f>X66+SUM(W66:W73)</f>
        <v>0</v>
      </c>
      <c r="Z73" s="17">
        <f>SUMIFS(Collection!$O:$O, Collection!$B:$B, "*" &amp; Z$2 &amp; "*", Collection!$A:$A, "="&amp;$A73)</f>
        <v>0</v>
      </c>
      <c r="AA73" s="17">
        <f>(SUMIFS('Bucket Counts'!$P:$P, 'Bucket Counts'!$D:$D, "*" &amp; AA$2 &amp; "*", 'Bucket Counts'!$A:$A, "="&amp;$A73))</f>
        <v>0</v>
      </c>
      <c r="AB73" s="398">
        <f>AA66+SUM(Z66:Z73)</f>
        <v>331.11111111111109</v>
      </c>
      <c r="AC73" s="17">
        <f>SUMIFS(Collection!$O:$O, Collection!$B:$B, "*" &amp; AC$2 &amp; "*", Collection!$A:$A, "="&amp;$A73)</f>
        <v>0</v>
      </c>
      <c r="AD73" s="17">
        <f>(SUMIFS('Bucket Counts'!$P:$P, 'Bucket Counts'!$D:$D, "*" &amp; AD$2 &amp; "*", 'Bucket Counts'!$A:$A, "="&amp;$A73))</f>
        <v>0</v>
      </c>
      <c r="AE73" s="398">
        <f>AD66+SUM(AC66:AC73)</f>
        <v>1675</v>
      </c>
      <c r="AF73" s="17">
        <f>SUMIFS(Collection!$O:$O, Collection!$B:$B, "*" &amp; AF$2 &amp; "*", Collection!$A:$A, "="&amp;$A73)</f>
        <v>0</v>
      </c>
      <c r="AG73" s="17">
        <f>(SUMIFS('Bucket Counts'!$P:$P, 'Bucket Counts'!$D:$D, "*" &amp; AG$2 &amp; "*", 'Bucket Counts'!$A:$A, "="&amp;$A73))</f>
        <v>0</v>
      </c>
      <c r="AH73" s="398">
        <f>AG66+SUM(AF66:AF73)</f>
        <v>0</v>
      </c>
      <c r="AI73" s="17">
        <f>SUMIFS(Collection!$O:$O, Collection!$B:$B, "*" &amp; AI$2 &amp; "*", Collection!$A:$A, "="&amp;$A73)</f>
        <v>0</v>
      </c>
      <c r="AJ73" s="17">
        <f>(SUMIFS('Bucket Counts'!$P:$P, 'Bucket Counts'!$D:$D, "*" &amp; AJ$2 &amp; "*", 'Bucket Counts'!$A:$A, "="&amp;$A73))</f>
        <v>0</v>
      </c>
      <c r="AK73" s="398">
        <f>AJ66+SUM(AI66:AI73)</f>
        <v>199.99999999999997</v>
      </c>
      <c r="AL73" s="17">
        <f>SUMIFS(Collection!$O:$O, Collection!$B:$B, "*" &amp; AL$2 &amp; "*", Collection!$A:$A, "="&amp;$A73)</f>
        <v>0</v>
      </c>
      <c r="AM73" s="17">
        <f>(SUMIFS('Bucket Counts'!$P:$P, 'Bucket Counts'!$D:$D, "*" &amp; AM$2 &amp; "*", 'Bucket Counts'!$A:$A, "="&amp;$A73))</f>
        <v>0</v>
      </c>
      <c r="AN73" s="398">
        <f>AM66+SUM(AL66:AL73)</f>
        <v>0</v>
      </c>
      <c r="AO73" s="17">
        <f>SUMIFS(Collection!$O:$O, Collection!$B:$B, "*" &amp; AO$2 &amp; "*", Collection!$A:$A, "="&amp;$A73)</f>
        <v>0</v>
      </c>
      <c r="AP73" s="17">
        <f>(SUMIFS('Bucket Counts'!$P:$P, 'Bucket Counts'!$D:$D, "*" &amp; AP$2 &amp; "*", 'Bucket Counts'!$A:$A, "="&amp;$A73))</f>
        <v>0</v>
      </c>
      <c r="AQ73" s="398">
        <f>AP66+SUM(AO66:AO73)</f>
        <v>0</v>
      </c>
      <c r="AR73" s="17">
        <f>SUMIFS(Collection!$O:$O, Collection!$B:$B, "*" &amp; AR$2 &amp; "*", Collection!$A:$A, "="&amp;$A73)</f>
        <v>0</v>
      </c>
      <c r="AS73" s="17">
        <f>(SUMIFS('Bucket Counts'!$P:$P, 'Bucket Counts'!$D:$D, "*" &amp; AS$2 &amp; "*", 'Bucket Counts'!$A:$A, "="&amp;$A73))</f>
        <v>0</v>
      </c>
      <c r="AT73" s="398">
        <f>AS66+SUM(AR66:AR73)</f>
        <v>93.333333333333314</v>
      </c>
      <c r="AU73" s="17">
        <f>SUMIFS(Collection!$O:$O, Collection!$B:$B, "*" &amp; AU$2 &amp; "*", Collection!$A:$A, "="&amp;$A73)</f>
        <v>0</v>
      </c>
      <c r="AV73" s="17">
        <f>(SUMIFS('Bucket Counts'!$P:$P, 'Bucket Counts'!$D:$D, "*" &amp; AV$2 &amp; "*", 'Bucket Counts'!$A:$A, "="&amp;$A73))</f>
        <v>0</v>
      </c>
      <c r="AW73" s="398">
        <f>AV66+SUM(AU66:AU73)</f>
        <v>0</v>
      </c>
    </row>
    <row r="74" spans="1:49">
      <c r="A74" s="16">
        <f t="shared" si="0"/>
        <v>42944</v>
      </c>
      <c r="B74" s="397">
        <f>SUMIFS(Collection!$O:$O, Collection!$B:$B, "*" &amp; B$2 &amp; "*", Collection!$A:$A, "="&amp;$A74)</f>
        <v>0</v>
      </c>
      <c r="C74" s="118">
        <f>(SUMIFS('Bucket Counts'!$P:$P, 'Bucket Counts'!$D:$D, "*" &amp; C$2 &amp; "*", 'Bucket Counts'!$A:$A, "="&amp;$A74))</f>
        <v>0</v>
      </c>
      <c r="D74" s="398">
        <f>C66+SUM(B66:B74)</f>
        <v>37</v>
      </c>
      <c r="E74" s="397">
        <f>SUMIFS(Collection!$O:$O, Collection!$B:$B, "*" &amp; E$2 &amp; "*", Collection!$A:$A, "="&amp;$A74)</f>
        <v>0</v>
      </c>
      <c r="F74" s="118">
        <f>(SUMIFS('Bucket Counts'!$P:$P, 'Bucket Counts'!$D:$D, "*" &amp; F$2 &amp; "*", 'Bucket Counts'!$A:$A, "="&amp;$A74))</f>
        <v>0</v>
      </c>
      <c r="G74" s="398">
        <f>F66+SUM(E66:E74)</f>
        <v>0</v>
      </c>
      <c r="H74" s="397">
        <f>SUMIFS(Collection!$O:$O, Collection!$B:$B, "*" &amp; H$2 &amp; "*", Collection!$A:$A, "="&amp;$A74)</f>
        <v>0</v>
      </c>
      <c r="I74" s="118">
        <f>(SUMIFS('Bucket Counts'!$P:$P, 'Bucket Counts'!$D:$D, "*" &amp; I$2 &amp; "*", 'Bucket Counts'!$A:$A, "="&amp;$A74))</f>
        <v>0</v>
      </c>
      <c r="J74" s="398">
        <f>I66+SUM(H66:H74)</f>
        <v>0</v>
      </c>
      <c r="K74" s="17">
        <f>SUMIFS(Collection!$O:$O, Collection!$B:$B, "*" &amp; K$2 &amp; "*", Collection!$A:$A, "="&amp;$A74)</f>
        <v>0</v>
      </c>
      <c r="L74" s="17">
        <f>(SUMIFS('Bucket Counts'!$P:$P, 'Bucket Counts'!$D:$D, "*" &amp; L$2 &amp; "*", 'Bucket Counts'!$A:$A, "="&amp;$A74))</f>
        <v>0</v>
      </c>
      <c r="M74" s="398">
        <f>L66+SUM(K66:K74)</f>
        <v>0</v>
      </c>
      <c r="N74" s="17">
        <f>SUMIFS(Collection!$O:$O, Collection!$B:$B, "*" &amp; N$2 &amp; "*", Collection!$A:$A, "="&amp;$A74)</f>
        <v>0</v>
      </c>
      <c r="O74" s="17">
        <f>(SUMIFS('Bucket Counts'!$P:$P, 'Bucket Counts'!$D:$D, "*" &amp; O$2 &amp; "*", 'Bucket Counts'!$A:$A, "="&amp;$A74))</f>
        <v>0</v>
      </c>
      <c r="P74" s="398">
        <f>O66+SUM(N66:N74)</f>
        <v>15581.666666666666</v>
      </c>
      <c r="Q74" s="17">
        <f>SUMIFS(Collection!$O:$O, Collection!$B:$B, "*" &amp; Q$2 &amp; "*", Collection!$A:$A, "="&amp;$A74)</f>
        <v>0</v>
      </c>
      <c r="R74" s="17">
        <f>(SUMIFS('Bucket Counts'!$P:$P, 'Bucket Counts'!$D:$D, "*" &amp; R$2 &amp; "*", 'Bucket Counts'!$A:$A, "="&amp;$A74))</f>
        <v>0</v>
      </c>
      <c r="S74" s="398">
        <f>R66+SUM(Q66:Q74)</f>
        <v>0</v>
      </c>
      <c r="T74" s="17">
        <f>SUMIFS(Collection!$O:$O, Collection!$B:$B, "*" &amp; T$2 &amp; "*", Collection!$A:$A, "="&amp;$A74)</f>
        <v>0</v>
      </c>
      <c r="U74" s="17">
        <f>(SUMIFS('Bucket Counts'!$P:$P, 'Bucket Counts'!$D:$D, "*" &amp; U$2 &amp; "*", 'Bucket Counts'!$A:$A, "="&amp;$A74))</f>
        <v>0</v>
      </c>
      <c r="V74" s="398">
        <f>U66+SUM(T66:T74)</f>
        <v>0</v>
      </c>
      <c r="W74" s="17">
        <f>SUMIFS(Collection!$O:$O, Collection!$B:$B, "*" &amp; W$2 &amp; "*", Collection!$A:$A, "="&amp;$A74)</f>
        <v>0</v>
      </c>
      <c r="X74" s="17">
        <f>(SUMIFS('Bucket Counts'!$P:$P, 'Bucket Counts'!$D:$D, "*" &amp; X$2 &amp; "*", 'Bucket Counts'!$A:$A, "="&amp;$A74))</f>
        <v>0</v>
      </c>
      <c r="Y74" s="398">
        <f>X66+SUM(W66:W74)</f>
        <v>0</v>
      </c>
      <c r="Z74" s="17">
        <f>SUMIFS(Collection!$O:$O, Collection!$B:$B, "*" &amp; Z$2 &amp; "*", Collection!$A:$A, "="&amp;$A74)</f>
        <v>0</v>
      </c>
      <c r="AA74" s="17">
        <f>(SUMIFS('Bucket Counts'!$P:$P, 'Bucket Counts'!$D:$D, "*" &amp; AA$2 &amp; "*", 'Bucket Counts'!$A:$A, "="&amp;$A74))</f>
        <v>0</v>
      </c>
      <c r="AB74" s="398">
        <f>AA66+SUM(Z66:Z74)</f>
        <v>331.11111111111109</v>
      </c>
      <c r="AC74" s="17">
        <f>SUMIFS(Collection!$O:$O, Collection!$B:$B, "*" &amp; AC$2 &amp; "*", Collection!$A:$A, "="&amp;$A74)</f>
        <v>0</v>
      </c>
      <c r="AD74" s="17">
        <f>(SUMIFS('Bucket Counts'!$P:$P, 'Bucket Counts'!$D:$D, "*" &amp; AD$2 &amp; "*", 'Bucket Counts'!$A:$A, "="&amp;$A74))</f>
        <v>0</v>
      </c>
      <c r="AE74" s="398">
        <f>AD66+SUM(AC66:AC74)</f>
        <v>1675</v>
      </c>
      <c r="AF74" s="17">
        <f>SUMIFS(Collection!$O:$O, Collection!$B:$B, "*" &amp; AF$2 &amp; "*", Collection!$A:$A, "="&amp;$A74)</f>
        <v>0</v>
      </c>
      <c r="AG74" s="17">
        <f>(SUMIFS('Bucket Counts'!$P:$P, 'Bucket Counts'!$D:$D, "*" &amp; AG$2 &amp; "*", 'Bucket Counts'!$A:$A, "="&amp;$A74))</f>
        <v>0</v>
      </c>
      <c r="AH74" s="398">
        <f>AG66+SUM(AF66:AF74)</f>
        <v>0</v>
      </c>
      <c r="AI74" s="17">
        <f>SUMIFS(Collection!$O:$O, Collection!$B:$B, "*" &amp; AI$2 &amp; "*", Collection!$A:$A, "="&amp;$A74)</f>
        <v>0</v>
      </c>
      <c r="AJ74" s="17">
        <f>(SUMIFS('Bucket Counts'!$P:$P, 'Bucket Counts'!$D:$D, "*" &amp; AJ$2 &amp; "*", 'Bucket Counts'!$A:$A, "="&amp;$A74))</f>
        <v>0</v>
      </c>
      <c r="AK74" s="398">
        <f>AJ66+SUM(AI66:AI74)</f>
        <v>199.99999999999997</v>
      </c>
      <c r="AL74" s="17">
        <f>SUMIFS(Collection!$O:$O, Collection!$B:$B, "*" &amp; AL$2 &amp; "*", Collection!$A:$A, "="&amp;$A74)</f>
        <v>0</v>
      </c>
      <c r="AM74" s="17">
        <f>(SUMIFS('Bucket Counts'!$P:$P, 'Bucket Counts'!$D:$D, "*" &amp; AM$2 &amp; "*", 'Bucket Counts'!$A:$A, "="&amp;$A74))</f>
        <v>0</v>
      </c>
      <c r="AN74" s="398">
        <f>AM66+SUM(AL66:AL74)</f>
        <v>0</v>
      </c>
      <c r="AO74" s="17">
        <f>SUMIFS(Collection!$O:$O, Collection!$B:$B, "*" &amp; AO$2 &amp; "*", Collection!$A:$A, "="&amp;$A74)</f>
        <v>0</v>
      </c>
      <c r="AP74" s="17">
        <f>(SUMIFS('Bucket Counts'!$P:$P, 'Bucket Counts'!$D:$D, "*" &amp; AP$2 &amp; "*", 'Bucket Counts'!$A:$A, "="&amp;$A74))</f>
        <v>0</v>
      </c>
      <c r="AQ74" s="398">
        <f>AP66+SUM(AO66:AO74)</f>
        <v>0</v>
      </c>
      <c r="AR74" s="17">
        <f>SUMIFS(Collection!$O:$O, Collection!$B:$B, "*" &amp; AR$2 &amp; "*", Collection!$A:$A, "="&amp;$A74)</f>
        <v>0</v>
      </c>
      <c r="AS74" s="17">
        <f>(SUMIFS('Bucket Counts'!$P:$P, 'Bucket Counts'!$D:$D, "*" &amp; AS$2 &amp; "*", 'Bucket Counts'!$A:$A, "="&amp;$A74))</f>
        <v>0</v>
      </c>
      <c r="AT74" s="398">
        <f>AS66+SUM(AR66:AR74)</f>
        <v>93.333333333333314</v>
      </c>
      <c r="AU74" s="17">
        <f>SUMIFS(Collection!$O:$O, Collection!$B:$B, "*" &amp; AU$2 &amp; "*", Collection!$A:$A, "="&amp;$A74)</f>
        <v>0</v>
      </c>
      <c r="AV74" s="17">
        <f>(SUMIFS('Bucket Counts'!$P:$P, 'Bucket Counts'!$D:$D, "*" &amp; AV$2 &amp; "*", 'Bucket Counts'!$A:$A, "="&amp;$A74))</f>
        <v>0</v>
      </c>
      <c r="AW74" s="398">
        <f>AV66+SUM(AU66:AU74)</f>
        <v>0</v>
      </c>
    </row>
    <row r="75" spans="1:49">
      <c r="A75" s="16">
        <f t="shared" si="0"/>
        <v>42945</v>
      </c>
      <c r="B75" s="397">
        <f>SUMIFS(Collection!$O:$O, Collection!$B:$B, "*" &amp; B$2 &amp; "*", Collection!$A:$A, "="&amp;$A75)</f>
        <v>0</v>
      </c>
      <c r="C75" s="118">
        <f>(SUMIFS('Bucket Counts'!$P:$P, 'Bucket Counts'!$D:$D, "*" &amp; C$2 &amp; "*", 'Bucket Counts'!$A:$A, "="&amp;$A75))</f>
        <v>0</v>
      </c>
      <c r="D75" s="398">
        <f>C66+SUM(B66:B75)</f>
        <v>37</v>
      </c>
      <c r="E75" s="397">
        <f>SUMIFS(Collection!$O:$O, Collection!$B:$B, "*" &amp; E$2 &amp; "*", Collection!$A:$A, "="&amp;$A75)</f>
        <v>0</v>
      </c>
      <c r="F75" s="118">
        <f>(SUMIFS('Bucket Counts'!$P:$P, 'Bucket Counts'!$D:$D, "*" &amp; F$2 &amp; "*", 'Bucket Counts'!$A:$A, "="&amp;$A75))</f>
        <v>0</v>
      </c>
      <c r="G75" s="398">
        <f>F66+SUM(E66:E75)</f>
        <v>0</v>
      </c>
      <c r="H75" s="397">
        <f>SUMIFS(Collection!$O:$O, Collection!$B:$B, "*" &amp; H$2 &amp; "*", Collection!$A:$A, "="&amp;$A75)</f>
        <v>0</v>
      </c>
      <c r="I75" s="118">
        <f>(SUMIFS('Bucket Counts'!$P:$P, 'Bucket Counts'!$D:$D, "*" &amp; I$2 &amp; "*", 'Bucket Counts'!$A:$A, "="&amp;$A75))</f>
        <v>0</v>
      </c>
      <c r="J75" s="398">
        <f>I66+SUM(H66:H75)</f>
        <v>0</v>
      </c>
      <c r="K75" s="17">
        <f>SUMIFS(Collection!$O:$O, Collection!$B:$B, "*" &amp; K$2 &amp; "*", Collection!$A:$A, "="&amp;$A75)</f>
        <v>0</v>
      </c>
      <c r="L75" s="17">
        <f>(SUMIFS('Bucket Counts'!$P:$P, 'Bucket Counts'!$D:$D, "*" &amp; L$2 &amp; "*", 'Bucket Counts'!$A:$A, "="&amp;$A75))</f>
        <v>0</v>
      </c>
      <c r="M75" s="398">
        <f>L66+SUM(K66:K75)</f>
        <v>0</v>
      </c>
      <c r="N75" s="17">
        <f>SUMIFS(Collection!$O:$O, Collection!$B:$B, "*" &amp; N$2 &amp; "*", Collection!$A:$A, "="&amp;$A75)</f>
        <v>0</v>
      </c>
      <c r="O75" s="17">
        <f>(SUMIFS('Bucket Counts'!$P:$P, 'Bucket Counts'!$D:$D, "*" &amp; O$2 &amp; "*", 'Bucket Counts'!$A:$A, "="&amp;$A75))</f>
        <v>0</v>
      </c>
      <c r="P75" s="398">
        <f>O66+SUM(N66:N75)</f>
        <v>15581.666666666666</v>
      </c>
      <c r="Q75" s="17">
        <f>SUMIFS(Collection!$O:$O, Collection!$B:$B, "*" &amp; Q$2 &amp; "*", Collection!$A:$A, "="&amp;$A75)</f>
        <v>0</v>
      </c>
      <c r="R75" s="17">
        <f>(SUMIFS('Bucket Counts'!$P:$P, 'Bucket Counts'!$D:$D, "*" &amp; R$2 &amp; "*", 'Bucket Counts'!$A:$A, "="&amp;$A75))</f>
        <v>0</v>
      </c>
      <c r="S75" s="398">
        <f>R66+SUM(Q66:Q75)</f>
        <v>0</v>
      </c>
      <c r="T75" s="17">
        <f>SUMIFS(Collection!$O:$O, Collection!$B:$B, "*" &amp; T$2 &amp; "*", Collection!$A:$A, "="&amp;$A75)</f>
        <v>0</v>
      </c>
      <c r="U75" s="17">
        <f>(SUMIFS('Bucket Counts'!$P:$P, 'Bucket Counts'!$D:$D, "*" &amp; U$2 &amp; "*", 'Bucket Counts'!$A:$A, "="&amp;$A75))</f>
        <v>0</v>
      </c>
      <c r="V75" s="398">
        <f>U66+SUM(T66:T75)</f>
        <v>0</v>
      </c>
      <c r="W75" s="17">
        <f>SUMIFS(Collection!$O:$O, Collection!$B:$B, "*" &amp; W$2 &amp; "*", Collection!$A:$A, "="&amp;$A75)</f>
        <v>0</v>
      </c>
      <c r="X75" s="17">
        <f>(SUMIFS('Bucket Counts'!$P:$P, 'Bucket Counts'!$D:$D, "*" &amp; X$2 &amp; "*", 'Bucket Counts'!$A:$A, "="&amp;$A75))</f>
        <v>0</v>
      </c>
      <c r="Y75" s="398">
        <f>X66+SUM(W66:W75)</f>
        <v>0</v>
      </c>
      <c r="Z75" s="17">
        <f>SUMIFS(Collection!$O:$O, Collection!$B:$B, "*" &amp; Z$2 &amp; "*", Collection!$A:$A, "="&amp;$A75)</f>
        <v>0</v>
      </c>
      <c r="AA75" s="17">
        <f>(SUMIFS('Bucket Counts'!$P:$P, 'Bucket Counts'!$D:$D, "*" &amp; AA$2 &amp; "*", 'Bucket Counts'!$A:$A, "="&amp;$A75))</f>
        <v>0</v>
      </c>
      <c r="AB75" s="398">
        <f>AA66+SUM(Z66:Z75)</f>
        <v>331.11111111111109</v>
      </c>
      <c r="AC75" s="17">
        <f>SUMIFS(Collection!$O:$O, Collection!$B:$B, "*" &amp; AC$2 &amp; "*", Collection!$A:$A, "="&amp;$A75)</f>
        <v>0</v>
      </c>
      <c r="AD75" s="17">
        <f>(SUMIFS('Bucket Counts'!$P:$P, 'Bucket Counts'!$D:$D, "*" &amp; AD$2 &amp; "*", 'Bucket Counts'!$A:$A, "="&amp;$A75))</f>
        <v>0</v>
      </c>
      <c r="AE75" s="398">
        <f>AD66+SUM(AC66:AC75)</f>
        <v>1675</v>
      </c>
      <c r="AF75" s="17">
        <f>SUMIFS(Collection!$O:$O, Collection!$B:$B, "*" &amp; AF$2 &amp; "*", Collection!$A:$A, "="&amp;$A75)</f>
        <v>0</v>
      </c>
      <c r="AG75" s="17">
        <f>(SUMIFS('Bucket Counts'!$P:$P, 'Bucket Counts'!$D:$D, "*" &amp; AG$2 &amp; "*", 'Bucket Counts'!$A:$A, "="&amp;$A75))</f>
        <v>0</v>
      </c>
      <c r="AH75" s="398">
        <f>AG66+SUM(AF66:AF75)</f>
        <v>0</v>
      </c>
      <c r="AI75" s="17">
        <f>SUMIFS(Collection!$O:$O, Collection!$B:$B, "*" &amp; AI$2 &amp; "*", Collection!$A:$A, "="&amp;$A75)</f>
        <v>0</v>
      </c>
      <c r="AJ75" s="17">
        <f>(SUMIFS('Bucket Counts'!$P:$P, 'Bucket Counts'!$D:$D, "*" &amp; AJ$2 &amp; "*", 'Bucket Counts'!$A:$A, "="&amp;$A75))</f>
        <v>0</v>
      </c>
      <c r="AK75" s="398">
        <f>AJ66+SUM(AI66:AI75)</f>
        <v>199.99999999999997</v>
      </c>
      <c r="AL75" s="17">
        <f>SUMIFS(Collection!$O:$O, Collection!$B:$B, "*" &amp; AL$2 &amp; "*", Collection!$A:$A, "="&amp;$A75)</f>
        <v>0</v>
      </c>
      <c r="AM75" s="17">
        <f>(SUMIFS('Bucket Counts'!$P:$P, 'Bucket Counts'!$D:$D, "*" &amp; AM$2 &amp; "*", 'Bucket Counts'!$A:$A, "="&amp;$A75))</f>
        <v>0</v>
      </c>
      <c r="AN75" s="398">
        <f>AM66+SUM(AL66:AL75)</f>
        <v>0</v>
      </c>
      <c r="AO75" s="17">
        <f>SUMIFS(Collection!$O:$O, Collection!$B:$B, "*" &amp; AO$2 &amp; "*", Collection!$A:$A, "="&amp;$A75)</f>
        <v>0</v>
      </c>
      <c r="AP75" s="17">
        <f>(SUMIFS('Bucket Counts'!$P:$P, 'Bucket Counts'!$D:$D, "*" &amp; AP$2 &amp; "*", 'Bucket Counts'!$A:$A, "="&amp;$A75))</f>
        <v>0</v>
      </c>
      <c r="AQ75" s="398">
        <f>AP66+SUM(AO66:AO75)</f>
        <v>0</v>
      </c>
      <c r="AR75" s="17">
        <f>SUMIFS(Collection!$O:$O, Collection!$B:$B, "*" &amp; AR$2 &amp; "*", Collection!$A:$A, "="&amp;$A75)</f>
        <v>0</v>
      </c>
      <c r="AS75" s="17">
        <f>(SUMIFS('Bucket Counts'!$P:$P, 'Bucket Counts'!$D:$D, "*" &amp; AS$2 &amp; "*", 'Bucket Counts'!$A:$A, "="&amp;$A75))</f>
        <v>0</v>
      </c>
      <c r="AT75" s="398">
        <f>AS66+SUM(AR66:AR75)</f>
        <v>93.333333333333314</v>
      </c>
      <c r="AU75" s="17">
        <f>SUMIFS(Collection!$O:$O, Collection!$B:$B, "*" &amp; AU$2 &amp; "*", Collection!$A:$A, "="&amp;$A75)</f>
        <v>0</v>
      </c>
      <c r="AV75" s="17">
        <f>(SUMIFS('Bucket Counts'!$P:$P, 'Bucket Counts'!$D:$D, "*" &amp; AV$2 &amp; "*", 'Bucket Counts'!$A:$A, "="&amp;$A75))</f>
        <v>0</v>
      </c>
      <c r="AW75" s="398">
        <f>AV66+SUM(AU66:AU75)</f>
        <v>0</v>
      </c>
    </row>
    <row r="76" spans="1:49">
      <c r="A76" s="16">
        <f t="shared" si="0"/>
        <v>42946</v>
      </c>
      <c r="B76" s="397">
        <f>SUMIFS(Collection!$O:$O, Collection!$B:$B, "*" &amp; B$2 &amp; "*", Collection!$A:$A, "="&amp;$A76)</f>
        <v>0</v>
      </c>
      <c r="C76" s="118">
        <f>(SUMIFS('Bucket Counts'!$P:$P, 'Bucket Counts'!$D:$D, "*" &amp; C$2 &amp; "*", 'Bucket Counts'!$A:$A, "="&amp;$A76))</f>
        <v>0</v>
      </c>
      <c r="D76" s="398">
        <f>C66+SUM(B66:B76)</f>
        <v>37</v>
      </c>
      <c r="E76" s="397">
        <f>SUMIFS(Collection!$O:$O, Collection!$B:$B, "*" &amp; E$2 &amp; "*", Collection!$A:$A, "="&amp;$A76)</f>
        <v>0</v>
      </c>
      <c r="F76" s="118">
        <f>(SUMIFS('Bucket Counts'!$P:$P, 'Bucket Counts'!$D:$D, "*" &amp; F$2 &amp; "*", 'Bucket Counts'!$A:$A, "="&amp;$A76))</f>
        <v>0</v>
      </c>
      <c r="G76" s="398">
        <f>F66+SUM(E66:E76)</f>
        <v>0</v>
      </c>
      <c r="H76" s="397">
        <f>SUMIFS(Collection!$O:$O, Collection!$B:$B, "*" &amp; H$2 &amp; "*", Collection!$A:$A, "="&amp;$A76)</f>
        <v>0</v>
      </c>
      <c r="I76" s="118">
        <f>(SUMIFS('Bucket Counts'!$P:$P, 'Bucket Counts'!$D:$D, "*" &amp; I$2 &amp; "*", 'Bucket Counts'!$A:$A, "="&amp;$A76))</f>
        <v>0</v>
      </c>
      <c r="J76" s="398">
        <f>I66+SUM(H66:H76)</f>
        <v>0</v>
      </c>
      <c r="K76" s="17">
        <f>SUMIFS(Collection!$O:$O, Collection!$B:$B, "*" &amp; K$2 &amp; "*", Collection!$A:$A, "="&amp;$A76)</f>
        <v>0</v>
      </c>
      <c r="L76" s="17">
        <f>(SUMIFS('Bucket Counts'!$P:$P, 'Bucket Counts'!$D:$D, "*" &amp; L$2 &amp; "*", 'Bucket Counts'!$A:$A, "="&amp;$A76))</f>
        <v>0</v>
      </c>
      <c r="M76" s="398">
        <f>L66+SUM(K66:K76)</f>
        <v>0</v>
      </c>
      <c r="N76" s="17">
        <f>SUMIFS(Collection!$O:$O, Collection!$B:$B, "*" &amp; N$2 &amp; "*", Collection!$A:$A, "="&amp;$A76)</f>
        <v>0</v>
      </c>
      <c r="O76" s="17">
        <f>(SUMIFS('Bucket Counts'!$P:$P, 'Bucket Counts'!$D:$D, "*" &amp; O$2 &amp; "*", 'Bucket Counts'!$A:$A, "="&amp;$A76))</f>
        <v>0</v>
      </c>
      <c r="P76" s="398">
        <f>O66+SUM(N66:N76)</f>
        <v>15581.666666666666</v>
      </c>
      <c r="Q76" s="17">
        <f>SUMIFS(Collection!$O:$O, Collection!$B:$B, "*" &amp; Q$2 &amp; "*", Collection!$A:$A, "="&amp;$A76)</f>
        <v>0</v>
      </c>
      <c r="R76" s="17">
        <f>(SUMIFS('Bucket Counts'!$P:$P, 'Bucket Counts'!$D:$D, "*" &amp; R$2 &amp; "*", 'Bucket Counts'!$A:$A, "="&amp;$A76))</f>
        <v>0</v>
      </c>
      <c r="S76" s="398">
        <f>R66+SUM(Q66:Q76)</f>
        <v>0</v>
      </c>
      <c r="T76" s="17">
        <f>SUMIFS(Collection!$O:$O, Collection!$B:$B, "*" &amp; T$2 &amp; "*", Collection!$A:$A, "="&amp;$A76)</f>
        <v>0</v>
      </c>
      <c r="U76" s="17">
        <f>(SUMIFS('Bucket Counts'!$P:$P, 'Bucket Counts'!$D:$D, "*" &amp; U$2 &amp; "*", 'Bucket Counts'!$A:$A, "="&amp;$A76))</f>
        <v>0</v>
      </c>
      <c r="V76" s="398">
        <f>U66+SUM(T66:T76)</f>
        <v>0</v>
      </c>
      <c r="W76" s="17">
        <f>SUMIFS(Collection!$O:$O, Collection!$B:$B, "*" &amp; W$2 &amp; "*", Collection!$A:$A, "="&amp;$A76)</f>
        <v>0</v>
      </c>
      <c r="X76" s="17">
        <f>(SUMIFS('Bucket Counts'!$P:$P, 'Bucket Counts'!$D:$D, "*" &amp; X$2 &amp; "*", 'Bucket Counts'!$A:$A, "="&amp;$A76))</f>
        <v>0</v>
      </c>
      <c r="Y76" s="398">
        <f>X66+SUM(W66:W76)</f>
        <v>0</v>
      </c>
      <c r="Z76" s="17">
        <f>SUMIFS(Collection!$O:$O, Collection!$B:$B, "*" &amp; Z$2 &amp; "*", Collection!$A:$A, "="&amp;$A76)</f>
        <v>0</v>
      </c>
      <c r="AA76" s="17">
        <f>(SUMIFS('Bucket Counts'!$P:$P, 'Bucket Counts'!$D:$D, "*" &amp; AA$2 &amp; "*", 'Bucket Counts'!$A:$A, "="&amp;$A76))</f>
        <v>0</v>
      </c>
      <c r="AB76" s="398">
        <f>AA66+SUM(Z66:Z76)</f>
        <v>331.11111111111109</v>
      </c>
      <c r="AC76" s="17">
        <f>SUMIFS(Collection!$O:$O, Collection!$B:$B, "*" &amp; AC$2 &amp; "*", Collection!$A:$A, "="&amp;$A76)</f>
        <v>0</v>
      </c>
      <c r="AD76" s="17">
        <f>(SUMIFS('Bucket Counts'!$P:$P, 'Bucket Counts'!$D:$D, "*" &amp; AD$2 &amp; "*", 'Bucket Counts'!$A:$A, "="&amp;$A76))</f>
        <v>0</v>
      </c>
      <c r="AE76" s="398">
        <f>AD66+SUM(AC66:AC76)</f>
        <v>1675</v>
      </c>
      <c r="AF76" s="17">
        <f>SUMIFS(Collection!$O:$O, Collection!$B:$B, "*" &amp; AF$2 &amp; "*", Collection!$A:$A, "="&amp;$A76)</f>
        <v>0</v>
      </c>
      <c r="AG76" s="17">
        <f>(SUMIFS('Bucket Counts'!$P:$P, 'Bucket Counts'!$D:$D, "*" &amp; AG$2 &amp; "*", 'Bucket Counts'!$A:$A, "="&amp;$A76))</f>
        <v>0</v>
      </c>
      <c r="AH76" s="398">
        <f>AG66+SUM(AF66:AF76)</f>
        <v>0</v>
      </c>
      <c r="AI76" s="17">
        <f>SUMIFS(Collection!$O:$O, Collection!$B:$B, "*" &amp; AI$2 &amp; "*", Collection!$A:$A, "="&amp;$A76)</f>
        <v>0</v>
      </c>
      <c r="AJ76" s="17">
        <f>(SUMIFS('Bucket Counts'!$P:$P, 'Bucket Counts'!$D:$D, "*" &amp; AJ$2 &amp; "*", 'Bucket Counts'!$A:$A, "="&amp;$A76))</f>
        <v>0</v>
      </c>
      <c r="AK76" s="398">
        <f>AJ66+SUM(AI66:AI76)</f>
        <v>199.99999999999997</v>
      </c>
      <c r="AL76" s="17">
        <f>SUMIFS(Collection!$O:$O, Collection!$B:$B, "*" &amp; AL$2 &amp; "*", Collection!$A:$A, "="&amp;$A76)</f>
        <v>0</v>
      </c>
      <c r="AM76" s="17">
        <f>(SUMIFS('Bucket Counts'!$P:$P, 'Bucket Counts'!$D:$D, "*" &amp; AM$2 &amp; "*", 'Bucket Counts'!$A:$A, "="&amp;$A76))</f>
        <v>0</v>
      </c>
      <c r="AN76" s="398">
        <f>AM66+SUM(AL66:AL76)</f>
        <v>0</v>
      </c>
      <c r="AO76" s="17">
        <f>SUMIFS(Collection!$O:$O, Collection!$B:$B, "*" &amp; AO$2 &amp; "*", Collection!$A:$A, "="&amp;$A76)</f>
        <v>0</v>
      </c>
      <c r="AP76" s="17">
        <f>(SUMIFS('Bucket Counts'!$P:$P, 'Bucket Counts'!$D:$D, "*" &amp; AP$2 &amp; "*", 'Bucket Counts'!$A:$A, "="&amp;$A76))</f>
        <v>0</v>
      </c>
      <c r="AQ76" s="398">
        <f>AP66+SUM(AO66:AO76)</f>
        <v>0</v>
      </c>
      <c r="AR76" s="17">
        <f>SUMIFS(Collection!$O:$O, Collection!$B:$B, "*" &amp; AR$2 &amp; "*", Collection!$A:$A, "="&amp;$A76)</f>
        <v>0</v>
      </c>
      <c r="AS76" s="17">
        <f>(SUMIFS('Bucket Counts'!$P:$P, 'Bucket Counts'!$D:$D, "*" &amp; AS$2 &amp; "*", 'Bucket Counts'!$A:$A, "="&amp;$A76))</f>
        <v>0</v>
      </c>
      <c r="AT76" s="398">
        <f>AS66+SUM(AR66:AR76)</f>
        <v>93.333333333333314</v>
      </c>
      <c r="AU76" s="17">
        <f>SUMIFS(Collection!$O:$O, Collection!$B:$B, "*" &amp; AU$2 &amp; "*", Collection!$A:$A, "="&amp;$A76)</f>
        <v>0</v>
      </c>
      <c r="AV76" s="17">
        <f>(SUMIFS('Bucket Counts'!$P:$P, 'Bucket Counts'!$D:$D, "*" &amp; AV$2 &amp; "*", 'Bucket Counts'!$A:$A, "="&amp;$A76))</f>
        <v>0</v>
      </c>
      <c r="AW76" s="398">
        <f>AV66+SUM(AU66:AU76)</f>
        <v>0</v>
      </c>
    </row>
    <row r="77" spans="1:49">
      <c r="C77" s="394"/>
      <c r="D77" s="400"/>
      <c r="F77" s="394"/>
      <c r="G77" s="400"/>
      <c r="I77" s="394"/>
      <c r="J77" s="400"/>
      <c r="L77" s="393"/>
      <c r="M77" s="400"/>
      <c r="O77" s="393"/>
      <c r="P77" s="400"/>
      <c r="R77" s="393"/>
      <c r="S77" s="400"/>
      <c r="U77" s="393"/>
      <c r="V77" s="400"/>
      <c r="X77" s="393"/>
      <c r="Y77" s="400"/>
      <c r="AA77" s="393"/>
      <c r="AB77" s="400"/>
      <c r="AD77" s="393"/>
      <c r="AE77" s="400"/>
      <c r="AG77" s="393"/>
      <c r="AH77" s="400"/>
      <c r="AJ77" s="393"/>
      <c r="AK77" s="400"/>
      <c r="AM77" s="393"/>
      <c r="AN77" s="400"/>
      <c r="AP77" s="393"/>
      <c r="AQ77" s="400"/>
      <c r="AS77" s="393"/>
      <c r="AT77" s="400"/>
      <c r="AV77" s="393"/>
      <c r="AW77" s="400"/>
    </row>
    <row r="78" spans="1:49">
      <c r="A78" t="s">
        <v>400</v>
      </c>
      <c r="B78" s="401">
        <f>SUM(B4:B76)</f>
        <v>319276.66666666669</v>
      </c>
      <c r="C78" s="394"/>
      <c r="D78" s="400"/>
      <c r="E78" s="401">
        <f>SUM(E4:E76)</f>
        <v>211416.66666666663</v>
      </c>
      <c r="F78" s="394"/>
      <c r="G78" s="400"/>
      <c r="H78" s="401">
        <f>SUM(H4:H76)</f>
        <v>131675.00000000003</v>
      </c>
      <c r="I78" s="394"/>
      <c r="J78" s="400"/>
      <c r="K78" s="53">
        <f>SUM(K4:K76)</f>
        <v>371015.55555555556</v>
      </c>
      <c r="L78" s="393"/>
      <c r="M78" s="400"/>
      <c r="N78" s="53">
        <f>SUM(N4:N76)</f>
        <v>950793.33333333326</v>
      </c>
      <c r="O78" s="393"/>
      <c r="P78" s="400"/>
      <c r="Q78" s="53">
        <f>SUM(Q4:Q76)</f>
        <v>660449.99999999988</v>
      </c>
      <c r="R78" s="393"/>
      <c r="S78" s="400"/>
      <c r="T78" s="53">
        <f>SUM(T4:T76)</f>
        <v>477403.33333333331</v>
      </c>
      <c r="U78" s="393"/>
      <c r="V78" s="400"/>
      <c r="W78" s="53">
        <f>SUM(W4:W76)</f>
        <v>532416.66666666674</v>
      </c>
      <c r="X78" s="393"/>
      <c r="Y78" s="400"/>
      <c r="Z78" s="53">
        <f>SUM(Z4:Z76)</f>
        <v>283857.77777777775</v>
      </c>
      <c r="AA78" s="393"/>
      <c r="AB78" s="400"/>
      <c r="AC78" s="53">
        <f>SUM(AC4:AC76)</f>
        <v>310875</v>
      </c>
      <c r="AD78" s="393"/>
      <c r="AE78" s="400"/>
      <c r="AF78" s="53">
        <f>SUM(AF4:AF76)</f>
        <v>65666.666666666672</v>
      </c>
      <c r="AG78" s="393"/>
      <c r="AH78" s="400"/>
      <c r="AI78" s="53">
        <f>SUM(AI4:AI76)</f>
        <v>255370.55555555556</v>
      </c>
      <c r="AJ78" s="393"/>
      <c r="AK78" s="400"/>
      <c r="AL78" s="53">
        <f>SUM(AL4:AL76)</f>
        <v>324165.00000000006</v>
      </c>
      <c r="AM78" s="393"/>
      <c r="AN78" s="400"/>
      <c r="AO78" s="53">
        <f>SUM(AO4:AO76)</f>
        <v>11916.666666666666</v>
      </c>
      <c r="AP78" s="393"/>
      <c r="AQ78" s="400"/>
      <c r="AR78" s="53">
        <f>SUM(AR4:AR76)</f>
        <v>353768.33333333326</v>
      </c>
      <c r="AS78" s="393"/>
      <c r="AT78" s="400"/>
      <c r="AU78" s="53">
        <f>SUM(AU4:AU76)</f>
        <v>179716.66666666666</v>
      </c>
      <c r="AV78" s="393"/>
      <c r="AW78" s="400"/>
    </row>
    <row r="79" spans="1:49">
      <c r="C79" s="394"/>
      <c r="D79" s="400"/>
      <c r="E79" s="403"/>
      <c r="F79" s="394"/>
      <c r="G79" s="400"/>
      <c r="H79" s="403"/>
      <c r="I79" s="394"/>
      <c r="J79" s="400"/>
      <c r="L79" s="393"/>
      <c r="M79" s="400"/>
      <c r="O79" s="393"/>
      <c r="P79" s="400"/>
      <c r="R79" s="393"/>
      <c r="S79" s="400"/>
      <c r="U79" s="393"/>
      <c r="V79" s="400"/>
      <c r="X79" s="393"/>
      <c r="Y79" s="400"/>
      <c r="Z79" s="24"/>
      <c r="AA79" s="393"/>
      <c r="AB79" s="400"/>
      <c r="AD79" s="393"/>
      <c r="AE79" s="400"/>
      <c r="AG79" s="393"/>
      <c r="AH79" s="400"/>
      <c r="AJ79" s="393"/>
      <c r="AK79" s="400"/>
      <c r="AM79" s="393"/>
      <c r="AN79" s="400"/>
      <c r="AP79" s="393"/>
      <c r="AQ79" s="400"/>
      <c r="AS79" s="393"/>
      <c r="AT79" s="400"/>
      <c r="AV79" s="393"/>
      <c r="AW79" s="400"/>
    </row>
    <row r="80" spans="1:49">
      <c r="C80" s="394"/>
      <c r="D80" s="400"/>
      <c r="E80" s="403"/>
      <c r="F80" s="394"/>
      <c r="G80" s="400"/>
      <c r="H80" s="403"/>
      <c r="I80" s="394"/>
      <c r="J80" s="400"/>
      <c r="L80" s="393"/>
      <c r="M80" s="400"/>
      <c r="O80" s="393"/>
      <c r="P80" s="400"/>
      <c r="R80" s="393"/>
      <c r="S80" s="400"/>
      <c r="U80" s="393"/>
      <c r="V80" s="400"/>
      <c r="X80" s="393"/>
      <c r="Y80" s="400"/>
      <c r="Z80" s="24"/>
      <c r="AA80" s="393"/>
      <c r="AB80" s="400"/>
      <c r="AD80" s="393"/>
      <c r="AE80" s="400"/>
      <c r="AG80" s="393"/>
      <c r="AH80" s="400"/>
      <c r="AJ80" s="393"/>
      <c r="AK80" s="400"/>
      <c r="AM80" s="393"/>
      <c r="AN80" s="400"/>
      <c r="AP80" s="393"/>
      <c r="AQ80" s="400"/>
      <c r="AS80" s="393"/>
      <c r="AT80" s="400"/>
      <c r="AV80" s="393"/>
      <c r="AW80" s="40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23"/>
  <sheetViews>
    <sheetView tabSelected="1" showRuler="0" topLeftCell="A252" zoomScale="90" zoomScaleNormal="90" zoomScalePageLayoutView="90" workbookViewId="0">
      <selection activeCell="J263" sqref="J263"/>
    </sheetView>
  </sheetViews>
  <sheetFormatPr baseColWidth="10" defaultRowHeight="15" x14ac:dyDescent="0"/>
  <cols>
    <col min="1" max="1" width="10.83203125" customWidth="1"/>
    <col min="2" max="2" width="13.83203125" customWidth="1"/>
    <col min="3" max="6" width="10.83203125" customWidth="1"/>
    <col min="8" max="8" width="19" customWidth="1"/>
  </cols>
  <sheetData>
    <row r="1" spans="2:11">
      <c r="B1" s="54" t="s">
        <v>401</v>
      </c>
      <c r="C1" s="54" t="s">
        <v>477</v>
      </c>
      <c r="D1" s="54" t="s">
        <v>403</v>
      </c>
      <c r="E1" s="54" t="s">
        <v>409</v>
      </c>
      <c r="F1" s="54" t="s">
        <v>473</v>
      </c>
      <c r="G1" s="54" t="s">
        <v>474</v>
      </c>
      <c r="H1" s="54" t="s">
        <v>475</v>
      </c>
      <c r="I1" s="54"/>
      <c r="J1" s="54" t="s">
        <v>444</v>
      </c>
      <c r="K1" s="54" t="s">
        <v>411</v>
      </c>
    </row>
    <row r="2" spans="2:11" s="408" customFormat="1">
      <c r="B2" s="408" t="s">
        <v>466</v>
      </c>
      <c r="C2" s="408">
        <f>COUNTA(G20:Z29,G287:Z293)</f>
        <v>330</v>
      </c>
      <c r="D2" s="414">
        <f>AVERAGE(G20:Z29,G287:Z293)</f>
        <v>6.9606060606060636</v>
      </c>
      <c r="E2" s="416">
        <f>STDEV(G20:Z29,G287:Z293)</f>
        <v>2.3239927901602697</v>
      </c>
      <c r="F2" s="408">
        <v>1311</v>
      </c>
      <c r="G2" s="415">
        <f>C2/F2</f>
        <v>0.25171624713958812</v>
      </c>
      <c r="H2" s="416">
        <f>0.25*F2</f>
        <v>327.75</v>
      </c>
      <c r="I2" s="417"/>
      <c r="K2" s="419" t="s">
        <v>412</v>
      </c>
    </row>
    <row r="3" spans="2:11" s="408" customFormat="1">
      <c r="B3" s="408" t="s">
        <v>469</v>
      </c>
      <c r="C3" s="408">
        <f>COUNTA(G294:Z307)</f>
        <v>280</v>
      </c>
      <c r="D3" s="414">
        <f>AVERAGE(G294:Z307)</f>
        <v>6.5542857142857196</v>
      </c>
      <c r="E3" s="416">
        <f>STDEV(G294:Z307)</f>
        <v>2.8994643289368516</v>
      </c>
      <c r="F3" s="408">
        <v>1091</v>
      </c>
      <c r="G3" s="415">
        <f t="shared" ref="G3:G17" si="0">C3/F3</f>
        <v>0.25664527956003669</v>
      </c>
      <c r="H3" s="416">
        <f>0.25*F3</f>
        <v>272.75</v>
      </c>
      <c r="I3" s="417"/>
    </row>
    <row r="4" spans="2:11">
      <c r="B4" t="s">
        <v>410</v>
      </c>
      <c r="C4">
        <f>COUNTA(G31:Z59)</f>
        <v>461</v>
      </c>
      <c r="D4" s="410">
        <f>AVERAGE(G31:Z59)</f>
        <v>6.6475869565217396</v>
      </c>
      <c r="E4" s="393">
        <f>STDEV(G31:Z59)</f>
        <v>1.7942989003007168</v>
      </c>
      <c r="F4">
        <v>501</v>
      </c>
      <c r="G4" s="412">
        <f t="shared" si="0"/>
        <v>0.92015968063872255</v>
      </c>
      <c r="H4" s="393">
        <f t="shared" ref="H4:H17" si="1">0.25*F4</f>
        <v>125.25</v>
      </c>
      <c r="I4" s="404"/>
    </row>
    <row r="5" spans="2:11">
      <c r="B5" t="s">
        <v>413</v>
      </c>
      <c r="C5">
        <f>COUNTA(G62:Z90)</f>
        <v>460</v>
      </c>
      <c r="D5" s="410">
        <f>AVERAGE(G62:Z90)</f>
        <v>5.89886710239651</v>
      </c>
      <c r="E5" s="393">
        <f>STDEV(G62:Z90)</f>
        <v>1.7462427606844853</v>
      </c>
      <c r="F5">
        <v>834</v>
      </c>
      <c r="G5" s="411">
        <f t="shared" si="0"/>
        <v>0.55155875299760193</v>
      </c>
      <c r="H5" s="393">
        <f t="shared" si="1"/>
        <v>208.5</v>
      </c>
      <c r="I5" s="404"/>
    </row>
    <row r="6" spans="2:11" s="408" customFormat="1">
      <c r="B6" s="408" t="s">
        <v>470</v>
      </c>
      <c r="C6" s="408">
        <f>COUNTA(G281:Z285)</f>
        <v>100</v>
      </c>
      <c r="D6" s="414">
        <f>AVERAGE(G281:Z285)</f>
        <v>10.712000000000005</v>
      </c>
      <c r="E6" s="416">
        <f>STDEV(G281:Z285)</f>
        <v>3.6714764596738592</v>
      </c>
      <c r="F6" s="408">
        <v>259</v>
      </c>
      <c r="G6" s="415">
        <f t="shared" si="0"/>
        <v>0.38610038610038611</v>
      </c>
      <c r="H6" s="416">
        <f t="shared" si="1"/>
        <v>64.75</v>
      </c>
      <c r="I6" s="417"/>
    </row>
    <row r="7" spans="2:11" s="408" customFormat="1">
      <c r="B7" s="408" t="s">
        <v>471</v>
      </c>
      <c r="C7" s="408">
        <f>COUNTA(G275:Z280)</f>
        <v>103</v>
      </c>
      <c r="D7" s="414">
        <f>AVERAGE(G275:Z280)</f>
        <v>13.299902912621357</v>
      </c>
      <c r="E7" s="416">
        <f>STDEV(G275:Z280)</f>
        <v>4.518564212169756</v>
      </c>
      <c r="F7" s="408">
        <v>122</v>
      </c>
      <c r="G7" s="415">
        <f t="shared" si="0"/>
        <v>0.84426229508196726</v>
      </c>
      <c r="H7" s="416">
        <f t="shared" si="1"/>
        <v>30.5</v>
      </c>
      <c r="I7" s="417"/>
    </row>
    <row r="8" spans="2:11">
      <c r="B8" t="s">
        <v>472</v>
      </c>
      <c r="C8">
        <f>COUNTA(G92:S115)</f>
        <v>312</v>
      </c>
      <c r="D8" s="410">
        <f>AVERAGE(G92:S115)</f>
        <v>10.956089743589736</v>
      </c>
      <c r="E8" s="393">
        <f>STDEV(G92:S115)</f>
        <v>3.7231112000580202</v>
      </c>
      <c r="F8">
        <v>372</v>
      </c>
      <c r="G8" s="411">
        <f t="shared" si="0"/>
        <v>0.83870967741935487</v>
      </c>
      <c r="H8" s="393">
        <f t="shared" si="1"/>
        <v>93</v>
      </c>
      <c r="I8" s="404"/>
    </row>
    <row r="9" spans="2:11">
      <c r="B9" t="s">
        <v>456</v>
      </c>
      <c r="C9">
        <f>COUNTA(G117:S140)</f>
        <v>312</v>
      </c>
      <c r="D9" s="410">
        <f>AVERAGE(G117:S140)</f>
        <v>7.6397435897435884</v>
      </c>
      <c r="E9" s="393">
        <f>STDEV(G117:S140)</f>
        <v>4.0368108371195159</v>
      </c>
      <c r="F9">
        <v>341</v>
      </c>
      <c r="G9" s="411">
        <f t="shared" si="0"/>
        <v>0.91495601173020524</v>
      </c>
      <c r="H9" s="393">
        <f t="shared" si="1"/>
        <v>85.25</v>
      </c>
      <c r="I9" s="404"/>
    </row>
    <row r="10" spans="2:11">
      <c r="B10" t="s">
        <v>465</v>
      </c>
      <c r="C10">
        <f>COUNTA(G141:Z150)</f>
        <v>200</v>
      </c>
      <c r="D10" s="410">
        <f>AVERAGE(G141:Z150)</f>
        <v>9.7396499999999993</v>
      </c>
      <c r="E10" s="393">
        <f>STDEV(G141:Z150)</f>
        <v>3.0462258348132067</v>
      </c>
      <c r="F10">
        <v>661</v>
      </c>
      <c r="G10" s="411">
        <f t="shared" si="0"/>
        <v>0.30257186081694404</v>
      </c>
      <c r="H10" s="393">
        <f t="shared" si="1"/>
        <v>165.25</v>
      </c>
      <c r="I10" s="404"/>
    </row>
    <row r="11" spans="2:11">
      <c r="B11" t="s">
        <v>462</v>
      </c>
      <c r="C11">
        <f>COUNTA(G151:Z154)</f>
        <v>74</v>
      </c>
      <c r="D11" s="410">
        <f>AVERAGE(G151:Z154)</f>
        <v>12.310270270270275</v>
      </c>
      <c r="E11" s="393">
        <f>STDEV(G151:Z154)</f>
        <v>5.3883491697613977</v>
      </c>
      <c r="F11">
        <v>77</v>
      </c>
      <c r="G11" s="411">
        <f t="shared" si="0"/>
        <v>0.96103896103896103</v>
      </c>
      <c r="H11" s="393">
        <f t="shared" si="1"/>
        <v>19.25</v>
      </c>
      <c r="I11" s="404"/>
    </row>
    <row r="12" spans="2:11" s="408" customFormat="1">
      <c r="B12" s="408" t="s">
        <v>402</v>
      </c>
      <c r="C12" s="408">
        <f>COUNTA(G156:U179,G286:Z286)</f>
        <v>380</v>
      </c>
      <c r="D12" s="414">
        <f>AVERAGE(G156:U179,G286:Z286)</f>
        <v>9.0154473684210554</v>
      </c>
      <c r="E12" s="416">
        <f>STDEV(G156:U179,G286:Z286)</f>
        <v>2.7293909088605064</v>
      </c>
      <c r="F12" s="408">
        <v>1508</v>
      </c>
      <c r="G12" s="415">
        <f>C12/F12</f>
        <v>0.25198938992042441</v>
      </c>
      <c r="H12" s="416">
        <f t="shared" si="1"/>
        <v>377</v>
      </c>
      <c r="I12" s="417"/>
    </row>
    <row r="13" spans="2:11">
      <c r="B13" t="s">
        <v>405</v>
      </c>
      <c r="C13">
        <f>COUNTA(G181:W204)</f>
        <v>363</v>
      </c>
      <c r="D13" s="410">
        <f>AVERAGE(G181:W204)</f>
        <v>8.4038016528925539</v>
      </c>
      <c r="E13" s="393">
        <f>STDEV(G181:W204)</f>
        <v>3.5228136331988318</v>
      </c>
      <c r="F13">
        <v>684</v>
      </c>
      <c r="G13" s="411">
        <f t="shared" si="0"/>
        <v>0.5307017543859649</v>
      </c>
      <c r="H13" s="393">
        <f t="shared" si="1"/>
        <v>171</v>
      </c>
      <c r="I13" s="404"/>
    </row>
    <row r="14" spans="2:11">
      <c r="B14" t="s">
        <v>463</v>
      </c>
      <c r="C14">
        <f>COUNTA(G205:Z207)</f>
        <v>47</v>
      </c>
      <c r="D14" s="410">
        <f>AVERAGE(G205:Z207)</f>
        <v>11.01595744680851</v>
      </c>
      <c r="E14" s="393">
        <f>STDEV(G205:Z207)</f>
        <v>3.7849126459246389</v>
      </c>
      <c r="F14" s="54">
        <v>54</v>
      </c>
      <c r="G14" s="413">
        <f t="shared" si="0"/>
        <v>0.87037037037037035</v>
      </c>
      <c r="H14" s="393">
        <f t="shared" si="1"/>
        <v>13.5</v>
      </c>
      <c r="I14" s="404"/>
    </row>
    <row r="15" spans="2:11">
      <c r="B15" t="s">
        <v>464</v>
      </c>
      <c r="C15">
        <f>COUNTA(G208:Z209)</f>
        <v>27</v>
      </c>
      <c r="D15" s="410">
        <f>AVERAGE(G208:Z209)</f>
        <v>12.218148148148149</v>
      </c>
      <c r="E15" s="393">
        <f>STDEV(G208:Z209)</f>
        <v>4.205674771650826</v>
      </c>
      <c r="F15" s="54">
        <v>35</v>
      </c>
      <c r="G15" s="413">
        <f t="shared" si="0"/>
        <v>0.77142857142857146</v>
      </c>
      <c r="H15" s="393">
        <f t="shared" si="1"/>
        <v>8.75</v>
      </c>
      <c r="I15" s="404"/>
    </row>
    <row r="16" spans="2:11">
      <c r="B16" t="s">
        <v>445</v>
      </c>
      <c r="C16">
        <f>COUNTA(G211:K234)</f>
        <v>120</v>
      </c>
      <c r="D16" s="410">
        <f>AVERAGE(G211:K234)</f>
        <v>11.187749999999994</v>
      </c>
      <c r="E16" s="393">
        <f>STDEV(G211:K234)</f>
        <v>3.4789145082140638</v>
      </c>
      <c r="F16" s="54">
        <v>128</v>
      </c>
      <c r="G16" s="413">
        <f t="shared" si="0"/>
        <v>0.9375</v>
      </c>
      <c r="H16" s="393">
        <f t="shared" si="1"/>
        <v>32</v>
      </c>
      <c r="I16" s="404"/>
    </row>
    <row r="17" spans="1:36">
      <c r="B17" t="s">
        <v>447</v>
      </c>
      <c r="C17">
        <f>COUNTA(G236:K273)</f>
        <v>190</v>
      </c>
      <c r="D17" s="410">
        <f>AVERAGE(G236:K273)</f>
        <v>11.018578947368422</v>
      </c>
      <c r="E17" s="393">
        <f>STDEV(G236:K273)</f>
        <v>3.4102738616120902</v>
      </c>
      <c r="F17" s="54">
        <v>211</v>
      </c>
      <c r="G17" s="413">
        <f t="shared" si="0"/>
        <v>0.90047393364928907</v>
      </c>
      <c r="H17" s="393">
        <f t="shared" si="1"/>
        <v>52.75</v>
      </c>
      <c r="I17" s="404"/>
    </row>
    <row r="19" spans="1:36">
      <c r="A19" s="54" t="s">
        <v>443</v>
      </c>
      <c r="B19" s="54" t="s">
        <v>401</v>
      </c>
      <c r="C19" s="54" t="s">
        <v>449</v>
      </c>
      <c r="D19" s="54" t="s">
        <v>450</v>
      </c>
      <c r="E19" s="54" t="s">
        <v>442</v>
      </c>
      <c r="F19" s="54" t="s">
        <v>414</v>
      </c>
      <c r="G19" s="54" t="s">
        <v>415</v>
      </c>
      <c r="H19" s="54" t="s">
        <v>416</v>
      </c>
      <c r="I19" t="s">
        <v>417</v>
      </c>
      <c r="J19" t="s">
        <v>418</v>
      </c>
      <c r="K19" s="54" t="s">
        <v>419</v>
      </c>
      <c r="L19" s="54" t="s">
        <v>420</v>
      </c>
      <c r="M19" s="54" t="s">
        <v>421</v>
      </c>
      <c r="N19" s="54" t="s">
        <v>422</v>
      </c>
      <c r="O19" s="54" t="s">
        <v>423</v>
      </c>
      <c r="P19" s="54" t="s">
        <v>424</v>
      </c>
      <c r="Q19" s="54" t="s">
        <v>425</v>
      </c>
      <c r="R19" s="54" t="s">
        <v>427</v>
      </c>
      <c r="S19" s="54" t="s">
        <v>426</v>
      </c>
      <c r="T19" s="54" t="s">
        <v>428</v>
      </c>
      <c r="U19" s="54" t="s">
        <v>429</v>
      </c>
      <c r="V19" s="54" t="s">
        <v>430</v>
      </c>
      <c r="W19" s="54" t="s">
        <v>431</v>
      </c>
      <c r="X19" s="54" t="s">
        <v>432</v>
      </c>
      <c r="Y19" s="54" t="s">
        <v>433</v>
      </c>
      <c r="Z19" s="54" t="s">
        <v>434</v>
      </c>
      <c r="AA19" s="54" t="s">
        <v>435</v>
      </c>
      <c r="AB19" s="54" t="s">
        <v>436</v>
      </c>
      <c r="AC19" s="54" t="s">
        <v>437</v>
      </c>
      <c r="AD19" s="54" t="s">
        <v>438</v>
      </c>
      <c r="AE19" s="54" t="s">
        <v>439</v>
      </c>
      <c r="AF19" s="54" t="s">
        <v>440</v>
      </c>
      <c r="AG19" s="54" t="s">
        <v>441</v>
      </c>
    </row>
    <row r="20" spans="1:36">
      <c r="A20" t="s">
        <v>461</v>
      </c>
      <c r="B20" t="s">
        <v>466</v>
      </c>
      <c r="C20" t="s">
        <v>452</v>
      </c>
      <c r="D20" t="s">
        <v>468</v>
      </c>
      <c r="E20" t="s">
        <v>461</v>
      </c>
      <c r="F20" t="s">
        <v>461</v>
      </c>
      <c r="G20">
        <v>9.67</v>
      </c>
      <c r="H20">
        <v>7.25</v>
      </c>
      <c r="I20">
        <v>7.27</v>
      </c>
      <c r="J20">
        <v>7.63</v>
      </c>
      <c r="K20">
        <v>12.46</v>
      </c>
      <c r="L20">
        <v>6.52</v>
      </c>
      <c r="M20">
        <v>9.6</v>
      </c>
      <c r="N20">
        <v>5.75</v>
      </c>
      <c r="O20">
        <v>10.81</v>
      </c>
      <c r="P20">
        <v>8.76</v>
      </c>
      <c r="Q20">
        <v>8.49</v>
      </c>
      <c r="R20">
        <v>6.36</v>
      </c>
      <c r="S20">
        <v>7.29</v>
      </c>
      <c r="T20">
        <v>8.89</v>
      </c>
      <c r="U20">
        <v>8.82</v>
      </c>
      <c r="V20">
        <v>10.86</v>
      </c>
      <c r="W20">
        <v>7.56</v>
      </c>
      <c r="X20">
        <v>9.1999999999999993</v>
      </c>
      <c r="Y20">
        <v>4.92</v>
      </c>
      <c r="Z20">
        <v>4.07</v>
      </c>
    </row>
    <row r="21" spans="1:36">
      <c r="A21" t="s">
        <v>461</v>
      </c>
      <c r="B21" t="s">
        <v>466</v>
      </c>
      <c r="C21" t="s">
        <v>452</v>
      </c>
      <c r="D21" t="s">
        <v>468</v>
      </c>
      <c r="E21" t="s">
        <v>461</v>
      </c>
      <c r="F21" t="s">
        <v>461</v>
      </c>
      <c r="G21">
        <v>5.8</v>
      </c>
      <c r="H21">
        <v>4.92</v>
      </c>
      <c r="I21">
        <v>8.57</v>
      </c>
      <c r="J21">
        <v>8.98</v>
      </c>
      <c r="K21">
        <v>7.21</v>
      </c>
      <c r="L21">
        <v>9.92</v>
      </c>
      <c r="M21">
        <v>7.68</v>
      </c>
      <c r="N21">
        <v>4.24</v>
      </c>
      <c r="O21">
        <v>10.09</v>
      </c>
      <c r="P21">
        <v>7.67</v>
      </c>
      <c r="Q21">
        <v>5.23</v>
      </c>
      <c r="R21">
        <v>8.92</v>
      </c>
      <c r="S21">
        <v>6.63</v>
      </c>
      <c r="T21">
        <v>7.07</v>
      </c>
      <c r="U21">
        <v>6.94</v>
      </c>
      <c r="V21">
        <v>7.05</v>
      </c>
      <c r="W21">
        <v>8.5399999999999991</v>
      </c>
      <c r="X21">
        <v>8.24</v>
      </c>
      <c r="Y21">
        <v>10.55</v>
      </c>
      <c r="Z21">
        <v>3.27</v>
      </c>
    </row>
    <row r="22" spans="1:36">
      <c r="A22" t="s">
        <v>461</v>
      </c>
      <c r="B22" t="s">
        <v>466</v>
      </c>
      <c r="C22" t="s">
        <v>452</v>
      </c>
      <c r="D22" t="s">
        <v>468</v>
      </c>
      <c r="E22" t="s">
        <v>461</v>
      </c>
      <c r="F22" t="s">
        <v>461</v>
      </c>
      <c r="G22">
        <v>7.9</v>
      </c>
      <c r="H22">
        <v>9.16</v>
      </c>
      <c r="I22">
        <v>6.63</v>
      </c>
      <c r="J22">
        <v>6.76</v>
      </c>
      <c r="K22">
        <v>4.5199999999999996</v>
      </c>
      <c r="L22">
        <v>5.4</v>
      </c>
      <c r="M22">
        <v>10.050000000000001</v>
      </c>
      <c r="N22">
        <v>9.59</v>
      </c>
      <c r="O22">
        <v>5.57</v>
      </c>
      <c r="P22">
        <v>6.69</v>
      </c>
      <c r="Q22">
        <v>7.06</v>
      </c>
      <c r="R22">
        <v>9.99</v>
      </c>
      <c r="S22">
        <v>7.93</v>
      </c>
      <c r="T22">
        <v>7.26</v>
      </c>
      <c r="U22">
        <v>7.87</v>
      </c>
      <c r="V22">
        <v>5.7</v>
      </c>
      <c r="W22">
        <v>7.59</v>
      </c>
      <c r="X22">
        <v>6.65</v>
      </c>
      <c r="Y22">
        <v>9.1999999999999993</v>
      </c>
      <c r="Z22">
        <v>7.76</v>
      </c>
    </row>
    <row r="23" spans="1:36">
      <c r="A23" t="s">
        <v>461</v>
      </c>
      <c r="B23" t="s">
        <v>466</v>
      </c>
      <c r="C23" t="s">
        <v>452</v>
      </c>
      <c r="D23" t="s">
        <v>468</v>
      </c>
      <c r="E23" t="s">
        <v>461</v>
      </c>
      <c r="F23" t="s">
        <v>461</v>
      </c>
      <c r="G23">
        <v>5.85</v>
      </c>
      <c r="H23">
        <v>7.93</v>
      </c>
      <c r="I23">
        <v>5.21</v>
      </c>
      <c r="J23">
        <v>8.15</v>
      </c>
      <c r="K23">
        <v>7.49</v>
      </c>
      <c r="L23">
        <v>6.11</v>
      </c>
      <c r="M23">
        <v>10.58</v>
      </c>
      <c r="N23">
        <v>6.76</v>
      </c>
      <c r="O23">
        <v>8.56</v>
      </c>
      <c r="P23">
        <v>10.52</v>
      </c>
      <c r="Q23">
        <v>8.8800000000000008</v>
      </c>
      <c r="R23">
        <v>7.34</v>
      </c>
      <c r="S23">
        <v>6.85</v>
      </c>
      <c r="T23">
        <v>5.14</v>
      </c>
      <c r="U23">
        <v>4.99</v>
      </c>
      <c r="V23">
        <v>6.01</v>
      </c>
      <c r="W23">
        <v>4.6399999999999997</v>
      </c>
      <c r="X23">
        <v>4.5599999999999996</v>
      </c>
      <c r="Y23">
        <v>8.07</v>
      </c>
      <c r="Z23">
        <v>2.58</v>
      </c>
    </row>
    <row r="24" spans="1:36">
      <c r="A24" t="s">
        <v>461</v>
      </c>
      <c r="B24" t="s">
        <v>466</v>
      </c>
      <c r="C24" t="s">
        <v>452</v>
      </c>
      <c r="D24" t="s">
        <v>468</v>
      </c>
      <c r="E24" t="s">
        <v>461</v>
      </c>
      <c r="F24" t="s">
        <v>461</v>
      </c>
      <c r="G24">
        <v>5.07</v>
      </c>
      <c r="H24">
        <v>4.84</v>
      </c>
      <c r="I24">
        <v>2.5</v>
      </c>
      <c r="J24">
        <v>8.02</v>
      </c>
      <c r="K24">
        <v>5.73</v>
      </c>
      <c r="L24">
        <v>3.46</v>
      </c>
      <c r="M24">
        <v>8.48</v>
      </c>
      <c r="N24">
        <v>9.07</v>
      </c>
      <c r="O24">
        <v>7.68</v>
      </c>
      <c r="P24">
        <v>5.67</v>
      </c>
      <c r="Q24">
        <v>6.23</v>
      </c>
      <c r="R24">
        <v>3.77</v>
      </c>
      <c r="S24">
        <v>5.75</v>
      </c>
      <c r="T24">
        <v>4.05</v>
      </c>
      <c r="U24">
        <v>6.88</v>
      </c>
      <c r="V24">
        <v>16.37</v>
      </c>
      <c r="W24">
        <v>15.09</v>
      </c>
      <c r="X24">
        <v>8.27</v>
      </c>
      <c r="Y24">
        <v>9.8000000000000007</v>
      </c>
      <c r="Z24">
        <v>5.53</v>
      </c>
    </row>
    <row r="25" spans="1:36">
      <c r="A25" t="s">
        <v>461</v>
      </c>
      <c r="B25" t="s">
        <v>466</v>
      </c>
      <c r="C25" t="s">
        <v>452</v>
      </c>
      <c r="D25" t="s">
        <v>468</v>
      </c>
      <c r="E25" t="s">
        <v>461</v>
      </c>
      <c r="F25" t="s">
        <v>461</v>
      </c>
      <c r="G25">
        <v>6.38</v>
      </c>
      <c r="H25">
        <v>4.33</v>
      </c>
      <c r="I25">
        <v>6.94</v>
      </c>
      <c r="J25">
        <v>5.86</v>
      </c>
      <c r="K25">
        <v>3.35</v>
      </c>
      <c r="L25">
        <v>9.7899999999999991</v>
      </c>
      <c r="M25">
        <v>7.63</v>
      </c>
      <c r="N25">
        <v>7.37</v>
      </c>
      <c r="O25">
        <v>8.81</v>
      </c>
      <c r="P25">
        <v>5.65</v>
      </c>
      <c r="Q25">
        <v>9.25</v>
      </c>
      <c r="R25">
        <v>6.83</v>
      </c>
      <c r="S25">
        <v>7.94</v>
      </c>
      <c r="T25">
        <v>5.55</v>
      </c>
      <c r="U25">
        <v>12.84</v>
      </c>
      <c r="V25">
        <v>3.52</v>
      </c>
      <c r="W25">
        <v>10.38</v>
      </c>
      <c r="X25">
        <v>10.06</v>
      </c>
      <c r="Y25">
        <v>3.87</v>
      </c>
      <c r="Z25">
        <v>11.33</v>
      </c>
    </row>
    <row r="26" spans="1:36">
      <c r="A26" t="s">
        <v>461</v>
      </c>
      <c r="B26" t="s">
        <v>466</v>
      </c>
      <c r="C26" t="s">
        <v>452</v>
      </c>
      <c r="D26" t="s">
        <v>468</v>
      </c>
      <c r="E26" t="s">
        <v>461</v>
      </c>
      <c r="F26" t="s">
        <v>461</v>
      </c>
      <c r="G26">
        <v>5.47</v>
      </c>
      <c r="H26">
        <v>11.92</v>
      </c>
      <c r="I26">
        <v>5.88</v>
      </c>
      <c r="J26">
        <v>8.15</v>
      </c>
      <c r="K26">
        <v>8.3000000000000007</v>
      </c>
      <c r="L26">
        <v>5.59</v>
      </c>
      <c r="M26">
        <v>9.42</v>
      </c>
      <c r="N26">
        <v>9.24</v>
      </c>
      <c r="O26">
        <v>6.52</v>
      </c>
      <c r="P26">
        <v>8.02</v>
      </c>
      <c r="Q26">
        <v>6.57</v>
      </c>
      <c r="R26">
        <v>4.5</v>
      </c>
      <c r="S26">
        <v>6.87</v>
      </c>
      <c r="T26">
        <v>6.7</v>
      </c>
      <c r="U26">
        <v>6.36</v>
      </c>
      <c r="V26">
        <v>6.09</v>
      </c>
      <c r="W26">
        <v>6.47</v>
      </c>
      <c r="X26">
        <v>12.26</v>
      </c>
      <c r="Y26">
        <v>8.66</v>
      </c>
      <c r="Z26">
        <v>5.62</v>
      </c>
    </row>
    <row r="27" spans="1:36">
      <c r="A27" t="s">
        <v>461</v>
      </c>
      <c r="B27" t="s">
        <v>466</v>
      </c>
      <c r="C27" t="s">
        <v>452</v>
      </c>
      <c r="D27" t="s">
        <v>468</v>
      </c>
      <c r="E27" t="s">
        <v>461</v>
      </c>
      <c r="F27" t="s">
        <v>461</v>
      </c>
      <c r="G27">
        <v>5.45</v>
      </c>
      <c r="H27">
        <v>10.26</v>
      </c>
      <c r="I27">
        <v>5.47</v>
      </c>
      <c r="J27">
        <v>8.3699999999999992</v>
      </c>
      <c r="K27">
        <v>5.28</v>
      </c>
      <c r="L27">
        <v>5.49</v>
      </c>
      <c r="M27">
        <v>10.61</v>
      </c>
      <c r="N27">
        <v>6.45</v>
      </c>
      <c r="O27">
        <v>9.1</v>
      </c>
      <c r="P27">
        <v>8.98</v>
      </c>
      <c r="Q27">
        <v>6.2</v>
      </c>
      <c r="R27">
        <v>4.72</v>
      </c>
      <c r="S27">
        <v>7.2</v>
      </c>
      <c r="T27">
        <v>4.95</v>
      </c>
      <c r="U27">
        <v>3.57</v>
      </c>
      <c r="V27">
        <v>9.39</v>
      </c>
      <c r="W27">
        <v>8.24</v>
      </c>
      <c r="X27">
        <v>10.26</v>
      </c>
      <c r="Y27">
        <v>4.58</v>
      </c>
      <c r="Z27">
        <v>4.76</v>
      </c>
    </row>
    <row r="28" spans="1:36">
      <c r="A28" t="s">
        <v>461</v>
      </c>
      <c r="B28" t="s">
        <v>466</v>
      </c>
      <c r="C28" t="s">
        <v>452</v>
      </c>
      <c r="D28" t="s">
        <v>468</v>
      </c>
      <c r="E28" t="s">
        <v>461</v>
      </c>
      <c r="F28" t="s">
        <v>461</v>
      </c>
      <c r="G28">
        <v>7.51</v>
      </c>
      <c r="H28">
        <v>10.31</v>
      </c>
      <c r="I28">
        <v>6.68</v>
      </c>
      <c r="J28">
        <v>5.71</v>
      </c>
      <c r="K28">
        <v>8</v>
      </c>
      <c r="L28">
        <v>6.75</v>
      </c>
      <c r="M28">
        <v>4.95</v>
      </c>
      <c r="N28">
        <v>7.38</v>
      </c>
      <c r="O28">
        <v>7.49</v>
      </c>
      <c r="P28">
        <v>6.64</v>
      </c>
      <c r="Q28">
        <v>8.86</v>
      </c>
      <c r="R28">
        <v>5.16</v>
      </c>
      <c r="S28">
        <v>10.14</v>
      </c>
      <c r="T28">
        <v>8.33</v>
      </c>
      <c r="U28">
        <v>4.5</v>
      </c>
      <c r="V28">
        <v>6.19</v>
      </c>
      <c r="W28">
        <v>6.3</v>
      </c>
      <c r="X28">
        <v>3.44</v>
      </c>
      <c r="Y28">
        <v>5.29</v>
      </c>
      <c r="Z28">
        <v>7.08</v>
      </c>
    </row>
    <row r="29" spans="1:36">
      <c r="A29" t="s">
        <v>461</v>
      </c>
      <c r="B29" t="s">
        <v>466</v>
      </c>
      <c r="C29" t="s">
        <v>452</v>
      </c>
      <c r="D29" t="s">
        <v>468</v>
      </c>
      <c r="E29" t="s">
        <v>461</v>
      </c>
      <c r="F29" t="s">
        <v>461</v>
      </c>
      <c r="G29">
        <v>5.34</v>
      </c>
      <c r="H29">
        <v>4.92</v>
      </c>
      <c r="I29">
        <v>11.23</v>
      </c>
      <c r="J29">
        <v>5.53</v>
      </c>
      <c r="K29">
        <v>7.01</v>
      </c>
      <c r="L29">
        <v>5.08</v>
      </c>
      <c r="M29">
        <v>5.64</v>
      </c>
      <c r="N29">
        <v>8.16</v>
      </c>
      <c r="O29">
        <v>9.4600000000000009</v>
      </c>
      <c r="P29">
        <v>8.08</v>
      </c>
      <c r="Q29">
        <v>10.199999999999999</v>
      </c>
      <c r="R29">
        <v>4.88</v>
      </c>
      <c r="S29">
        <v>6.87</v>
      </c>
      <c r="T29">
        <v>5.2</v>
      </c>
      <c r="U29">
        <v>5.19</v>
      </c>
      <c r="V29">
        <v>8.6999999999999993</v>
      </c>
      <c r="W29">
        <v>8.39</v>
      </c>
      <c r="X29">
        <v>4.3099999999999996</v>
      </c>
      <c r="Y29">
        <v>6.79</v>
      </c>
      <c r="Z29">
        <v>5.37</v>
      </c>
    </row>
    <row r="30" spans="1:36">
      <c r="A30" t="s">
        <v>403</v>
      </c>
      <c r="B30" t="s">
        <v>410</v>
      </c>
      <c r="C30" t="s">
        <v>452</v>
      </c>
      <c r="D30" t="s">
        <v>454</v>
      </c>
      <c r="E30" t="s">
        <v>403</v>
      </c>
      <c r="G30" s="393">
        <v>10.69</v>
      </c>
      <c r="H30" s="393">
        <v>9.33</v>
      </c>
      <c r="I30" s="393">
        <v>7.94</v>
      </c>
      <c r="J30" s="393">
        <v>7.04</v>
      </c>
      <c r="K30" s="393">
        <v>7.35</v>
      </c>
      <c r="L30" s="393">
        <v>5.52</v>
      </c>
      <c r="M30" s="393">
        <v>9.77</v>
      </c>
      <c r="N30" s="393">
        <v>7.49</v>
      </c>
      <c r="O30" s="393">
        <v>5.69</v>
      </c>
      <c r="P30" s="393">
        <v>8.52</v>
      </c>
      <c r="Q30" s="393">
        <v>4.0199999999999996</v>
      </c>
      <c r="R30" s="393">
        <v>7.5</v>
      </c>
      <c r="S30" s="393">
        <v>5.9</v>
      </c>
      <c r="T30" s="393">
        <v>5.82</v>
      </c>
      <c r="U30" s="393">
        <v>8.18</v>
      </c>
      <c r="V30" s="393">
        <v>6.16</v>
      </c>
      <c r="W30" s="393">
        <v>4.6100000000000003</v>
      </c>
      <c r="X30" s="393">
        <v>4.07</v>
      </c>
      <c r="Y30" s="393">
        <v>7.73</v>
      </c>
      <c r="Z30" s="393">
        <v>9.5</v>
      </c>
      <c r="AA30" s="393">
        <v>6.54</v>
      </c>
      <c r="AB30" s="393">
        <v>7.89</v>
      </c>
      <c r="AC30" s="393">
        <v>4</v>
      </c>
      <c r="AD30" s="393">
        <v>4.3</v>
      </c>
      <c r="AE30" s="393">
        <v>7.69</v>
      </c>
      <c r="AF30" s="152">
        <f>AVERAGE(G30:AE30)</f>
        <v>6.9299999999999988</v>
      </c>
    </row>
    <row r="31" spans="1:36">
      <c r="A31" s="54">
        <v>49</v>
      </c>
      <c r="B31" t="s">
        <v>410</v>
      </c>
      <c r="C31" t="s">
        <v>452</v>
      </c>
      <c r="D31" t="s">
        <v>454</v>
      </c>
      <c r="E31" s="54" t="s">
        <v>407</v>
      </c>
      <c r="F31" s="54">
        <v>0.4</v>
      </c>
      <c r="G31" s="54">
        <v>6.37</v>
      </c>
      <c r="H31" s="54">
        <v>6.59</v>
      </c>
      <c r="I31" s="54">
        <v>3.9</v>
      </c>
      <c r="J31" s="54">
        <v>4.74</v>
      </c>
      <c r="K31" s="54">
        <v>3.56</v>
      </c>
      <c r="L31" s="54">
        <v>5.58</v>
      </c>
      <c r="M31" s="54">
        <v>6.69</v>
      </c>
      <c r="N31" s="54">
        <v>5.7</v>
      </c>
      <c r="O31" s="54">
        <v>6.52</v>
      </c>
      <c r="P31" s="54">
        <v>5.41</v>
      </c>
      <c r="Q31" s="54">
        <v>6.6</v>
      </c>
      <c r="R31" s="54">
        <v>6.16</v>
      </c>
      <c r="S31" s="54">
        <v>4.96</v>
      </c>
      <c r="T31" s="54">
        <v>6.84</v>
      </c>
      <c r="U31" s="54">
        <v>4.6100000000000003</v>
      </c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</row>
    <row r="32" spans="1:36">
      <c r="A32">
        <v>50</v>
      </c>
      <c r="B32" t="s">
        <v>410</v>
      </c>
      <c r="C32" t="s">
        <v>452</v>
      </c>
      <c r="D32" t="s">
        <v>454</v>
      </c>
      <c r="E32" t="s">
        <v>407</v>
      </c>
      <c r="F32">
        <v>0.4</v>
      </c>
      <c r="G32" s="393">
        <v>4.95</v>
      </c>
      <c r="H32" s="393">
        <v>6.93</v>
      </c>
      <c r="I32" s="393">
        <v>5.58</v>
      </c>
      <c r="J32" s="393">
        <v>6.63</v>
      </c>
      <c r="K32" s="393">
        <v>5.59</v>
      </c>
      <c r="L32" s="393">
        <v>4.09</v>
      </c>
      <c r="M32" s="393">
        <v>5.3</v>
      </c>
      <c r="N32" s="393">
        <v>4.88</v>
      </c>
      <c r="O32" s="393">
        <v>5.53</v>
      </c>
      <c r="P32" s="393">
        <v>4.72</v>
      </c>
      <c r="Q32" s="393">
        <v>5.0999999999999996</v>
      </c>
      <c r="R32" s="393">
        <v>6.03</v>
      </c>
      <c r="S32" s="393">
        <v>6.56</v>
      </c>
      <c r="T32" s="393">
        <v>5.0199999999999996</v>
      </c>
      <c r="U32" s="393">
        <v>6.77</v>
      </c>
    </row>
    <row r="33" spans="1:36">
      <c r="A33">
        <v>51</v>
      </c>
      <c r="B33" t="s">
        <v>410</v>
      </c>
      <c r="C33" t="s">
        <v>452</v>
      </c>
      <c r="D33" t="s">
        <v>454</v>
      </c>
      <c r="E33" t="s">
        <v>407</v>
      </c>
      <c r="F33">
        <v>0.4</v>
      </c>
      <c r="G33" s="393">
        <v>6.22</v>
      </c>
      <c r="H33" s="393">
        <v>5.22</v>
      </c>
      <c r="I33" s="393">
        <v>6.3</v>
      </c>
      <c r="J33" s="393">
        <v>6.61</v>
      </c>
      <c r="K33" s="393">
        <v>6.13</v>
      </c>
      <c r="L33" s="393">
        <v>6.9</v>
      </c>
      <c r="M33" s="393">
        <v>4.63</v>
      </c>
      <c r="N33" s="393">
        <v>6.21</v>
      </c>
      <c r="O33" s="393">
        <v>6.72</v>
      </c>
      <c r="P33" s="393">
        <v>6.8</v>
      </c>
      <c r="Q33" s="393">
        <v>5.56</v>
      </c>
      <c r="R33" s="393">
        <v>6.92</v>
      </c>
      <c r="S33" s="393">
        <v>6.55</v>
      </c>
      <c r="T33" s="393">
        <v>6</v>
      </c>
      <c r="U33" s="393">
        <v>4.26</v>
      </c>
    </row>
    <row r="34" spans="1:36">
      <c r="A34">
        <v>52</v>
      </c>
      <c r="B34" t="s">
        <v>410</v>
      </c>
      <c r="C34" t="s">
        <v>452</v>
      </c>
      <c r="D34" t="s">
        <v>454</v>
      </c>
      <c r="E34" t="s">
        <v>407</v>
      </c>
      <c r="F34">
        <v>0.3</v>
      </c>
      <c r="G34" s="393">
        <v>5.91</v>
      </c>
      <c r="H34" s="393">
        <v>6.05</v>
      </c>
      <c r="I34" s="393">
        <v>4.37</v>
      </c>
      <c r="J34" s="393">
        <v>4.68</v>
      </c>
      <c r="K34" s="393">
        <v>6.9</v>
      </c>
      <c r="L34" s="393">
        <v>6.88</v>
      </c>
      <c r="M34" s="393">
        <v>5.45</v>
      </c>
      <c r="N34" s="393">
        <v>4.58</v>
      </c>
      <c r="O34" s="393">
        <v>5.0199999999999996</v>
      </c>
      <c r="P34" s="393">
        <v>4.75</v>
      </c>
      <c r="Q34" s="393">
        <v>6.04</v>
      </c>
      <c r="R34" s="393">
        <v>5.09</v>
      </c>
      <c r="S34" s="393">
        <v>4.8899999999999997</v>
      </c>
      <c r="T34" s="393">
        <v>4.6500000000000004</v>
      </c>
      <c r="U34" s="393">
        <v>6.59</v>
      </c>
    </row>
    <row r="35" spans="1:36">
      <c r="A35">
        <v>53</v>
      </c>
      <c r="B35" t="s">
        <v>410</v>
      </c>
      <c r="C35" t="s">
        <v>452</v>
      </c>
      <c r="D35" t="s">
        <v>454</v>
      </c>
      <c r="E35" t="s">
        <v>407</v>
      </c>
      <c r="F35">
        <v>0.4</v>
      </c>
      <c r="G35" s="393">
        <v>6.54</v>
      </c>
      <c r="H35" s="393">
        <v>4.46</v>
      </c>
      <c r="I35" s="393">
        <v>6.76</v>
      </c>
      <c r="J35" s="393">
        <v>6.36</v>
      </c>
      <c r="K35" s="393">
        <v>3.82</v>
      </c>
      <c r="L35" s="393">
        <v>5.81</v>
      </c>
      <c r="M35" s="393">
        <v>6.85</v>
      </c>
      <c r="N35" s="393">
        <v>6.67</v>
      </c>
      <c r="O35" s="393">
        <v>5.31</v>
      </c>
      <c r="P35" s="393">
        <v>3.86</v>
      </c>
      <c r="Q35" s="393">
        <v>5.55</v>
      </c>
      <c r="R35" s="393">
        <v>5.9</v>
      </c>
      <c r="S35" s="393">
        <v>5.45</v>
      </c>
      <c r="T35" s="393">
        <v>5.74</v>
      </c>
      <c r="U35" s="393">
        <v>4.8</v>
      </c>
    </row>
    <row r="36" spans="1:36">
      <c r="A36">
        <v>54</v>
      </c>
      <c r="B36" t="s">
        <v>410</v>
      </c>
      <c r="C36" t="s">
        <v>452</v>
      </c>
      <c r="D36" t="s">
        <v>454</v>
      </c>
      <c r="E36" t="s">
        <v>407</v>
      </c>
      <c r="F36">
        <v>0.4</v>
      </c>
      <c r="G36" s="393">
        <v>5.55</v>
      </c>
      <c r="H36" s="393">
        <v>6.46</v>
      </c>
      <c r="I36" s="393">
        <v>4.1500000000000004</v>
      </c>
      <c r="J36" s="393">
        <v>4.59</v>
      </c>
      <c r="K36" s="393">
        <v>6.66</v>
      </c>
      <c r="L36" s="393">
        <v>3.76</v>
      </c>
      <c r="M36" s="393">
        <v>4.5599999999999996</v>
      </c>
      <c r="N36" s="393">
        <v>5.23</v>
      </c>
      <c r="O36" s="393">
        <v>5.82</v>
      </c>
      <c r="P36" s="393">
        <v>5.81</v>
      </c>
      <c r="Q36" s="393">
        <v>5.45</v>
      </c>
      <c r="R36" s="393">
        <v>6.32</v>
      </c>
      <c r="S36" s="393">
        <v>6.34</v>
      </c>
      <c r="T36" s="393">
        <v>4.66</v>
      </c>
      <c r="U36" s="393">
        <v>6.87</v>
      </c>
    </row>
    <row r="37" spans="1:36">
      <c r="A37">
        <v>55</v>
      </c>
      <c r="B37" t="s">
        <v>410</v>
      </c>
      <c r="C37" t="s">
        <v>452</v>
      </c>
      <c r="D37" t="s">
        <v>454</v>
      </c>
      <c r="E37" t="s">
        <v>407</v>
      </c>
      <c r="F37">
        <v>0.4</v>
      </c>
      <c r="G37" s="393">
        <v>5.49</v>
      </c>
      <c r="H37" s="393">
        <v>5.86</v>
      </c>
      <c r="I37" s="393">
        <v>5.13</v>
      </c>
      <c r="J37" s="393">
        <v>5.87</v>
      </c>
      <c r="K37" s="393">
        <v>4.6100000000000003</v>
      </c>
      <c r="L37" s="393">
        <v>6.59</v>
      </c>
      <c r="M37" s="393">
        <v>6.63</v>
      </c>
      <c r="N37" s="393">
        <v>3.85</v>
      </c>
      <c r="O37" s="393">
        <v>6.31</v>
      </c>
      <c r="P37" s="393">
        <v>6.55</v>
      </c>
      <c r="Q37" s="393">
        <v>5.1100000000000003</v>
      </c>
      <c r="R37" s="393">
        <v>6.69</v>
      </c>
      <c r="S37" s="393">
        <v>5.24</v>
      </c>
      <c r="T37" s="393">
        <v>6.88</v>
      </c>
      <c r="U37" s="393">
        <v>5.26</v>
      </c>
    </row>
    <row r="38" spans="1:36">
      <c r="A38">
        <v>56</v>
      </c>
      <c r="B38" t="s">
        <v>410</v>
      </c>
      <c r="C38" t="s">
        <v>452</v>
      </c>
      <c r="D38" t="s">
        <v>454</v>
      </c>
      <c r="E38" t="s">
        <v>407</v>
      </c>
      <c r="F38">
        <v>0.3</v>
      </c>
      <c r="G38" s="393">
        <v>5.0199999999999996</v>
      </c>
      <c r="H38" s="393">
        <v>6.33</v>
      </c>
      <c r="I38" s="393">
        <v>5.26</v>
      </c>
      <c r="J38" s="393">
        <v>5.86</v>
      </c>
      <c r="K38" s="393">
        <v>6.9</v>
      </c>
      <c r="L38" s="393">
        <v>6.51</v>
      </c>
      <c r="M38" s="393">
        <v>5.34</v>
      </c>
      <c r="N38" s="393">
        <v>5.18</v>
      </c>
      <c r="O38" s="393">
        <v>5.37</v>
      </c>
      <c r="P38" s="393">
        <v>5.12</v>
      </c>
      <c r="Q38" s="393">
        <v>5.98</v>
      </c>
      <c r="R38" s="393">
        <v>4.37</v>
      </c>
      <c r="S38" s="393">
        <v>4.57</v>
      </c>
      <c r="T38" s="393">
        <v>4.84</v>
      </c>
      <c r="U38" s="393">
        <v>6.05</v>
      </c>
    </row>
    <row r="39" spans="1:36">
      <c r="A39">
        <v>57</v>
      </c>
      <c r="B39" t="s">
        <v>410</v>
      </c>
      <c r="C39" t="s">
        <v>452</v>
      </c>
      <c r="D39" t="s">
        <v>454</v>
      </c>
      <c r="E39" t="s">
        <v>407</v>
      </c>
      <c r="F39">
        <v>0.4</v>
      </c>
      <c r="G39" s="393">
        <v>6.46</v>
      </c>
      <c r="H39" s="393">
        <v>4.58</v>
      </c>
      <c r="I39" s="393">
        <v>5.0599999999999996</v>
      </c>
      <c r="J39" s="393">
        <v>6.26</v>
      </c>
      <c r="K39" s="393">
        <v>6.93</v>
      </c>
      <c r="L39" s="393">
        <v>5.49</v>
      </c>
      <c r="M39" s="393">
        <v>6.51</v>
      </c>
      <c r="N39" s="393">
        <v>5.94</v>
      </c>
      <c r="O39" s="393">
        <v>6.8</v>
      </c>
      <c r="P39" s="393">
        <v>5.5</v>
      </c>
      <c r="Q39" s="393">
        <v>5.69</v>
      </c>
      <c r="R39" s="393">
        <v>5.3</v>
      </c>
      <c r="S39" s="393">
        <v>5.31</v>
      </c>
      <c r="T39" s="393">
        <v>6.86</v>
      </c>
      <c r="U39" s="393">
        <v>6.48</v>
      </c>
    </row>
    <row r="40" spans="1:36">
      <c r="A40">
        <v>58</v>
      </c>
      <c r="B40" t="s">
        <v>410</v>
      </c>
      <c r="C40" t="s">
        <v>452</v>
      </c>
      <c r="D40" t="s">
        <v>454</v>
      </c>
      <c r="E40" t="s">
        <v>407</v>
      </c>
      <c r="F40">
        <v>0.4</v>
      </c>
      <c r="G40" s="393">
        <v>5.16</v>
      </c>
      <c r="H40" s="393">
        <v>4.97</v>
      </c>
      <c r="I40" s="393">
        <v>6.82</v>
      </c>
      <c r="J40" s="393">
        <v>4.3</v>
      </c>
      <c r="K40" s="393">
        <v>4.7</v>
      </c>
      <c r="L40" s="393">
        <v>5.34</v>
      </c>
      <c r="M40" s="393">
        <v>5.85</v>
      </c>
      <c r="N40" s="393">
        <v>6.56</v>
      </c>
      <c r="O40" s="393">
        <v>6.67</v>
      </c>
      <c r="P40" s="393">
        <v>6.83</v>
      </c>
      <c r="Q40" s="393">
        <v>5.47</v>
      </c>
      <c r="R40" s="393">
        <v>6.53</v>
      </c>
      <c r="S40" s="393">
        <v>6.63</v>
      </c>
      <c r="T40" s="393">
        <v>5.03</v>
      </c>
      <c r="U40" s="393">
        <v>5.48</v>
      </c>
    </row>
    <row r="41" spans="1:36">
      <c r="A41">
        <v>59</v>
      </c>
      <c r="B41" t="s">
        <v>410</v>
      </c>
      <c r="C41" t="s">
        <v>452</v>
      </c>
      <c r="D41" t="s">
        <v>454</v>
      </c>
      <c r="E41" t="s">
        <v>407</v>
      </c>
      <c r="F41">
        <v>0.4</v>
      </c>
      <c r="G41" s="393">
        <v>5.89</v>
      </c>
      <c r="H41" s="393">
        <v>4.66</v>
      </c>
      <c r="I41" s="393">
        <v>6.31</v>
      </c>
      <c r="J41" s="393">
        <v>5.49</v>
      </c>
      <c r="K41" s="393">
        <v>6.54</v>
      </c>
      <c r="L41" s="393">
        <v>5.3</v>
      </c>
      <c r="M41" s="393">
        <v>6.01</v>
      </c>
      <c r="N41" s="393">
        <v>5.93</v>
      </c>
      <c r="O41" s="393">
        <v>5.96</v>
      </c>
      <c r="P41" s="393">
        <v>4.63</v>
      </c>
      <c r="Q41" s="393">
        <v>4.3099999999999996</v>
      </c>
      <c r="R41" s="393">
        <v>5.38</v>
      </c>
      <c r="S41" s="393">
        <v>6.79</v>
      </c>
      <c r="T41" s="393">
        <v>5.76</v>
      </c>
      <c r="U41" s="393">
        <v>6.26</v>
      </c>
    </row>
    <row r="42" spans="1:36">
      <c r="A42">
        <v>60</v>
      </c>
      <c r="B42" t="s">
        <v>410</v>
      </c>
      <c r="C42" t="s">
        <v>452</v>
      </c>
      <c r="D42" t="s">
        <v>454</v>
      </c>
      <c r="E42" t="s">
        <v>407</v>
      </c>
      <c r="F42">
        <v>0.3</v>
      </c>
      <c r="G42" s="393">
        <v>5.0999999999999996</v>
      </c>
      <c r="H42" s="393">
        <v>5.2</v>
      </c>
      <c r="I42" s="393">
        <v>5.83</v>
      </c>
      <c r="J42" s="393">
        <v>4.72</v>
      </c>
      <c r="K42" s="393">
        <v>5.22</v>
      </c>
      <c r="L42" s="393">
        <v>4.32</v>
      </c>
      <c r="M42" s="393">
        <v>5.87</v>
      </c>
      <c r="N42" s="393">
        <v>6.53</v>
      </c>
      <c r="O42" s="393">
        <v>4.5</v>
      </c>
      <c r="P42" s="393">
        <v>6.15</v>
      </c>
      <c r="Q42" s="393">
        <v>5.98</v>
      </c>
      <c r="R42" s="393">
        <v>4.91</v>
      </c>
      <c r="S42" s="393">
        <v>5.2</v>
      </c>
      <c r="T42" s="393">
        <v>6.24</v>
      </c>
      <c r="U42" s="393">
        <v>6.51</v>
      </c>
    </row>
    <row r="43" spans="1:36">
      <c r="A43">
        <v>61</v>
      </c>
      <c r="B43" t="s">
        <v>410</v>
      </c>
      <c r="C43" t="s">
        <v>452</v>
      </c>
      <c r="D43" t="s">
        <v>454</v>
      </c>
      <c r="E43" s="54" t="s">
        <v>406</v>
      </c>
      <c r="F43" s="54">
        <v>1</v>
      </c>
      <c r="G43" s="54">
        <v>10.72</v>
      </c>
      <c r="H43" s="54">
        <v>7.05</v>
      </c>
      <c r="I43" s="54">
        <v>9.66</v>
      </c>
      <c r="J43" s="54">
        <v>7.48</v>
      </c>
      <c r="K43" s="54">
        <v>7.99</v>
      </c>
      <c r="L43" s="54">
        <v>7.79</v>
      </c>
      <c r="M43" s="54">
        <v>8.02</v>
      </c>
      <c r="N43" s="54">
        <v>9.75</v>
      </c>
      <c r="O43" s="54">
        <v>7.67</v>
      </c>
      <c r="P43" s="54">
        <v>7.23</v>
      </c>
      <c r="Q43" s="54">
        <v>6.99</v>
      </c>
      <c r="R43" s="54">
        <v>10.66</v>
      </c>
      <c r="S43" s="54">
        <v>8.08</v>
      </c>
      <c r="T43" s="54">
        <v>8.39</v>
      </c>
      <c r="U43" s="54">
        <v>8.4499999999999993</v>
      </c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</row>
    <row r="44" spans="1:36">
      <c r="A44">
        <v>62</v>
      </c>
      <c r="B44" t="s">
        <v>410</v>
      </c>
      <c r="C44" t="s">
        <v>452</v>
      </c>
      <c r="D44" t="s">
        <v>454</v>
      </c>
      <c r="E44" t="s">
        <v>406</v>
      </c>
      <c r="F44">
        <v>1.1000000000000001</v>
      </c>
      <c r="G44">
        <v>8.3000000000000007</v>
      </c>
      <c r="H44">
        <v>8.98</v>
      </c>
      <c r="I44">
        <v>8</v>
      </c>
      <c r="J44">
        <v>9.25</v>
      </c>
      <c r="K44">
        <v>8.5500000000000007</v>
      </c>
      <c r="L44">
        <v>7.77</v>
      </c>
      <c r="M44">
        <v>8.15</v>
      </c>
      <c r="N44">
        <v>8.44</v>
      </c>
      <c r="O44">
        <v>8.0500000000000007</v>
      </c>
      <c r="P44">
        <v>7.45</v>
      </c>
      <c r="Q44">
        <v>7.61</v>
      </c>
      <c r="R44">
        <v>7.28</v>
      </c>
      <c r="S44">
        <v>8.7799999999999994</v>
      </c>
      <c r="T44">
        <v>9.83</v>
      </c>
      <c r="U44">
        <v>8.77</v>
      </c>
    </row>
    <row r="45" spans="1:36">
      <c r="A45">
        <v>63</v>
      </c>
      <c r="B45" t="s">
        <v>410</v>
      </c>
      <c r="C45" t="s">
        <v>452</v>
      </c>
      <c r="D45" t="s">
        <v>454</v>
      </c>
      <c r="E45" t="s">
        <v>406</v>
      </c>
      <c r="F45">
        <v>1</v>
      </c>
      <c r="G45">
        <v>10.199999999999999</v>
      </c>
      <c r="H45">
        <v>7.85</v>
      </c>
      <c r="I45">
        <v>7.17</v>
      </c>
      <c r="J45">
        <v>9.86</v>
      </c>
      <c r="K45">
        <v>7.79</v>
      </c>
      <c r="L45">
        <v>13.6</v>
      </c>
      <c r="M45">
        <v>9.74</v>
      </c>
      <c r="N45">
        <v>8.1</v>
      </c>
      <c r="O45">
        <v>6.97</v>
      </c>
      <c r="P45">
        <v>7.67</v>
      </c>
      <c r="Q45">
        <v>7.54</v>
      </c>
      <c r="R45">
        <v>7.65</v>
      </c>
      <c r="S45">
        <v>7.59</v>
      </c>
      <c r="T45">
        <v>7.06</v>
      </c>
      <c r="U45">
        <v>8.7799999999999994</v>
      </c>
    </row>
    <row r="46" spans="1:36">
      <c r="A46">
        <v>64</v>
      </c>
      <c r="B46" t="s">
        <v>410</v>
      </c>
      <c r="C46" t="s">
        <v>452</v>
      </c>
      <c r="D46" t="s">
        <v>454</v>
      </c>
      <c r="E46" t="s">
        <v>406</v>
      </c>
      <c r="F46">
        <v>1</v>
      </c>
      <c r="G46">
        <v>9.9499999999999993</v>
      </c>
      <c r="H46">
        <v>8.06</v>
      </c>
      <c r="I46">
        <v>9.59</v>
      </c>
      <c r="J46">
        <v>9.31</v>
      </c>
      <c r="K46">
        <v>7.5</v>
      </c>
      <c r="L46">
        <v>7.62</v>
      </c>
      <c r="M46">
        <v>8.34</v>
      </c>
      <c r="N46">
        <v>7.67</v>
      </c>
      <c r="O46">
        <v>7.07</v>
      </c>
      <c r="P46">
        <v>7.88</v>
      </c>
      <c r="Q46">
        <v>7.26</v>
      </c>
      <c r="R46">
        <v>7.98</v>
      </c>
      <c r="S46">
        <v>10.66</v>
      </c>
      <c r="T46">
        <v>7.21</v>
      </c>
      <c r="U46">
        <v>7.84</v>
      </c>
    </row>
    <row r="47" spans="1:36">
      <c r="A47">
        <v>65</v>
      </c>
      <c r="B47" t="s">
        <v>410</v>
      </c>
      <c r="C47" t="s">
        <v>452</v>
      </c>
      <c r="D47" t="s">
        <v>454</v>
      </c>
      <c r="E47" t="s">
        <v>406</v>
      </c>
      <c r="F47">
        <v>1.1000000000000001</v>
      </c>
      <c r="G47">
        <v>8.73</v>
      </c>
      <c r="H47">
        <v>8.77</v>
      </c>
      <c r="I47">
        <v>7.71</v>
      </c>
      <c r="J47">
        <v>7.24</v>
      </c>
      <c r="K47">
        <v>7.61</v>
      </c>
      <c r="L47">
        <v>9.77</v>
      </c>
      <c r="M47">
        <v>7.53</v>
      </c>
      <c r="N47">
        <v>8.42</v>
      </c>
      <c r="O47">
        <v>8.85</v>
      </c>
      <c r="P47">
        <v>7</v>
      </c>
      <c r="Q47">
        <v>8.15</v>
      </c>
      <c r="R47">
        <v>9.4</v>
      </c>
      <c r="S47">
        <v>9.67</v>
      </c>
      <c r="T47">
        <v>8.25</v>
      </c>
      <c r="U47">
        <v>10.43</v>
      </c>
    </row>
    <row r="48" spans="1:36">
      <c r="A48">
        <v>66</v>
      </c>
      <c r="B48" t="s">
        <v>410</v>
      </c>
      <c r="C48" t="s">
        <v>452</v>
      </c>
      <c r="D48" t="s">
        <v>454</v>
      </c>
      <c r="E48" t="s">
        <v>406</v>
      </c>
      <c r="F48">
        <v>1</v>
      </c>
      <c r="G48">
        <v>8.2100000000000009</v>
      </c>
      <c r="H48">
        <v>8.6199999999999992</v>
      </c>
      <c r="I48">
        <v>9.44</v>
      </c>
      <c r="J48">
        <v>8.31</v>
      </c>
      <c r="K48">
        <v>7.62</v>
      </c>
      <c r="L48">
        <v>7.25</v>
      </c>
      <c r="M48">
        <v>9.65</v>
      </c>
      <c r="N48" t="s">
        <v>161</v>
      </c>
      <c r="O48">
        <v>9.25</v>
      </c>
      <c r="P48">
        <v>7.49</v>
      </c>
      <c r="Q48">
        <v>8.2100000000000009</v>
      </c>
      <c r="R48">
        <v>8.1999999999999993</v>
      </c>
      <c r="S48">
        <v>7.33</v>
      </c>
      <c r="T48">
        <v>11.4</v>
      </c>
      <c r="U48">
        <v>7.02</v>
      </c>
      <c r="V48">
        <v>7.24</v>
      </c>
    </row>
    <row r="49" spans="1:36">
      <c r="A49">
        <v>67</v>
      </c>
      <c r="B49" t="s">
        <v>410</v>
      </c>
      <c r="C49" t="s">
        <v>452</v>
      </c>
      <c r="D49" t="s">
        <v>454</v>
      </c>
      <c r="E49" t="s">
        <v>406</v>
      </c>
      <c r="F49">
        <v>1.2</v>
      </c>
      <c r="G49">
        <v>9.01</v>
      </c>
      <c r="H49">
        <v>8.06</v>
      </c>
      <c r="I49">
        <v>7.28</v>
      </c>
      <c r="J49">
        <v>7.25</v>
      </c>
      <c r="K49">
        <v>13.05</v>
      </c>
      <c r="L49">
        <v>7.3</v>
      </c>
      <c r="M49">
        <v>7.06</v>
      </c>
      <c r="N49">
        <v>10.14</v>
      </c>
      <c r="O49">
        <v>9.2200000000000006</v>
      </c>
      <c r="P49">
        <v>10.68</v>
      </c>
      <c r="Q49">
        <v>9.5399999999999991</v>
      </c>
      <c r="R49">
        <v>7.47</v>
      </c>
      <c r="S49">
        <v>7.23</v>
      </c>
      <c r="T49">
        <v>6.99</v>
      </c>
      <c r="U49">
        <v>7.07</v>
      </c>
    </row>
    <row r="50" spans="1:36">
      <c r="A50">
        <v>68</v>
      </c>
      <c r="B50" t="s">
        <v>410</v>
      </c>
      <c r="C50" t="s">
        <v>452</v>
      </c>
      <c r="D50" t="s">
        <v>454</v>
      </c>
      <c r="E50" t="s">
        <v>406</v>
      </c>
      <c r="F50">
        <v>1</v>
      </c>
      <c r="G50">
        <v>7.41</v>
      </c>
      <c r="H50">
        <v>7.5</v>
      </c>
      <c r="I50">
        <v>7.33</v>
      </c>
      <c r="J50">
        <v>6.98</v>
      </c>
      <c r="K50">
        <v>7.26</v>
      </c>
      <c r="L50">
        <v>7.28</v>
      </c>
      <c r="M50">
        <v>8.2100000000000009</v>
      </c>
      <c r="N50">
        <v>9.9</v>
      </c>
      <c r="O50">
        <v>9.61</v>
      </c>
      <c r="P50">
        <v>8</v>
      </c>
      <c r="Q50">
        <v>7.13</v>
      </c>
      <c r="R50">
        <v>8.01</v>
      </c>
      <c r="S50">
        <v>8.1300000000000008</v>
      </c>
      <c r="T50">
        <v>7.15</v>
      </c>
      <c r="U50">
        <v>9.6199999999999992</v>
      </c>
    </row>
    <row r="51" spans="1:36">
      <c r="A51">
        <v>69</v>
      </c>
      <c r="B51" t="s">
        <v>410</v>
      </c>
      <c r="C51" t="s">
        <v>452</v>
      </c>
      <c r="D51" t="s">
        <v>454</v>
      </c>
      <c r="E51" t="s">
        <v>406</v>
      </c>
      <c r="F51">
        <v>1.3</v>
      </c>
      <c r="G51">
        <v>10.029999999999999</v>
      </c>
      <c r="H51">
        <v>10.11</v>
      </c>
      <c r="I51">
        <v>10.65</v>
      </c>
      <c r="J51">
        <v>8.1</v>
      </c>
      <c r="K51">
        <v>8.43</v>
      </c>
      <c r="L51">
        <v>7.13</v>
      </c>
      <c r="M51">
        <v>10.28</v>
      </c>
      <c r="N51">
        <v>7.02</v>
      </c>
      <c r="O51">
        <v>6.99</v>
      </c>
      <c r="P51">
        <v>7.44</v>
      </c>
      <c r="Q51">
        <v>8.43</v>
      </c>
      <c r="R51">
        <v>7.51</v>
      </c>
      <c r="S51">
        <v>7.94</v>
      </c>
      <c r="T51">
        <v>10.199999999999999</v>
      </c>
      <c r="U51">
        <v>7.82</v>
      </c>
    </row>
    <row r="52" spans="1:36">
      <c r="A52">
        <v>70</v>
      </c>
      <c r="B52" t="s">
        <v>410</v>
      </c>
      <c r="C52" t="s">
        <v>452</v>
      </c>
      <c r="D52" t="s">
        <v>454</v>
      </c>
      <c r="E52" t="s">
        <v>406</v>
      </c>
      <c r="F52">
        <v>1.3</v>
      </c>
      <c r="G52">
        <v>7.36</v>
      </c>
      <c r="H52">
        <v>8.49</v>
      </c>
      <c r="I52">
        <v>10.98</v>
      </c>
      <c r="J52">
        <v>8.33</v>
      </c>
      <c r="K52">
        <v>11.94</v>
      </c>
      <c r="L52">
        <v>10.97</v>
      </c>
      <c r="M52">
        <v>7.37</v>
      </c>
      <c r="N52">
        <v>7.75</v>
      </c>
      <c r="O52">
        <v>7.98</v>
      </c>
      <c r="P52">
        <v>8.1999999999999993</v>
      </c>
      <c r="Q52">
        <v>7.54</v>
      </c>
      <c r="R52">
        <v>8.3000000000000007</v>
      </c>
      <c r="S52">
        <v>8.92</v>
      </c>
      <c r="T52">
        <v>8.4499999999999993</v>
      </c>
      <c r="U52">
        <v>7.97</v>
      </c>
    </row>
    <row r="53" spans="1:36">
      <c r="A53">
        <v>71</v>
      </c>
      <c r="B53" t="s">
        <v>410</v>
      </c>
      <c r="C53" t="s">
        <v>452</v>
      </c>
      <c r="D53" t="s">
        <v>454</v>
      </c>
      <c r="E53" t="s">
        <v>406</v>
      </c>
      <c r="F53">
        <v>1.1000000000000001</v>
      </c>
      <c r="G53">
        <v>9.2899999999999991</v>
      </c>
      <c r="H53">
        <v>9.1300000000000008</v>
      </c>
      <c r="I53">
        <v>8.5500000000000007</v>
      </c>
      <c r="J53">
        <v>8.17</v>
      </c>
      <c r="K53">
        <v>9.58</v>
      </c>
      <c r="L53">
        <v>7.97</v>
      </c>
      <c r="M53">
        <v>9.1300000000000008</v>
      </c>
      <c r="N53">
        <v>7.67</v>
      </c>
      <c r="O53">
        <v>7.94</v>
      </c>
      <c r="P53">
        <v>7.27</v>
      </c>
      <c r="Q53">
        <v>9.0299999999999994</v>
      </c>
      <c r="R53">
        <v>7.4</v>
      </c>
      <c r="S53">
        <v>7.44</v>
      </c>
      <c r="T53">
        <v>7.65</v>
      </c>
      <c r="U53">
        <v>9.6199999999999992</v>
      </c>
    </row>
    <row r="54" spans="1:36">
      <c r="A54">
        <v>72</v>
      </c>
      <c r="B54" t="s">
        <v>410</v>
      </c>
      <c r="C54" t="s">
        <v>452</v>
      </c>
      <c r="D54" t="s">
        <v>454</v>
      </c>
      <c r="E54" t="s">
        <v>406</v>
      </c>
      <c r="F54">
        <v>0.9</v>
      </c>
      <c r="G54">
        <v>7.83</v>
      </c>
      <c r="H54">
        <v>8.07</v>
      </c>
      <c r="I54">
        <v>7.91</v>
      </c>
      <c r="J54">
        <v>7</v>
      </c>
      <c r="K54">
        <v>7.83</v>
      </c>
      <c r="L54">
        <v>7.93</v>
      </c>
      <c r="M54">
        <v>7.35</v>
      </c>
      <c r="N54">
        <v>7.62</v>
      </c>
      <c r="O54">
        <v>8.07</v>
      </c>
      <c r="P54">
        <v>7.69</v>
      </c>
      <c r="Q54">
        <v>10.61</v>
      </c>
      <c r="R54">
        <v>7.63</v>
      </c>
      <c r="S54">
        <v>8.5299999999999994</v>
      </c>
      <c r="T54">
        <v>7.79</v>
      </c>
      <c r="U54">
        <v>8.2200000000000006</v>
      </c>
    </row>
    <row r="55" spans="1:36">
      <c r="A55" t="s">
        <v>461</v>
      </c>
      <c r="B55" t="s">
        <v>410</v>
      </c>
      <c r="C55" t="s">
        <v>452</v>
      </c>
      <c r="D55" t="s">
        <v>454</v>
      </c>
      <c r="E55" t="s">
        <v>461</v>
      </c>
      <c r="F55" t="s">
        <v>461</v>
      </c>
      <c r="G55">
        <v>7.82</v>
      </c>
      <c r="H55">
        <v>4.8499999999999996</v>
      </c>
      <c r="I55">
        <v>8.69</v>
      </c>
      <c r="J55">
        <v>6.28</v>
      </c>
      <c r="K55">
        <v>8.99</v>
      </c>
      <c r="L55">
        <v>7.03</v>
      </c>
      <c r="M55">
        <v>6.47</v>
      </c>
      <c r="N55">
        <v>6.18</v>
      </c>
      <c r="O55">
        <v>7.23</v>
      </c>
      <c r="P55">
        <v>6.43</v>
      </c>
      <c r="Q55">
        <v>7.63</v>
      </c>
      <c r="R55">
        <v>5.88</v>
      </c>
      <c r="S55">
        <v>6.58</v>
      </c>
      <c r="T55">
        <v>6.48</v>
      </c>
      <c r="U55">
        <v>6.66</v>
      </c>
      <c r="V55">
        <v>6.97</v>
      </c>
      <c r="W55">
        <v>6.92</v>
      </c>
      <c r="X55">
        <v>6.06</v>
      </c>
      <c r="Y55">
        <v>7.07</v>
      </c>
      <c r="Z55">
        <v>5.77</v>
      </c>
    </row>
    <row r="56" spans="1:36">
      <c r="A56" t="s">
        <v>461</v>
      </c>
      <c r="B56" t="s">
        <v>410</v>
      </c>
      <c r="C56" t="s">
        <v>452</v>
      </c>
      <c r="D56" t="s">
        <v>454</v>
      </c>
      <c r="E56" t="s">
        <v>461</v>
      </c>
      <c r="F56" t="s">
        <v>461</v>
      </c>
      <c r="G56">
        <v>7.12</v>
      </c>
      <c r="H56">
        <v>6.79</v>
      </c>
      <c r="I56">
        <v>5.63</v>
      </c>
      <c r="J56">
        <v>6.34</v>
      </c>
      <c r="K56">
        <v>6.48</v>
      </c>
      <c r="L56">
        <v>4.6399999999999997</v>
      </c>
      <c r="M56">
        <v>4.8</v>
      </c>
      <c r="N56">
        <v>5.17</v>
      </c>
      <c r="O56">
        <v>5.43</v>
      </c>
      <c r="P56">
        <v>4.96</v>
      </c>
      <c r="Q56">
        <v>3.8</v>
      </c>
      <c r="R56">
        <v>4.57</v>
      </c>
      <c r="S56">
        <v>5.23</v>
      </c>
      <c r="T56">
        <v>3.37</v>
      </c>
      <c r="U56">
        <v>3.86</v>
      </c>
      <c r="V56">
        <v>4.58</v>
      </c>
      <c r="W56">
        <v>4.46</v>
      </c>
      <c r="X56">
        <v>6.32</v>
      </c>
      <c r="Y56">
        <v>8.31</v>
      </c>
      <c r="Z56">
        <v>3.83</v>
      </c>
    </row>
    <row r="57" spans="1:36">
      <c r="A57" t="s">
        <v>461</v>
      </c>
      <c r="B57" t="s">
        <v>410</v>
      </c>
      <c r="C57" t="s">
        <v>452</v>
      </c>
      <c r="D57" t="s">
        <v>454</v>
      </c>
      <c r="E57" t="s">
        <v>461</v>
      </c>
      <c r="F57" t="s">
        <v>461</v>
      </c>
      <c r="G57">
        <v>5.99</v>
      </c>
      <c r="H57">
        <v>5.27</v>
      </c>
      <c r="I57">
        <v>6.11</v>
      </c>
      <c r="J57">
        <v>4.51</v>
      </c>
      <c r="K57">
        <v>3.52</v>
      </c>
      <c r="L57">
        <v>4.45</v>
      </c>
      <c r="M57">
        <v>6.38</v>
      </c>
      <c r="N57">
        <v>4.3499999999999996</v>
      </c>
      <c r="O57">
        <v>5.66</v>
      </c>
      <c r="P57">
        <v>4.5</v>
      </c>
      <c r="Q57">
        <v>4</v>
      </c>
      <c r="R57">
        <v>3.54</v>
      </c>
      <c r="S57">
        <v>4.4400000000000004</v>
      </c>
      <c r="T57">
        <v>3.46</v>
      </c>
      <c r="U57">
        <v>5.21</v>
      </c>
      <c r="V57">
        <v>2.15</v>
      </c>
      <c r="W57">
        <v>3.53</v>
      </c>
      <c r="X57">
        <v>6.14</v>
      </c>
      <c r="Y57">
        <v>3.65</v>
      </c>
      <c r="Z57">
        <v>4.5599999999999996</v>
      </c>
    </row>
    <row r="58" spans="1:36">
      <c r="A58" t="s">
        <v>461</v>
      </c>
      <c r="B58" t="s">
        <v>410</v>
      </c>
      <c r="C58" t="s">
        <v>452</v>
      </c>
      <c r="D58" t="s">
        <v>454</v>
      </c>
      <c r="E58" t="s">
        <v>461</v>
      </c>
      <c r="F58" t="s">
        <v>461</v>
      </c>
      <c r="G58">
        <v>3.68</v>
      </c>
      <c r="H58">
        <v>7.18</v>
      </c>
      <c r="I58">
        <v>6.32</v>
      </c>
      <c r="J58">
        <v>4.8499999999999996</v>
      </c>
      <c r="K58">
        <v>2.67</v>
      </c>
      <c r="L58">
        <v>7.01</v>
      </c>
      <c r="M58">
        <v>3.92</v>
      </c>
      <c r="N58">
        <v>4.5599999999999996</v>
      </c>
      <c r="O58">
        <v>3.43</v>
      </c>
      <c r="P58">
        <v>4.17</v>
      </c>
      <c r="Q58">
        <v>3.33</v>
      </c>
      <c r="R58">
        <v>5.69</v>
      </c>
      <c r="S58">
        <v>5.78</v>
      </c>
      <c r="T58">
        <v>5.14</v>
      </c>
      <c r="U58">
        <v>5.44</v>
      </c>
      <c r="V58">
        <v>4.4800000000000004</v>
      </c>
      <c r="W58">
        <v>6.91</v>
      </c>
      <c r="X58">
        <v>5.3</v>
      </c>
      <c r="Y58">
        <v>5.31</v>
      </c>
      <c r="Z58">
        <v>5.92</v>
      </c>
    </row>
    <row r="59" spans="1:36">
      <c r="A59" t="s">
        <v>461</v>
      </c>
      <c r="B59" t="s">
        <v>410</v>
      </c>
      <c r="C59" t="s">
        <v>452</v>
      </c>
      <c r="D59" t="s">
        <v>454</v>
      </c>
      <c r="E59" t="s">
        <v>461</v>
      </c>
      <c r="F59" t="s">
        <v>461</v>
      </c>
      <c r="G59">
        <v>5.26</v>
      </c>
      <c r="H59">
        <v>3.56</v>
      </c>
      <c r="I59">
        <v>6.38</v>
      </c>
      <c r="J59">
        <v>6.95</v>
      </c>
      <c r="K59">
        <v>4.17</v>
      </c>
      <c r="L59">
        <v>7.04</v>
      </c>
      <c r="M59">
        <v>6.77</v>
      </c>
      <c r="N59">
        <v>3.3</v>
      </c>
      <c r="O59">
        <v>4.8600000000000003</v>
      </c>
      <c r="P59">
        <v>3.71</v>
      </c>
      <c r="Q59">
        <v>4.32</v>
      </c>
      <c r="R59">
        <v>3.68</v>
      </c>
      <c r="S59">
        <v>5.08</v>
      </c>
      <c r="T59">
        <v>7.02</v>
      </c>
      <c r="U59">
        <v>2.77</v>
      </c>
      <c r="V59">
        <v>2.81</v>
      </c>
      <c r="W59">
        <v>5.69</v>
      </c>
      <c r="X59">
        <v>6.43</v>
      </c>
      <c r="Y59">
        <v>4.5199999999999996</v>
      </c>
      <c r="Z59">
        <v>3.86</v>
      </c>
    </row>
    <row r="60" spans="1:36">
      <c r="A60" t="s">
        <v>461</v>
      </c>
      <c r="B60" t="s">
        <v>410</v>
      </c>
      <c r="C60" t="s">
        <v>452</v>
      </c>
      <c r="D60" t="s">
        <v>454</v>
      </c>
      <c r="E60" t="s">
        <v>461</v>
      </c>
      <c r="F60" t="s">
        <v>461</v>
      </c>
      <c r="G60">
        <v>4.2</v>
      </c>
      <c r="H60">
        <v>5.59</v>
      </c>
      <c r="I60">
        <v>3.6</v>
      </c>
      <c r="J60">
        <v>5.47</v>
      </c>
      <c r="K60">
        <v>3.53</v>
      </c>
      <c r="L60">
        <v>7.46</v>
      </c>
      <c r="M60">
        <v>6.6</v>
      </c>
      <c r="N60">
        <v>3.97</v>
      </c>
    </row>
    <row r="61" spans="1:36">
      <c r="A61" t="s">
        <v>403</v>
      </c>
      <c r="B61" t="s">
        <v>413</v>
      </c>
      <c r="C61" t="s">
        <v>452</v>
      </c>
      <c r="D61" t="s">
        <v>455</v>
      </c>
      <c r="E61" t="s">
        <v>403</v>
      </c>
      <c r="G61">
        <v>10.06</v>
      </c>
      <c r="H61">
        <v>4.0599999999999996</v>
      </c>
      <c r="I61">
        <v>4.8099999999999996</v>
      </c>
      <c r="J61">
        <v>6.37</v>
      </c>
      <c r="K61">
        <v>6.39</v>
      </c>
      <c r="L61">
        <v>5.86</v>
      </c>
      <c r="M61">
        <v>4.76</v>
      </c>
      <c r="N61">
        <v>9.4499999999999993</v>
      </c>
      <c r="O61">
        <v>5.41</v>
      </c>
      <c r="P61">
        <v>5.7</v>
      </c>
      <c r="Q61">
        <v>4.09</v>
      </c>
      <c r="R61">
        <v>5.47</v>
      </c>
      <c r="S61">
        <v>8.16</v>
      </c>
      <c r="T61">
        <v>9.4600000000000009</v>
      </c>
      <c r="U61">
        <v>8.09</v>
      </c>
      <c r="V61">
        <v>4.28</v>
      </c>
      <c r="W61">
        <v>4.47</v>
      </c>
      <c r="X61">
        <v>4.87</v>
      </c>
      <c r="Y61">
        <v>5.23</v>
      </c>
      <c r="Z61">
        <v>7.29</v>
      </c>
      <c r="AA61">
        <v>9.86</v>
      </c>
      <c r="AB61">
        <v>4.6900000000000004</v>
      </c>
      <c r="AC61">
        <v>4.34</v>
      </c>
      <c r="AD61">
        <v>4.5199999999999996</v>
      </c>
      <c r="AE61">
        <v>6.79</v>
      </c>
      <c r="AF61" s="152">
        <f>AVERAGE(G61:AE61)</f>
        <v>6.1792000000000016</v>
      </c>
    </row>
    <row r="62" spans="1:36">
      <c r="A62" s="54">
        <v>73</v>
      </c>
      <c r="B62" t="s">
        <v>413</v>
      </c>
      <c r="C62" t="s">
        <v>452</v>
      </c>
      <c r="D62" t="s">
        <v>455</v>
      </c>
      <c r="E62" s="54" t="s">
        <v>407</v>
      </c>
      <c r="F62" s="54">
        <v>0.1</v>
      </c>
      <c r="G62" s="54">
        <v>5.04</v>
      </c>
      <c r="H62" s="54">
        <v>5.67</v>
      </c>
      <c r="I62" s="54">
        <v>4.59</v>
      </c>
      <c r="J62" s="54">
        <v>4.74</v>
      </c>
      <c r="K62" s="54">
        <v>5.04</v>
      </c>
      <c r="L62" s="54">
        <v>3.18</v>
      </c>
      <c r="M62" s="54">
        <v>5.0199999999999996</v>
      </c>
      <c r="N62" s="54">
        <v>5.76</v>
      </c>
      <c r="O62" s="54">
        <v>5.34</v>
      </c>
      <c r="P62" s="54">
        <v>4.4000000000000004</v>
      </c>
      <c r="Q62" s="54">
        <v>4.45</v>
      </c>
      <c r="R62" s="54">
        <v>4.33</v>
      </c>
      <c r="S62" s="54">
        <v>4.6900000000000004</v>
      </c>
      <c r="T62" s="54">
        <v>4.16</v>
      </c>
      <c r="U62" s="404">
        <v>4.5599999999999996</v>
      </c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</row>
    <row r="63" spans="1:36">
      <c r="A63">
        <v>74</v>
      </c>
      <c r="B63" t="s">
        <v>413</v>
      </c>
      <c r="C63" t="s">
        <v>452</v>
      </c>
      <c r="D63" t="s">
        <v>455</v>
      </c>
      <c r="E63" s="405" t="s">
        <v>407</v>
      </c>
      <c r="F63">
        <v>0.2</v>
      </c>
      <c r="G63">
        <v>4.8</v>
      </c>
      <c r="H63">
        <v>3.8</v>
      </c>
      <c r="I63">
        <v>5.48</v>
      </c>
      <c r="J63">
        <v>4.26</v>
      </c>
      <c r="K63">
        <v>4.6900000000000004</v>
      </c>
      <c r="L63">
        <v>4.3499999999999996</v>
      </c>
      <c r="M63">
        <v>4.9800000000000004</v>
      </c>
      <c r="N63">
        <v>5.94</v>
      </c>
      <c r="O63">
        <v>5.32</v>
      </c>
      <c r="P63">
        <v>3.7</v>
      </c>
      <c r="Q63">
        <v>3.85</v>
      </c>
      <c r="R63">
        <v>5.36</v>
      </c>
      <c r="S63">
        <v>5.17</v>
      </c>
      <c r="T63">
        <v>4.3600000000000003</v>
      </c>
      <c r="U63">
        <v>5.44</v>
      </c>
    </row>
    <row r="64" spans="1:36">
      <c r="A64">
        <v>75</v>
      </c>
      <c r="B64" t="s">
        <v>413</v>
      </c>
      <c r="C64" t="s">
        <v>452</v>
      </c>
      <c r="D64" t="s">
        <v>455</v>
      </c>
      <c r="E64" s="405" t="s">
        <v>407</v>
      </c>
      <c r="F64">
        <v>0.2</v>
      </c>
      <c r="G64">
        <v>4.5</v>
      </c>
      <c r="H64">
        <v>4.96</v>
      </c>
      <c r="I64">
        <v>4.95</v>
      </c>
      <c r="J64">
        <v>5.66</v>
      </c>
      <c r="K64">
        <v>4.08</v>
      </c>
      <c r="L64">
        <v>5.37</v>
      </c>
      <c r="M64">
        <v>5.9</v>
      </c>
      <c r="N64">
        <v>4.99</v>
      </c>
      <c r="O64">
        <v>4.7699999999999996</v>
      </c>
      <c r="P64">
        <v>5.4</v>
      </c>
      <c r="Q64">
        <v>5.62</v>
      </c>
      <c r="R64">
        <v>6.1</v>
      </c>
      <c r="S64">
        <v>6.13</v>
      </c>
      <c r="T64">
        <v>5.07</v>
      </c>
      <c r="U64">
        <v>4.87</v>
      </c>
    </row>
    <row r="65" spans="1:36">
      <c r="A65">
        <v>76</v>
      </c>
      <c r="B65" t="s">
        <v>413</v>
      </c>
      <c r="C65" t="s">
        <v>452</v>
      </c>
      <c r="D65" t="s">
        <v>455</v>
      </c>
      <c r="E65" s="405" t="s">
        <v>407</v>
      </c>
      <c r="F65">
        <v>0.2</v>
      </c>
      <c r="G65">
        <v>5.26</v>
      </c>
      <c r="H65">
        <v>4.84</v>
      </c>
      <c r="I65">
        <v>4.29</v>
      </c>
      <c r="J65" s="54">
        <v>3.92</v>
      </c>
      <c r="K65">
        <v>4.3600000000000003</v>
      </c>
      <c r="L65">
        <v>5.09</v>
      </c>
      <c r="M65">
        <v>5.72</v>
      </c>
      <c r="N65">
        <v>5.92</v>
      </c>
      <c r="O65">
        <v>4.46</v>
      </c>
      <c r="P65">
        <v>5.36</v>
      </c>
      <c r="Q65">
        <v>4.9000000000000004</v>
      </c>
      <c r="R65">
        <v>5.33</v>
      </c>
      <c r="S65">
        <v>5.22</v>
      </c>
      <c r="T65">
        <v>4.6100000000000003</v>
      </c>
      <c r="U65">
        <v>5.22</v>
      </c>
    </row>
    <row r="66" spans="1:36">
      <c r="A66">
        <v>77</v>
      </c>
      <c r="B66" t="s">
        <v>413</v>
      </c>
      <c r="C66" t="s">
        <v>452</v>
      </c>
      <c r="D66" t="s">
        <v>455</v>
      </c>
      <c r="E66" s="405" t="s">
        <v>407</v>
      </c>
      <c r="F66">
        <v>0.2</v>
      </c>
      <c r="G66">
        <v>4.83</v>
      </c>
      <c r="H66">
        <v>5.56</v>
      </c>
      <c r="I66">
        <v>4.7</v>
      </c>
      <c r="J66">
        <v>5.05</v>
      </c>
      <c r="K66">
        <v>5.28</v>
      </c>
      <c r="L66">
        <v>5.33</v>
      </c>
      <c r="M66">
        <v>4.7300000000000004</v>
      </c>
      <c r="N66">
        <v>4.22</v>
      </c>
      <c r="O66">
        <v>4.2699999999999996</v>
      </c>
      <c r="P66">
        <v>5.96</v>
      </c>
      <c r="Q66">
        <v>5.35</v>
      </c>
      <c r="R66">
        <v>4.78</v>
      </c>
      <c r="S66">
        <v>4.8600000000000003</v>
      </c>
      <c r="T66">
        <v>5.39</v>
      </c>
      <c r="U66">
        <v>5.63</v>
      </c>
    </row>
    <row r="67" spans="1:36">
      <c r="A67">
        <v>78</v>
      </c>
      <c r="B67" t="s">
        <v>413</v>
      </c>
      <c r="C67" t="s">
        <v>452</v>
      </c>
      <c r="D67" t="s">
        <v>455</v>
      </c>
      <c r="E67" s="405" t="s">
        <v>407</v>
      </c>
      <c r="F67">
        <v>0.2</v>
      </c>
      <c r="G67">
        <v>5.85</v>
      </c>
      <c r="H67">
        <v>5.35</v>
      </c>
      <c r="I67">
        <v>4.1100000000000003</v>
      </c>
      <c r="J67">
        <v>4.45</v>
      </c>
      <c r="K67">
        <v>5.76</v>
      </c>
      <c r="L67">
        <v>5.59</v>
      </c>
      <c r="M67">
        <v>4.43</v>
      </c>
      <c r="N67">
        <v>5.37</v>
      </c>
      <c r="O67">
        <v>5.52</v>
      </c>
      <c r="P67">
        <v>5.7</v>
      </c>
      <c r="Q67">
        <v>5.21</v>
      </c>
      <c r="R67">
        <v>5.0599999999999996</v>
      </c>
      <c r="S67">
        <v>4.74</v>
      </c>
      <c r="T67">
        <v>5.88</v>
      </c>
      <c r="U67">
        <v>4.41</v>
      </c>
    </row>
    <row r="68" spans="1:36">
      <c r="A68">
        <v>79</v>
      </c>
      <c r="B68" t="s">
        <v>413</v>
      </c>
      <c r="C68" t="s">
        <v>452</v>
      </c>
      <c r="D68" t="s">
        <v>455</v>
      </c>
      <c r="E68" s="405" t="s">
        <v>407</v>
      </c>
      <c r="F68">
        <v>0.2</v>
      </c>
      <c r="G68">
        <v>4.42</v>
      </c>
      <c r="H68">
        <v>4.3899999999999997</v>
      </c>
      <c r="I68">
        <v>5.15</v>
      </c>
      <c r="J68">
        <v>5.56</v>
      </c>
      <c r="K68">
        <v>5.39</v>
      </c>
      <c r="L68">
        <v>5.89</v>
      </c>
      <c r="M68">
        <v>5.68</v>
      </c>
      <c r="N68">
        <v>6.05</v>
      </c>
      <c r="O68">
        <v>4.4800000000000004</v>
      </c>
      <c r="P68">
        <v>5.3</v>
      </c>
      <c r="Q68">
        <v>4.76</v>
      </c>
      <c r="R68">
        <v>4.68</v>
      </c>
      <c r="S68">
        <v>4.25</v>
      </c>
      <c r="T68">
        <v>5.34</v>
      </c>
      <c r="U68">
        <v>5.23</v>
      </c>
    </row>
    <row r="69" spans="1:36">
      <c r="A69">
        <v>80</v>
      </c>
      <c r="B69" t="s">
        <v>413</v>
      </c>
      <c r="C69" t="s">
        <v>452</v>
      </c>
      <c r="D69" t="s">
        <v>455</v>
      </c>
      <c r="E69" s="405" t="s">
        <v>407</v>
      </c>
      <c r="F69">
        <v>0.2</v>
      </c>
      <c r="G69">
        <v>6.13</v>
      </c>
      <c r="H69">
        <v>5.82</v>
      </c>
      <c r="I69">
        <v>5.95</v>
      </c>
      <c r="J69">
        <v>5.95</v>
      </c>
      <c r="K69">
        <v>5.22</v>
      </c>
      <c r="L69">
        <v>5.54</v>
      </c>
      <c r="M69">
        <v>3.88</v>
      </c>
      <c r="N69">
        <v>5.51</v>
      </c>
      <c r="O69">
        <v>3.44</v>
      </c>
      <c r="P69">
        <v>3.99</v>
      </c>
      <c r="Q69">
        <v>5.3</v>
      </c>
      <c r="R69">
        <v>5.65</v>
      </c>
      <c r="S69">
        <v>4.8</v>
      </c>
      <c r="T69">
        <v>5.64</v>
      </c>
      <c r="U69">
        <v>5.01</v>
      </c>
    </row>
    <row r="70" spans="1:36">
      <c r="A70">
        <v>81</v>
      </c>
      <c r="B70" t="s">
        <v>413</v>
      </c>
      <c r="C70" t="s">
        <v>452</v>
      </c>
      <c r="D70" t="s">
        <v>455</v>
      </c>
      <c r="E70" s="405" t="s">
        <v>407</v>
      </c>
      <c r="F70">
        <v>0.2</v>
      </c>
      <c r="G70">
        <v>5.0599999999999996</v>
      </c>
      <c r="H70">
        <v>5.83</v>
      </c>
      <c r="I70">
        <v>4.8499999999999996</v>
      </c>
      <c r="J70">
        <v>5.71</v>
      </c>
      <c r="K70">
        <v>4.9400000000000004</v>
      </c>
      <c r="L70">
        <v>5.1100000000000003</v>
      </c>
      <c r="M70">
        <v>4.42</v>
      </c>
      <c r="N70">
        <v>4.26</v>
      </c>
      <c r="O70">
        <v>5.93</v>
      </c>
      <c r="P70">
        <v>5.99</v>
      </c>
      <c r="Q70">
        <v>4.74</v>
      </c>
      <c r="R70">
        <v>5.88</v>
      </c>
      <c r="S70">
        <v>4.66</v>
      </c>
      <c r="T70">
        <v>5.23</v>
      </c>
      <c r="U70">
        <v>4.5</v>
      </c>
    </row>
    <row r="71" spans="1:36" s="54" customFormat="1">
      <c r="A71">
        <v>82</v>
      </c>
      <c r="B71" t="s">
        <v>413</v>
      </c>
      <c r="C71" t="s">
        <v>452</v>
      </c>
      <c r="D71" t="s">
        <v>455</v>
      </c>
      <c r="E71" s="405" t="s">
        <v>407</v>
      </c>
      <c r="F71">
        <v>0.2</v>
      </c>
      <c r="G71">
        <v>4.78</v>
      </c>
      <c r="H71">
        <v>3.89</v>
      </c>
      <c r="I71">
        <v>4.93</v>
      </c>
      <c r="J71">
        <v>4.7699999999999996</v>
      </c>
      <c r="K71">
        <v>4.26</v>
      </c>
      <c r="L71">
        <v>5.52</v>
      </c>
      <c r="M71">
        <v>5.29</v>
      </c>
      <c r="N71" t="s">
        <v>408</v>
      </c>
      <c r="O71">
        <v>4.21</v>
      </c>
      <c r="P71">
        <v>4.57</v>
      </c>
      <c r="Q71">
        <v>5.77</v>
      </c>
      <c r="R71">
        <v>5.2</v>
      </c>
      <c r="S71">
        <v>4.47</v>
      </c>
      <c r="T71">
        <v>5.96</v>
      </c>
      <c r="U71">
        <v>3.79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>
      <c r="A72">
        <v>83</v>
      </c>
      <c r="B72" t="s">
        <v>413</v>
      </c>
      <c r="C72" t="s">
        <v>452</v>
      </c>
      <c r="D72" t="s">
        <v>455</v>
      </c>
      <c r="E72" s="405" t="s">
        <v>407</v>
      </c>
      <c r="F72">
        <v>0.2</v>
      </c>
      <c r="G72">
        <v>4.0599999999999996</v>
      </c>
      <c r="H72">
        <v>4.8600000000000003</v>
      </c>
      <c r="I72">
        <v>4.43</v>
      </c>
      <c r="J72">
        <v>4.96</v>
      </c>
      <c r="K72">
        <v>4.62</v>
      </c>
      <c r="L72">
        <v>4.6100000000000003</v>
      </c>
      <c r="M72">
        <v>4.67</v>
      </c>
      <c r="N72">
        <v>4.16</v>
      </c>
      <c r="O72">
        <v>5.25</v>
      </c>
      <c r="P72">
        <v>5.5</v>
      </c>
      <c r="Q72">
        <v>4.47</v>
      </c>
      <c r="R72">
        <v>5.27</v>
      </c>
      <c r="S72">
        <v>5.88</v>
      </c>
      <c r="T72">
        <v>5.95</v>
      </c>
      <c r="U72">
        <v>5.37</v>
      </c>
    </row>
    <row r="73" spans="1:36">
      <c r="A73">
        <v>84</v>
      </c>
      <c r="B73" t="s">
        <v>413</v>
      </c>
      <c r="C73" t="s">
        <v>452</v>
      </c>
      <c r="D73" t="s">
        <v>455</v>
      </c>
      <c r="E73" s="405" t="s">
        <v>407</v>
      </c>
      <c r="F73">
        <v>0.2</v>
      </c>
      <c r="G73">
        <v>4.5199999999999996</v>
      </c>
      <c r="H73">
        <v>4.2699999999999996</v>
      </c>
      <c r="I73">
        <v>4.91</v>
      </c>
      <c r="J73">
        <v>5.09</v>
      </c>
      <c r="K73">
        <v>4.78</v>
      </c>
      <c r="L73">
        <v>5.64</v>
      </c>
      <c r="M73">
        <v>6.02</v>
      </c>
      <c r="N73">
        <v>3.69</v>
      </c>
      <c r="O73">
        <v>5.59</v>
      </c>
      <c r="P73">
        <v>4.74</v>
      </c>
      <c r="Q73">
        <v>4.59</v>
      </c>
      <c r="R73">
        <v>5.33</v>
      </c>
      <c r="S73">
        <v>5.24</v>
      </c>
      <c r="T73">
        <v>5.74</v>
      </c>
      <c r="U73">
        <v>6.09</v>
      </c>
    </row>
    <row r="74" spans="1:36">
      <c r="A74">
        <v>85</v>
      </c>
      <c r="B74" t="s">
        <v>413</v>
      </c>
      <c r="C74" t="s">
        <v>452</v>
      </c>
      <c r="D74" t="s">
        <v>455</v>
      </c>
      <c r="E74" s="54" t="s">
        <v>406</v>
      </c>
      <c r="F74" s="54">
        <v>0.6</v>
      </c>
      <c r="G74" s="54">
        <v>7.2</v>
      </c>
      <c r="H74" s="54">
        <v>6.89</v>
      </c>
      <c r="I74" s="54">
        <v>9.35</v>
      </c>
      <c r="J74" s="54">
        <v>6.87</v>
      </c>
      <c r="K74" s="54">
        <v>9.76</v>
      </c>
      <c r="L74" s="54">
        <v>7.43</v>
      </c>
      <c r="M74" s="54">
        <v>8.07</v>
      </c>
      <c r="N74" s="54">
        <v>6.54</v>
      </c>
      <c r="O74" s="54">
        <v>7.93</v>
      </c>
      <c r="P74" s="54">
        <v>6.78</v>
      </c>
      <c r="Q74" s="54">
        <v>9.11</v>
      </c>
      <c r="R74" s="54">
        <v>6.85</v>
      </c>
      <c r="S74" s="54">
        <v>10.79</v>
      </c>
      <c r="T74" s="54">
        <v>7.11</v>
      </c>
      <c r="U74" s="54">
        <v>6.64</v>
      </c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</row>
    <row r="75" spans="1:36">
      <c r="A75">
        <v>86</v>
      </c>
      <c r="B75" t="s">
        <v>413</v>
      </c>
      <c r="C75" t="s">
        <v>452</v>
      </c>
      <c r="D75" t="s">
        <v>455</v>
      </c>
      <c r="E75" s="405" t="s">
        <v>406</v>
      </c>
      <c r="F75">
        <v>0.8</v>
      </c>
      <c r="G75">
        <v>6.99</v>
      </c>
      <c r="H75">
        <v>7.3</v>
      </c>
      <c r="I75">
        <v>7.23</v>
      </c>
      <c r="J75">
        <v>9.9700000000000006</v>
      </c>
      <c r="K75">
        <v>8.4499999999999993</v>
      </c>
      <c r="L75">
        <v>7.5</v>
      </c>
      <c r="M75">
        <v>8.2100000000000009</v>
      </c>
      <c r="N75">
        <v>8.67</v>
      </c>
      <c r="O75">
        <v>6.28</v>
      </c>
      <c r="P75">
        <v>6.21</v>
      </c>
      <c r="Q75">
        <v>9.75</v>
      </c>
      <c r="R75">
        <v>9.24</v>
      </c>
      <c r="S75">
        <v>7.17</v>
      </c>
      <c r="T75">
        <v>7.26</v>
      </c>
      <c r="U75">
        <v>10.210000000000001</v>
      </c>
    </row>
    <row r="76" spans="1:36">
      <c r="A76">
        <v>87</v>
      </c>
      <c r="B76" t="s">
        <v>413</v>
      </c>
      <c r="C76" t="s">
        <v>452</v>
      </c>
      <c r="D76" t="s">
        <v>455</v>
      </c>
      <c r="E76" s="405" t="s">
        <v>406</v>
      </c>
      <c r="F76">
        <v>0.7</v>
      </c>
      <c r="G76" s="405">
        <v>7.14</v>
      </c>
      <c r="H76">
        <v>7.95</v>
      </c>
      <c r="I76">
        <v>7.51</v>
      </c>
      <c r="J76">
        <v>6.22</v>
      </c>
      <c r="K76">
        <v>6.38</v>
      </c>
      <c r="L76">
        <v>6.61</v>
      </c>
      <c r="M76">
        <v>6.26</v>
      </c>
      <c r="N76">
        <v>8.64</v>
      </c>
      <c r="O76">
        <v>9.99</v>
      </c>
      <c r="P76">
        <v>6.36</v>
      </c>
      <c r="Q76">
        <v>6.34</v>
      </c>
      <c r="R76">
        <v>7.58</v>
      </c>
      <c r="S76">
        <v>7.56</v>
      </c>
      <c r="T76">
        <v>10.91</v>
      </c>
      <c r="U76">
        <v>8.25</v>
      </c>
    </row>
    <row r="77" spans="1:36">
      <c r="A77">
        <v>88</v>
      </c>
      <c r="B77" t="s">
        <v>413</v>
      </c>
      <c r="C77" t="s">
        <v>452</v>
      </c>
      <c r="D77" t="s">
        <v>455</v>
      </c>
      <c r="E77" s="405" t="s">
        <v>406</v>
      </c>
      <c r="F77">
        <v>0.9</v>
      </c>
      <c r="G77">
        <v>7.53</v>
      </c>
      <c r="H77">
        <v>7.68</v>
      </c>
      <c r="I77">
        <v>9.81</v>
      </c>
      <c r="J77">
        <v>6.6</v>
      </c>
      <c r="K77">
        <v>7.33</v>
      </c>
      <c r="L77">
        <v>6.81</v>
      </c>
      <c r="M77">
        <v>6.23</v>
      </c>
      <c r="N77">
        <v>6.22</v>
      </c>
      <c r="O77">
        <v>7.16</v>
      </c>
      <c r="P77">
        <v>14.36</v>
      </c>
      <c r="Q77">
        <v>7.17</v>
      </c>
      <c r="R77">
        <v>8.5</v>
      </c>
      <c r="S77">
        <v>6.65</v>
      </c>
      <c r="T77">
        <v>8.27</v>
      </c>
      <c r="U77">
        <v>6.8</v>
      </c>
    </row>
    <row r="78" spans="1:36">
      <c r="A78">
        <v>89</v>
      </c>
      <c r="B78" t="s">
        <v>413</v>
      </c>
      <c r="C78" t="s">
        <v>452</v>
      </c>
      <c r="D78" t="s">
        <v>455</v>
      </c>
      <c r="E78" s="405" t="s">
        <v>406</v>
      </c>
      <c r="F78">
        <v>0.7</v>
      </c>
      <c r="G78" s="405">
        <v>6.71</v>
      </c>
      <c r="H78">
        <v>7.71</v>
      </c>
      <c r="I78">
        <v>7.74</v>
      </c>
      <c r="J78">
        <v>7.28</v>
      </c>
      <c r="K78">
        <v>7.26</v>
      </c>
      <c r="L78">
        <v>7.33</v>
      </c>
      <c r="M78">
        <v>9.3000000000000007</v>
      </c>
      <c r="N78">
        <v>9.32</v>
      </c>
      <c r="O78">
        <v>7.29</v>
      </c>
      <c r="P78">
        <v>10.01</v>
      </c>
      <c r="Q78">
        <v>9.18</v>
      </c>
      <c r="R78">
        <v>8.35</v>
      </c>
      <c r="S78">
        <v>8.02</v>
      </c>
      <c r="T78">
        <v>7.16</v>
      </c>
      <c r="U78">
        <v>7.61</v>
      </c>
    </row>
    <row r="79" spans="1:36">
      <c r="A79">
        <v>90</v>
      </c>
      <c r="B79" t="s">
        <v>413</v>
      </c>
      <c r="C79" t="s">
        <v>452</v>
      </c>
      <c r="D79" t="s">
        <v>455</v>
      </c>
      <c r="E79" s="405" t="s">
        <v>406</v>
      </c>
      <c r="F79">
        <v>0.7</v>
      </c>
      <c r="G79" s="405">
        <v>6.32</v>
      </c>
      <c r="H79">
        <v>6.87</v>
      </c>
      <c r="I79">
        <v>6.29</v>
      </c>
      <c r="J79">
        <v>7</v>
      </c>
      <c r="K79">
        <v>6.58</v>
      </c>
      <c r="L79">
        <v>8.16</v>
      </c>
      <c r="M79">
        <v>6.61</v>
      </c>
      <c r="N79">
        <v>7.88</v>
      </c>
      <c r="O79">
        <v>9.8000000000000007</v>
      </c>
      <c r="P79">
        <v>6.81</v>
      </c>
      <c r="Q79">
        <v>9.69</v>
      </c>
      <c r="R79">
        <v>8.75</v>
      </c>
      <c r="S79">
        <v>7.01</v>
      </c>
      <c r="T79">
        <v>7.45</v>
      </c>
      <c r="U79">
        <v>7.07</v>
      </c>
    </row>
    <row r="80" spans="1:36">
      <c r="A80">
        <v>91</v>
      </c>
      <c r="B80" t="s">
        <v>413</v>
      </c>
      <c r="C80" t="s">
        <v>452</v>
      </c>
      <c r="D80" t="s">
        <v>455</v>
      </c>
      <c r="E80" s="405" t="s">
        <v>406</v>
      </c>
      <c r="F80">
        <v>0.6</v>
      </c>
      <c r="G80" s="405">
        <v>7.02</v>
      </c>
      <c r="H80">
        <v>12.01</v>
      </c>
      <c r="I80">
        <v>7.04</v>
      </c>
      <c r="J80">
        <v>7.76</v>
      </c>
      <c r="K80">
        <v>7.71</v>
      </c>
      <c r="L80">
        <v>8.81</v>
      </c>
      <c r="M80">
        <v>6.88</v>
      </c>
      <c r="N80">
        <v>6.69</v>
      </c>
      <c r="O80">
        <v>6.21</v>
      </c>
      <c r="P80">
        <v>6.47</v>
      </c>
      <c r="Q80">
        <v>6.98</v>
      </c>
      <c r="R80">
        <v>7.4</v>
      </c>
      <c r="S80">
        <v>6.44</v>
      </c>
      <c r="T80">
        <v>6.66</v>
      </c>
      <c r="U80">
        <v>6.19</v>
      </c>
    </row>
    <row r="81" spans="1:36">
      <c r="A81">
        <v>92</v>
      </c>
      <c r="B81" t="s">
        <v>413</v>
      </c>
      <c r="C81" t="s">
        <v>452</v>
      </c>
      <c r="D81" t="s">
        <v>455</v>
      </c>
      <c r="E81" s="405" t="s">
        <v>406</v>
      </c>
      <c r="F81">
        <v>0.6</v>
      </c>
      <c r="G81" s="405">
        <v>6.96</v>
      </c>
      <c r="H81">
        <v>7.18</v>
      </c>
      <c r="I81">
        <v>7.08</v>
      </c>
      <c r="J81">
        <v>7.44</v>
      </c>
      <c r="K81">
        <v>8.5500000000000007</v>
      </c>
      <c r="L81">
        <v>6.72</v>
      </c>
      <c r="M81">
        <v>6.21</v>
      </c>
      <c r="N81">
        <v>7.75</v>
      </c>
      <c r="O81">
        <v>9.43</v>
      </c>
      <c r="P81">
        <v>8.27</v>
      </c>
      <c r="Q81">
        <v>8.18</v>
      </c>
      <c r="R81">
        <v>8.2200000000000006</v>
      </c>
      <c r="S81">
        <v>6.21</v>
      </c>
      <c r="T81">
        <v>6.37</v>
      </c>
      <c r="U81">
        <v>7.35</v>
      </c>
    </row>
    <row r="82" spans="1:36">
      <c r="A82">
        <v>93</v>
      </c>
      <c r="B82" t="s">
        <v>413</v>
      </c>
      <c r="C82" t="s">
        <v>452</v>
      </c>
      <c r="D82" t="s">
        <v>455</v>
      </c>
      <c r="E82" s="405" t="s">
        <v>406</v>
      </c>
      <c r="F82">
        <v>0.9</v>
      </c>
      <c r="G82" s="405">
        <v>6.27</v>
      </c>
      <c r="H82">
        <v>10.09</v>
      </c>
      <c r="I82">
        <v>7.55</v>
      </c>
      <c r="J82">
        <v>8.57</v>
      </c>
      <c r="K82">
        <v>6.24</v>
      </c>
      <c r="L82">
        <v>8.09</v>
      </c>
      <c r="M82">
        <v>9.31</v>
      </c>
      <c r="N82">
        <v>8.98</v>
      </c>
      <c r="O82">
        <v>6.83</v>
      </c>
      <c r="P82">
        <v>6.79</v>
      </c>
      <c r="Q82">
        <v>7.95</v>
      </c>
      <c r="R82">
        <v>7.25</v>
      </c>
      <c r="S82">
        <v>9.69</v>
      </c>
      <c r="T82">
        <v>7.59</v>
      </c>
      <c r="U82">
        <v>9.3000000000000007</v>
      </c>
    </row>
    <row r="83" spans="1:36" s="54" customFormat="1">
      <c r="A83">
        <v>94</v>
      </c>
      <c r="B83" t="s">
        <v>413</v>
      </c>
      <c r="C83" t="s">
        <v>452</v>
      </c>
      <c r="D83" t="s">
        <v>455</v>
      </c>
      <c r="E83" s="405" t="s">
        <v>406</v>
      </c>
      <c r="F83">
        <v>0.9</v>
      </c>
      <c r="G83" s="405">
        <v>8.8699999999999992</v>
      </c>
      <c r="H83">
        <v>10.97</v>
      </c>
      <c r="I83">
        <v>8.02</v>
      </c>
      <c r="J83">
        <v>6.86</v>
      </c>
      <c r="K83">
        <v>7.64</v>
      </c>
      <c r="L83">
        <v>7.54</v>
      </c>
      <c r="M83">
        <v>8.94</v>
      </c>
      <c r="N83">
        <v>8.86</v>
      </c>
      <c r="O83">
        <v>7.57</v>
      </c>
      <c r="P83">
        <v>6.98</v>
      </c>
      <c r="Q83">
        <v>7.65</v>
      </c>
      <c r="R83">
        <v>7.04</v>
      </c>
      <c r="S83">
        <v>7.3</v>
      </c>
      <c r="T83">
        <v>9</v>
      </c>
      <c r="U83">
        <v>8.32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>
      <c r="A84">
        <v>95</v>
      </c>
      <c r="B84" t="s">
        <v>413</v>
      </c>
      <c r="C84" t="s">
        <v>452</v>
      </c>
      <c r="D84" t="s">
        <v>455</v>
      </c>
      <c r="E84" s="405" t="s">
        <v>406</v>
      </c>
      <c r="F84">
        <v>0.6</v>
      </c>
      <c r="G84" s="405">
        <v>8.7200000000000006</v>
      </c>
      <c r="H84">
        <v>7.97</v>
      </c>
      <c r="I84">
        <v>6.43</v>
      </c>
      <c r="J84">
        <v>7.73</v>
      </c>
      <c r="K84">
        <v>6.44</v>
      </c>
      <c r="L84">
        <v>6.66</v>
      </c>
      <c r="M84">
        <v>6.95</v>
      </c>
      <c r="N84">
        <v>6.84</v>
      </c>
      <c r="O84">
        <v>8.49</v>
      </c>
      <c r="P84">
        <v>6.73</v>
      </c>
      <c r="Q84">
        <v>6.66</v>
      </c>
      <c r="R84">
        <v>7</v>
      </c>
      <c r="S84">
        <v>7.32</v>
      </c>
      <c r="T84">
        <v>6.7</v>
      </c>
      <c r="U84">
        <v>6.08</v>
      </c>
    </row>
    <row r="85" spans="1:36">
      <c r="A85">
        <v>96</v>
      </c>
      <c r="B85" t="s">
        <v>413</v>
      </c>
      <c r="C85" t="s">
        <v>452</v>
      </c>
      <c r="D85" t="s">
        <v>455</v>
      </c>
      <c r="E85" s="405" t="s">
        <v>406</v>
      </c>
      <c r="F85">
        <v>0.5</v>
      </c>
      <c r="G85" s="405">
        <v>6.17</v>
      </c>
      <c r="H85">
        <v>6.62</v>
      </c>
      <c r="I85">
        <v>7.01</v>
      </c>
      <c r="J85">
        <v>6.29</v>
      </c>
      <c r="K85">
        <v>6.84</v>
      </c>
      <c r="L85">
        <v>6.18</v>
      </c>
      <c r="M85">
        <v>7.01</v>
      </c>
      <c r="N85">
        <v>6.16</v>
      </c>
      <c r="O85">
        <v>7.17</v>
      </c>
      <c r="P85">
        <v>6.74</v>
      </c>
      <c r="Q85">
        <v>6.88</v>
      </c>
      <c r="R85">
        <v>8.7100000000000009</v>
      </c>
      <c r="S85">
        <v>7.4</v>
      </c>
      <c r="T85">
        <v>6.24</v>
      </c>
      <c r="U85">
        <v>6.29</v>
      </c>
    </row>
    <row r="86" spans="1:36">
      <c r="A86" t="s">
        <v>461</v>
      </c>
      <c r="B86" t="s">
        <v>413</v>
      </c>
      <c r="C86" t="s">
        <v>452</v>
      </c>
      <c r="D86" t="s">
        <v>455</v>
      </c>
      <c r="E86" t="s">
        <v>461</v>
      </c>
      <c r="F86" t="s">
        <v>461</v>
      </c>
      <c r="G86">
        <v>6.07</v>
      </c>
      <c r="H86">
        <v>5.22</v>
      </c>
      <c r="I86">
        <v>3.66</v>
      </c>
      <c r="J86">
        <v>5.86</v>
      </c>
      <c r="K86">
        <v>5.32</v>
      </c>
      <c r="L86">
        <v>3.14</v>
      </c>
      <c r="M86">
        <v>2.9</v>
      </c>
      <c r="N86">
        <v>4.43</v>
      </c>
      <c r="O86">
        <v>5.79</v>
      </c>
      <c r="P86">
        <v>4.38</v>
      </c>
      <c r="Q86">
        <v>5.13</v>
      </c>
      <c r="R86">
        <v>4.16</v>
      </c>
      <c r="S86">
        <v>4.95</v>
      </c>
      <c r="T86">
        <v>3.68</v>
      </c>
      <c r="U86">
        <v>5.2</v>
      </c>
      <c r="V86">
        <v>4.7</v>
      </c>
      <c r="W86">
        <v>3.57</v>
      </c>
      <c r="X86">
        <v>3.73</v>
      </c>
      <c r="Y86">
        <v>3.58</v>
      </c>
      <c r="Z86">
        <v>5.15</v>
      </c>
    </row>
    <row r="87" spans="1:36">
      <c r="A87" t="s">
        <v>461</v>
      </c>
      <c r="B87" t="s">
        <v>413</v>
      </c>
      <c r="C87" t="s">
        <v>452</v>
      </c>
      <c r="D87" t="s">
        <v>455</v>
      </c>
      <c r="E87" t="s">
        <v>461</v>
      </c>
      <c r="F87" t="s">
        <v>461</v>
      </c>
      <c r="G87">
        <v>3.12</v>
      </c>
      <c r="H87">
        <v>5.16</v>
      </c>
      <c r="I87">
        <v>3.68</v>
      </c>
      <c r="J87">
        <v>3.47</v>
      </c>
      <c r="K87">
        <v>5.07</v>
      </c>
      <c r="L87">
        <v>6.01</v>
      </c>
      <c r="M87">
        <v>3.03</v>
      </c>
      <c r="N87">
        <v>3.41</v>
      </c>
      <c r="O87">
        <v>3.29</v>
      </c>
      <c r="P87">
        <v>3.62</v>
      </c>
      <c r="Q87">
        <v>3.83</v>
      </c>
      <c r="R87">
        <v>5.41</v>
      </c>
      <c r="S87">
        <v>4.32</v>
      </c>
      <c r="T87">
        <v>3.35</v>
      </c>
      <c r="U87">
        <v>6.43</v>
      </c>
      <c r="V87">
        <v>5.25</v>
      </c>
      <c r="W87">
        <v>4.22</v>
      </c>
      <c r="X87">
        <v>2.4</v>
      </c>
      <c r="Y87">
        <v>2.08</v>
      </c>
      <c r="Z87">
        <v>4.07</v>
      </c>
    </row>
    <row r="88" spans="1:36">
      <c r="A88" t="s">
        <v>461</v>
      </c>
      <c r="B88" t="s">
        <v>413</v>
      </c>
      <c r="C88" t="s">
        <v>452</v>
      </c>
      <c r="D88" t="s">
        <v>455</v>
      </c>
      <c r="E88" t="s">
        <v>461</v>
      </c>
      <c r="F88" t="s">
        <v>461</v>
      </c>
      <c r="G88">
        <v>3.97</v>
      </c>
      <c r="H88">
        <v>5.42</v>
      </c>
      <c r="I88">
        <v>5.03</v>
      </c>
      <c r="J88">
        <v>5.55</v>
      </c>
      <c r="K88">
        <v>2.89</v>
      </c>
      <c r="L88">
        <v>6.57</v>
      </c>
      <c r="M88">
        <v>4.24</v>
      </c>
      <c r="N88">
        <v>3.99</v>
      </c>
      <c r="O88">
        <v>2.72</v>
      </c>
      <c r="P88">
        <v>3.57</v>
      </c>
      <c r="Q88">
        <v>6.38</v>
      </c>
      <c r="R88">
        <v>2.99</v>
      </c>
      <c r="S88">
        <v>4.1100000000000003</v>
      </c>
      <c r="T88">
        <v>4.3</v>
      </c>
      <c r="U88">
        <v>4.99</v>
      </c>
      <c r="V88">
        <v>4.5999999999999996</v>
      </c>
      <c r="W88">
        <v>3.21</v>
      </c>
      <c r="X88">
        <v>5.41</v>
      </c>
      <c r="Y88">
        <v>3</v>
      </c>
      <c r="Z88">
        <v>3.66</v>
      </c>
    </row>
    <row r="89" spans="1:36">
      <c r="A89" t="s">
        <v>461</v>
      </c>
      <c r="B89" t="s">
        <v>413</v>
      </c>
      <c r="C89" t="s">
        <v>452</v>
      </c>
      <c r="D89" t="s">
        <v>455</v>
      </c>
      <c r="E89" t="s">
        <v>461</v>
      </c>
      <c r="F89" t="s">
        <v>461</v>
      </c>
      <c r="G89">
        <v>3.69</v>
      </c>
      <c r="H89">
        <v>4.88</v>
      </c>
      <c r="I89">
        <v>7.54</v>
      </c>
      <c r="J89">
        <v>6.28</v>
      </c>
      <c r="K89">
        <v>4.68</v>
      </c>
      <c r="L89">
        <v>4.7300000000000004</v>
      </c>
      <c r="M89">
        <v>6.08</v>
      </c>
      <c r="N89">
        <v>4.54</v>
      </c>
      <c r="O89">
        <v>4.8099999999999996</v>
      </c>
      <c r="P89">
        <v>4.0999999999999996</v>
      </c>
      <c r="Q89">
        <v>5.07</v>
      </c>
      <c r="R89">
        <v>4.79</v>
      </c>
      <c r="S89">
        <v>3.14</v>
      </c>
      <c r="T89">
        <v>4.41</v>
      </c>
      <c r="U89">
        <v>4.43</v>
      </c>
      <c r="V89">
        <v>3.19</v>
      </c>
      <c r="W89">
        <v>4.63</v>
      </c>
      <c r="X89">
        <v>4.8</v>
      </c>
      <c r="Y89">
        <v>3.05</v>
      </c>
      <c r="Z89">
        <v>3.18</v>
      </c>
    </row>
    <row r="90" spans="1:36">
      <c r="A90" t="s">
        <v>461</v>
      </c>
      <c r="B90" t="s">
        <v>413</v>
      </c>
      <c r="C90" t="s">
        <v>452</v>
      </c>
      <c r="D90" t="s">
        <v>455</v>
      </c>
      <c r="E90" t="s">
        <v>461</v>
      </c>
      <c r="F90" t="s">
        <v>461</v>
      </c>
      <c r="G90">
        <v>4.92</v>
      </c>
      <c r="H90">
        <v>3.64</v>
      </c>
      <c r="I90">
        <v>5.69</v>
      </c>
      <c r="J90">
        <v>3.18</v>
      </c>
      <c r="K90">
        <v>5.51</v>
      </c>
      <c r="L90">
        <v>3.84</v>
      </c>
      <c r="M90">
        <v>2.81</v>
      </c>
      <c r="N90">
        <v>5.52</v>
      </c>
      <c r="O90">
        <v>3.64</v>
      </c>
      <c r="P90">
        <v>3.44</v>
      </c>
      <c r="Q90">
        <v>4.05</v>
      </c>
      <c r="R90">
        <v>5.64</v>
      </c>
      <c r="S90">
        <v>3.51</v>
      </c>
      <c r="T90">
        <v>3.32</v>
      </c>
      <c r="U90">
        <v>4.55</v>
      </c>
      <c r="V90">
        <v>4.3</v>
      </c>
      <c r="W90">
        <v>6.99</v>
      </c>
      <c r="X90">
        <v>3.35</v>
      </c>
      <c r="Y90">
        <v>4.01</v>
      </c>
      <c r="Z90">
        <v>3.46</v>
      </c>
    </row>
    <row r="91" spans="1:36">
      <c r="A91" s="408" t="s">
        <v>403</v>
      </c>
      <c r="B91" s="408" t="s">
        <v>472</v>
      </c>
      <c r="C91" s="408" t="s">
        <v>457</v>
      </c>
      <c r="D91" s="408" t="s">
        <v>454</v>
      </c>
      <c r="E91" s="408" t="s">
        <v>403</v>
      </c>
      <c r="F91" s="408" t="s">
        <v>403</v>
      </c>
      <c r="G91" s="408">
        <v>15.51</v>
      </c>
      <c r="H91" s="408">
        <v>11.66</v>
      </c>
      <c r="I91" s="408">
        <v>15.25</v>
      </c>
      <c r="J91" s="408">
        <v>9.1999999999999993</v>
      </c>
      <c r="K91" s="408">
        <v>9.08</v>
      </c>
      <c r="L91" s="408">
        <v>11.84</v>
      </c>
      <c r="M91" s="408">
        <v>15.1</v>
      </c>
      <c r="N91" s="408">
        <v>17.96</v>
      </c>
      <c r="O91" s="408">
        <v>7.49</v>
      </c>
      <c r="P91" s="408">
        <v>11.37</v>
      </c>
      <c r="Q91" s="408">
        <v>3.8</v>
      </c>
      <c r="R91" s="408">
        <v>5.77</v>
      </c>
      <c r="S91" s="408">
        <v>6.87</v>
      </c>
      <c r="T91" s="408">
        <v>8.74</v>
      </c>
      <c r="U91" s="408">
        <v>13.48</v>
      </c>
      <c r="V91" s="408">
        <v>15.09</v>
      </c>
      <c r="W91" s="408">
        <v>17.399999999999999</v>
      </c>
      <c r="X91" s="408">
        <v>9.52</v>
      </c>
      <c r="Y91" s="408">
        <v>10.28</v>
      </c>
      <c r="Z91" s="408">
        <v>3.96</v>
      </c>
      <c r="AA91" s="408">
        <v>2.81</v>
      </c>
      <c r="AB91" s="408">
        <v>14.14</v>
      </c>
      <c r="AC91" s="408">
        <v>5.28</v>
      </c>
      <c r="AD91" s="408">
        <v>13.3</v>
      </c>
      <c r="AE91" s="408">
        <v>15.63</v>
      </c>
      <c r="AF91" s="408"/>
      <c r="AG91" s="408"/>
      <c r="AH91" s="408"/>
      <c r="AI91" s="408"/>
      <c r="AJ91" s="408"/>
    </row>
    <row r="92" spans="1:36">
      <c r="A92" s="408">
        <v>159</v>
      </c>
      <c r="B92" s="408" t="s">
        <v>472</v>
      </c>
      <c r="C92" s="408" t="s">
        <v>457</v>
      </c>
      <c r="D92" s="408" t="s">
        <v>454</v>
      </c>
      <c r="E92" s="408" t="s">
        <v>406</v>
      </c>
      <c r="F92" s="408">
        <v>5</v>
      </c>
      <c r="G92" s="408">
        <v>18.13</v>
      </c>
      <c r="H92" s="408">
        <v>13.86</v>
      </c>
      <c r="I92" s="408">
        <v>11.24</v>
      </c>
      <c r="J92" s="408">
        <v>15.44</v>
      </c>
      <c r="K92" s="408">
        <v>15.13</v>
      </c>
      <c r="L92" s="408">
        <v>16.07</v>
      </c>
      <c r="M92" s="408">
        <v>15.26</v>
      </c>
      <c r="N92" s="408">
        <v>17.190000000000001</v>
      </c>
      <c r="O92" s="408">
        <v>14.71</v>
      </c>
      <c r="P92" s="408">
        <v>14.01</v>
      </c>
      <c r="Q92" s="408">
        <v>13.94</v>
      </c>
      <c r="R92" s="408">
        <v>11.19</v>
      </c>
      <c r="S92" s="408">
        <v>13.5</v>
      </c>
      <c r="T92" s="408"/>
      <c r="U92" s="408"/>
      <c r="V92" s="408"/>
      <c r="W92" s="408"/>
      <c r="X92" s="408"/>
      <c r="Y92" s="408"/>
      <c r="Z92" s="408"/>
      <c r="AA92" s="408"/>
      <c r="AB92" s="408"/>
      <c r="AC92" s="408"/>
      <c r="AD92" s="408"/>
      <c r="AE92" s="408"/>
      <c r="AF92" s="408"/>
      <c r="AG92" s="408"/>
      <c r="AH92" s="408"/>
      <c r="AI92" s="408"/>
      <c r="AJ92" s="408"/>
    </row>
    <row r="93" spans="1:36">
      <c r="A93" s="408">
        <v>160</v>
      </c>
      <c r="B93" s="408" t="s">
        <v>472</v>
      </c>
      <c r="C93" s="408" t="s">
        <v>457</v>
      </c>
      <c r="D93" s="408" t="s">
        <v>454</v>
      </c>
      <c r="E93" s="408" t="s">
        <v>406</v>
      </c>
      <c r="F93" s="408">
        <v>3.6</v>
      </c>
      <c r="G93" s="408">
        <v>15.55</v>
      </c>
      <c r="H93" s="408">
        <v>14.56</v>
      </c>
      <c r="I93" s="408">
        <v>14.68</v>
      </c>
      <c r="J93" s="408">
        <v>14.83</v>
      </c>
      <c r="K93" s="408">
        <v>11.8</v>
      </c>
      <c r="L93" s="408">
        <v>12.27</v>
      </c>
      <c r="M93" s="408">
        <v>13.46</v>
      </c>
      <c r="N93" s="408">
        <v>14.49</v>
      </c>
      <c r="O93" s="408">
        <v>12.63</v>
      </c>
      <c r="P93" s="408">
        <v>11.92</v>
      </c>
      <c r="Q93" s="408">
        <v>13.74</v>
      </c>
      <c r="R93" s="408">
        <v>12</v>
      </c>
      <c r="S93" s="408">
        <v>13.01</v>
      </c>
      <c r="T93" s="408"/>
      <c r="U93" s="408"/>
      <c r="V93" s="408"/>
      <c r="W93" s="408"/>
      <c r="X93" s="408"/>
      <c r="Y93" s="408"/>
      <c r="Z93" s="408"/>
      <c r="AA93" s="408"/>
      <c r="AB93" s="408"/>
      <c r="AC93" s="408"/>
      <c r="AD93" s="408"/>
      <c r="AE93" s="408"/>
      <c r="AF93" s="408"/>
      <c r="AG93" s="408"/>
      <c r="AH93" s="408"/>
      <c r="AI93" s="408"/>
      <c r="AJ93" s="408"/>
    </row>
    <row r="94" spans="1:36">
      <c r="A94" s="408">
        <v>161</v>
      </c>
      <c r="B94" s="408" t="s">
        <v>472</v>
      </c>
      <c r="C94" s="408" t="s">
        <v>457</v>
      </c>
      <c r="D94" s="408" t="s">
        <v>454</v>
      </c>
      <c r="E94" s="408" t="s">
        <v>406</v>
      </c>
      <c r="F94" s="408">
        <v>4.2</v>
      </c>
      <c r="G94" s="408">
        <v>11.23</v>
      </c>
      <c r="H94" s="408">
        <v>16.170000000000002</v>
      </c>
      <c r="I94" s="408">
        <v>11.18</v>
      </c>
      <c r="J94" s="408">
        <v>13.62</v>
      </c>
      <c r="K94" s="408">
        <v>11.27</v>
      </c>
      <c r="L94" s="408">
        <v>12.77</v>
      </c>
      <c r="M94" s="408">
        <v>12.51</v>
      </c>
      <c r="N94" s="408">
        <v>16.27</v>
      </c>
      <c r="O94" s="408">
        <v>16.190000000000001</v>
      </c>
      <c r="P94" s="408">
        <v>17.14</v>
      </c>
      <c r="Q94" s="408">
        <v>20.77</v>
      </c>
      <c r="R94" s="408">
        <v>12.97</v>
      </c>
      <c r="S94" s="408">
        <v>12.44</v>
      </c>
      <c r="T94" s="408"/>
      <c r="U94" s="408"/>
      <c r="V94" s="408"/>
      <c r="W94" s="408"/>
      <c r="X94" s="408"/>
      <c r="Y94" s="408"/>
      <c r="Z94" s="408"/>
      <c r="AA94" s="408"/>
      <c r="AB94" s="408"/>
      <c r="AC94" s="408"/>
      <c r="AD94" s="408"/>
      <c r="AE94" s="408"/>
      <c r="AF94" s="408"/>
      <c r="AG94" s="408"/>
      <c r="AH94" s="408"/>
      <c r="AI94" s="408"/>
      <c r="AJ94" s="408"/>
    </row>
    <row r="95" spans="1:36">
      <c r="A95" s="408">
        <v>162</v>
      </c>
      <c r="B95" s="408" t="s">
        <v>472</v>
      </c>
      <c r="C95" s="408" t="s">
        <v>457</v>
      </c>
      <c r="D95" s="408" t="s">
        <v>454</v>
      </c>
      <c r="E95" s="408" t="s">
        <v>406</v>
      </c>
      <c r="F95" s="408">
        <v>4.9000000000000004</v>
      </c>
      <c r="G95" s="408">
        <v>15.69</v>
      </c>
      <c r="H95" s="408">
        <v>12.15</v>
      </c>
      <c r="I95" s="408">
        <v>13.19</v>
      </c>
      <c r="J95" s="408">
        <v>11.95</v>
      </c>
      <c r="K95" s="408">
        <v>11.8</v>
      </c>
      <c r="L95" s="408">
        <v>18.36</v>
      </c>
      <c r="M95" s="408">
        <v>18.829999999999998</v>
      </c>
      <c r="N95" s="408">
        <v>12.13</v>
      </c>
      <c r="O95" s="408">
        <v>14.56</v>
      </c>
      <c r="P95" s="408">
        <v>16.64</v>
      </c>
      <c r="Q95" s="408">
        <v>19.440000000000001</v>
      </c>
      <c r="R95" s="408">
        <v>15.97</v>
      </c>
      <c r="S95" s="408">
        <v>11.31</v>
      </c>
      <c r="T95" s="408"/>
      <c r="U95" s="408"/>
      <c r="V95" s="408"/>
      <c r="W95" s="408"/>
      <c r="X95" s="408"/>
      <c r="Y95" s="408"/>
      <c r="Z95" s="408"/>
      <c r="AA95" s="408"/>
      <c r="AB95" s="408"/>
      <c r="AC95" s="408"/>
      <c r="AD95" s="408"/>
      <c r="AE95" s="408"/>
      <c r="AF95" s="408"/>
      <c r="AG95" s="408"/>
      <c r="AH95" s="408"/>
      <c r="AI95" s="408"/>
      <c r="AJ95" s="408"/>
    </row>
    <row r="96" spans="1:36" s="54" customFormat="1">
      <c r="A96" s="408">
        <v>163</v>
      </c>
      <c r="B96" s="408" t="s">
        <v>472</v>
      </c>
      <c r="C96" s="408" t="s">
        <v>457</v>
      </c>
      <c r="D96" s="408" t="s">
        <v>454</v>
      </c>
      <c r="E96" s="408" t="s">
        <v>406</v>
      </c>
      <c r="F96" s="408">
        <v>4.3</v>
      </c>
      <c r="G96" s="408">
        <v>11.48</v>
      </c>
      <c r="H96" s="408">
        <v>15.69</v>
      </c>
      <c r="I96" s="408">
        <v>16.09</v>
      </c>
      <c r="J96" s="408">
        <v>16.48</v>
      </c>
      <c r="K96" s="408">
        <v>15.45</v>
      </c>
      <c r="L96" s="408">
        <v>13.44</v>
      </c>
      <c r="M96" s="408">
        <v>16.48</v>
      </c>
      <c r="N96" s="408">
        <v>11.11</v>
      </c>
      <c r="O96" s="408">
        <v>16.309999999999999</v>
      </c>
      <c r="P96" s="408">
        <v>16.670000000000002</v>
      </c>
      <c r="Q96" s="408">
        <v>13.61</v>
      </c>
      <c r="R96" s="408">
        <v>14.71</v>
      </c>
      <c r="S96" s="408">
        <v>14.61</v>
      </c>
      <c r="T96" s="408"/>
      <c r="U96" s="408"/>
      <c r="V96" s="408"/>
      <c r="W96" s="408"/>
      <c r="X96" s="408"/>
      <c r="Y96" s="408"/>
      <c r="Z96" s="408"/>
      <c r="AA96" s="408"/>
      <c r="AB96" s="408"/>
      <c r="AC96" s="408"/>
      <c r="AD96" s="408"/>
      <c r="AE96" s="408"/>
      <c r="AF96" s="408"/>
      <c r="AG96" s="408"/>
      <c r="AH96" s="408"/>
      <c r="AI96" s="408"/>
      <c r="AJ96" s="408"/>
    </row>
    <row r="97" spans="1:36">
      <c r="A97" s="408">
        <v>164</v>
      </c>
      <c r="B97" s="408" t="s">
        <v>472</v>
      </c>
      <c r="C97" s="408" t="s">
        <v>457</v>
      </c>
      <c r="D97" s="408" t="s">
        <v>454</v>
      </c>
      <c r="E97" s="408" t="s">
        <v>406</v>
      </c>
      <c r="F97" s="408">
        <v>3.3</v>
      </c>
      <c r="G97" s="408">
        <v>14.2</v>
      </c>
      <c r="H97" s="408">
        <v>11.94</v>
      </c>
      <c r="I97" s="408">
        <v>11.28</v>
      </c>
      <c r="J97" s="408">
        <v>12.61</v>
      </c>
      <c r="K97" s="408">
        <v>11.73</v>
      </c>
      <c r="L97" s="408">
        <v>13.59</v>
      </c>
      <c r="M97" s="408">
        <v>11.46</v>
      </c>
      <c r="N97" s="408">
        <v>12.91</v>
      </c>
      <c r="O97" s="408">
        <v>15.32</v>
      </c>
      <c r="P97" s="408">
        <v>13.56</v>
      </c>
      <c r="Q97" s="408">
        <v>12.24</v>
      </c>
      <c r="R97" s="408">
        <v>11.64</v>
      </c>
      <c r="S97" s="408">
        <v>12.64</v>
      </c>
      <c r="T97" s="408"/>
      <c r="U97" s="408"/>
      <c r="V97" s="408"/>
      <c r="W97" s="408"/>
      <c r="X97" s="408"/>
      <c r="Y97" s="408"/>
      <c r="Z97" s="408"/>
      <c r="AA97" s="408"/>
      <c r="AB97" s="408"/>
      <c r="AC97" s="408"/>
      <c r="AD97" s="408"/>
      <c r="AE97" s="408"/>
      <c r="AF97" s="408"/>
      <c r="AG97" s="408"/>
      <c r="AH97" s="408"/>
      <c r="AI97" s="408"/>
      <c r="AJ97" s="408"/>
    </row>
    <row r="98" spans="1:36">
      <c r="A98" s="408">
        <v>165</v>
      </c>
      <c r="B98" s="408" t="s">
        <v>472</v>
      </c>
      <c r="C98" s="408" t="s">
        <v>457</v>
      </c>
      <c r="D98" s="408" t="s">
        <v>454</v>
      </c>
      <c r="E98" s="408" t="s">
        <v>406</v>
      </c>
      <c r="F98" s="408">
        <v>3.3</v>
      </c>
      <c r="G98" s="408">
        <v>11.28</v>
      </c>
      <c r="H98" s="408">
        <v>11.02</v>
      </c>
      <c r="I98" s="408">
        <v>11.59</v>
      </c>
      <c r="J98" s="408">
        <v>13.5</v>
      </c>
      <c r="K98" s="408">
        <v>13.29</v>
      </c>
      <c r="L98" s="408">
        <v>11.17</v>
      </c>
      <c r="M98" s="408">
        <v>13.64</v>
      </c>
      <c r="N98" s="408">
        <v>16.13</v>
      </c>
      <c r="O98" s="408">
        <v>14.87</v>
      </c>
      <c r="P98" s="408">
        <v>12.06</v>
      </c>
      <c r="Q98" s="408">
        <v>14.07</v>
      </c>
      <c r="R98" s="408">
        <v>15.44</v>
      </c>
      <c r="S98" s="408">
        <v>12.45</v>
      </c>
      <c r="T98" s="408"/>
      <c r="U98" s="408"/>
      <c r="V98" s="408"/>
      <c r="W98" s="408"/>
      <c r="X98" s="408"/>
      <c r="Y98" s="408"/>
      <c r="Z98" s="408"/>
      <c r="AA98" s="408"/>
      <c r="AB98" s="408"/>
      <c r="AC98" s="408"/>
      <c r="AD98" s="408"/>
      <c r="AE98" s="408"/>
      <c r="AF98" s="408"/>
      <c r="AG98" s="408"/>
      <c r="AH98" s="408"/>
      <c r="AI98" s="408"/>
      <c r="AJ98" s="408"/>
    </row>
    <row r="99" spans="1:36">
      <c r="A99" s="408">
        <v>166</v>
      </c>
      <c r="B99" s="408" t="s">
        <v>472</v>
      </c>
      <c r="C99" s="408" t="s">
        <v>457</v>
      </c>
      <c r="D99" s="408" t="s">
        <v>454</v>
      </c>
      <c r="E99" s="408" t="s">
        <v>406</v>
      </c>
      <c r="F99" s="408">
        <v>4.5</v>
      </c>
      <c r="G99" s="408">
        <v>12.01</v>
      </c>
      <c r="H99" s="408">
        <v>12.06</v>
      </c>
      <c r="I99" s="408">
        <v>16.54</v>
      </c>
      <c r="J99" s="408">
        <v>15.11</v>
      </c>
      <c r="K99" s="408">
        <v>15.07</v>
      </c>
      <c r="L99" s="408">
        <v>16.440000000000001</v>
      </c>
      <c r="M99" s="408">
        <v>15.31</v>
      </c>
      <c r="N99" s="408">
        <v>13.16</v>
      </c>
      <c r="O99" s="408">
        <v>15.36</v>
      </c>
      <c r="P99" s="408">
        <v>12.24</v>
      </c>
      <c r="Q99" s="408">
        <v>15.91</v>
      </c>
      <c r="R99" s="408">
        <v>11.18</v>
      </c>
      <c r="S99" s="408">
        <v>13.17</v>
      </c>
      <c r="T99" s="408"/>
      <c r="U99" s="408"/>
      <c r="V99" s="408"/>
      <c r="W99" s="408"/>
      <c r="X99" s="408"/>
      <c r="Y99" s="408"/>
      <c r="Z99" s="408"/>
      <c r="AA99" s="408"/>
      <c r="AB99" s="408"/>
      <c r="AC99" s="408"/>
      <c r="AD99" s="408"/>
      <c r="AE99" s="408"/>
      <c r="AF99" s="408"/>
      <c r="AG99" s="408"/>
      <c r="AH99" s="408"/>
      <c r="AI99" s="408"/>
      <c r="AJ99" s="408"/>
    </row>
    <row r="100" spans="1:36">
      <c r="A100" s="408">
        <v>167</v>
      </c>
      <c r="B100" s="408" t="s">
        <v>472</v>
      </c>
      <c r="C100" s="408" t="s">
        <v>457</v>
      </c>
      <c r="D100" s="408" t="s">
        <v>454</v>
      </c>
      <c r="E100" s="408" t="s">
        <v>406</v>
      </c>
      <c r="F100" s="408">
        <v>4.5999999999999996</v>
      </c>
      <c r="G100" s="408">
        <v>15.35</v>
      </c>
      <c r="H100" s="408">
        <v>11.31</v>
      </c>
      <c r="I100" s="408">
        <v>14.3</v>
      </c>
      <c r="J100" s="408">
        <v>16.829999999999998</v>
      </c>
      <c r="K100" s="408">
        <v>12.55</v>
      </c>
      <c r="L100" s="408">
        <v>13.84</v>
      </c>
      <c r="M100" s="408">
        <v>13.91</v>
      </c>
      <c r="N100" s="408">
        <v>15.77</v>
      </c>
      <c r="O100" s="408">
        <v>15.61</v>
      </c>
      <c r="P100" s="408">
        <v>17.77</v>
      </c>
      <c r="Q100" s="408">
        <v>16.27</v>
      </c>
      <c r="R100" s="408">
        <v>15</v>
      </c>
      <c r="S100" s="408">
        <v>12.97</v>
      </c>
      <c r="T100" s="408"/>
      <c r="U100" s="408"/>
      <c r="V100" s="408"/>
      <c r="W100" s="408"/>
      <c r="X100" s="408"/>
      <c r="Y100" s="408"/>
      <c r="Z100" s="408"/>
      <c r="AA100" s="408"/>
      <c r="AB100" s="408"/>
      <c r="AC100" s="408"/>
      <c r="AD100" s="408"/>
      <c r="AE100" s="408"/>
      <c r="AF100" s="408"/>
      <c r="AG100" s="408"/>
      <c r="AH100" s="408"/>
      <c r="AI100" s="408"/>
      <c r="AJ100" s="408"/>
    </row>
    <row r="101" spans="1:36">
      <c r="A101" s="408">
        <v>168</v>
      </c>
      <c r="B101" s="408" t="s">
        <v>472</v>
      </c>
      <c r="C101" s="408" t="s">
        <v>457</v>
      </c>
      <c r="D101" s="408" t="s">
        <v>454</v>
      </c>
      <c r="E101" s="408" t="s">
        <v>406</v>
      </c>
      <c r="F101" s="408">
        <v>4.5</v>
      </c>
      <c r="G101" s="408">
        <v>14.12</v>
      </c>
      <c r="H101" s="408">
        <v>11.8</v>
      </c>
      <c r="I101" s="408">
        <v>11.25</v>
      </c>
      <c r="J101" s="408">
        <v>15.68</v>
      </c>
      <c r="K101" s="408">
        <v>12.82</v>
      </c>
      <c r="L101" s="408">
        <v>15.01</v>
      </c>
      <c r="M101" s="408">
        <v>13.79</v>
      </c>
      <c r="N101" s="408">
        <v>15.38</v>
      </c>
      <c r="O101" s="408">
        <v>16.079999999999998</v>
      </c>
      <c r="P101" s="408">
        <v>14.2</v>
      </c>
      <c r="Q101" s="408">
        <v>14.54</v>
      </c>
      <c r="R101" s="408">
        <v>14.63</v>
      </c>
      <c r="S101" s="408">
        <v>13.28</v>
      </c>
      <c r="T101" s="408"/>
      <c r="U101" s="408"/>
      <c r="V101" s="408"/>
      <c r="W101" s="408"/>
      <c r="X101" s="408"/>
      <c r="Y101" s="408"/>
      <c r="Z101" s="408"/>
      <c r="AA101" s="408"/>
      <c r="AB101" s="408"/>
      <c r="AC101" s="408"/>
      <c r="AD101" s="408"/>
      <c r="AE101" s="408"/>
      <c r="AF101" s="408"/>
      <c r="AG101" s="408"/>
      <c r="AH101" s="408"/>
      <c r="AI101" s="408"/>
      <c r="AJ101" s="408"/>
    </row>
    <row r="102" spans="1:36">
      <c r="A102" s="408">
        <v>169</v>
      </c>
      <c r="B102" s="408" t="s">
        <v>472</v>
      </c>
      <c r="C102" s="408" t="s">
        <v>457</v>
      </c>
      <c r="D102" s="408" t="s">
        <v>454</v>
      </c>
      <c r="E102" s="408" t="s">
        <v>406</v>
      </c>
      <c r="F102" s="408">
        <v>4</v>
      </c>
      <c r="G102" s="408">
        <v>14.99</v>
      </c>
      <c r="H102" s="408">
        <v>15.25</v>
      </c>
      <c r="I102" s="408">
        <v>12.53</v>
      </c>
      <c r="J102" s="408">
        <v>11.93</v>
      </c>
      <c r="K102" s="408">
        <v>15.59</v>
      </c>
      <c r="L102" s="408">
        <v>17.8</v>
      </c>
      <c r="M102" s="408">
        <v>12.08</v>
      </c>
      <c r="N102" s="408">
        <v>12.78</v>
      </c>
      <c r="O102" s="408">
        <v>16.420000000000002</v>
      </c>
      <c r="P102" s="408">
        <v>11.06</v>
      </c>
      <c r="Q102" s="408">
        <v>11.22</v>
      </c>
      <c r="R102" s="408">
        <v>12.36</v>
      </c>
      <c r="S102" s="408">
        <v>15.65</v>
      </c>
      <c r="T102" s="408"/>
      <c r="U102" s="408"/>
      <c r="V102" s="408"/>
      <c r="W102" s="408"/>
      <c r="X102" s="408"/>
      <c r="Y102" s="408"/>
      <c r="Z102" s="408"/>
      <c r="AA102" s="408"/>
      <c r="AB102" s="408"/>
      <c r="AC102" s="408"/>
      <c r="AD102" s="408"/>
      <c r="AE102" s="408"/>
      <c r="AF102" s="408"/>
      <c r="AG102" s="408"/>
      <c r="AH102" s="408"/>
      <c r="AI102" s="408"/>
      <c r="AJ102" s="408"/>
    </row>
    <row r="103" spans="1:36">
      <c r="A103" s="408">
        <v>170</v>
      </c>
      <c r="B103" s="408" t="s">
        <v>472</v>
      </c>
      <c r="C103" s="408" t="s">
        <v>457</v>
      </c>
      <c r="D103" s="408" t="s">
        <v>454</v>
      </c>
      <c r="E103" s="408" t="s">
        <v>406</v>
      </c>
      <c r="F103" s="408">
        <v>4.2</v>
      </c>
      <c r="G103" s="408">
        <v>17.21</v>
      </c>
      <c r="H103" s="408">
        <v>11.08</v>
      </c>
      <c r="I103" s="408">
        <v>14.98</v>
      </c>
      <c r="J103" s="408">
        <v>17.37</v>
      </c>
      <c r="K103" s="408">
        <v>12.79</v>
      </c>
      <c r="L103" s="408">
        <v>17.07</v>
      </c>
      <c r="M103" s="408">
        <v>14.13</v>
      </c>
      <c r="N103" s="408">
        <v>14.22</v>
      </c>
      <c r="O103" s="408">
        <v>12.95</v>
      </c>
      <c r="P103" s="408">
        <v>11.93</v>
      </c>
      <c r="Q103" s="408">
        <v>17.52</v>
      </c>
      <c r="R103" s="408">
        <v>12.99</v>
      </c>
      <c r="S103" s="408">
        <v>11.97</v>
      </c>
      <c r="T103" s="408"/>
      <c r="U103" s="408"/>
      <c r="V103" s="408"/>
      <c r="W103" s="408"/>
      <c r="X103" s="408"/>
      <c r="Y103" s="408"/>
      <c r="Z103" s="408"/>
      <c r="AA103" s="408"/>
      <c r="AB103" s="408"/>
      <c r="AC103" s="408"/>
      <c r="AD103" s="408"/>
      <c r="AE103" s="408"/>
      <c r="AF103" s="408"/>
      <c r="AG103" s="408"/>
      <c r="AH103" s="408"/>
      <c r="AI103" s="408"/>
      <c r="AJ103" s="408"/>
    </row>
    <row r="104" spans="1:36">
      <c r="A104" s="408">
        <v>171</v>
      </c>
      <c r="B104" s="408" t="s">
        <v>472</v>
      </c>
      <c r="C104" s="408" t="s">
        <v>457</v>
      </c>
      <c r="D104" s="408" t="s">
        <v>454</v>
      </c>
      <c r="E104" s="408" t="s">
        <v>407</v>
      </c>
      <c r="F104" s="408">
        <v>0.9</v>
      </c>
      <c r="G104" s="408">
        <v>9.02</v>
      </c>
      <c r="H104" s="408">
        <v>7.59</v>
      </c>
      <c r="I104" s="408">
        <v>8.5</v>
      </c>
      <c r="J104" s="408">
        <v>10.81</v>
      </c>
      <c r="K104" s="408">
        <v>9.19</v>
      </c>
      <c r="L104" s="408">
        <v>9.1199999999999992</v>
      </c>
      <c r="M104" s="408">
        <v>6.84</v>
      </c>
      <c r="N104" s="408">
        <v>9.84</v>
      </c>
      <c r="O104" s="408">
        <v>5.7</v>
      </c>
      <c r="P104" s="408">
        <v>6.41</v>
      </c>
      <c r="Q104" s="408">
        <v>4.13</v>
      </c>
      <c r="R104" s="408">
        <v>3.43</v>
      </c>
      <c r="S104" s="408">
        <v>3.26</v>
      </c>
      <c r="T104" s="408"/>
      <c r="U104" s="408"/>
      <c r="V104" s="408"/>
      <c r="W104" s="408"/>
      <c r="X104" s="408"/>
      <c r="Y104" s="408"/>
      <c r="Z104" s="408"/>
      <c r="AA104" s="408"/>
      <c r="AB104" s="408"/>
      <c r="AC104" s="408"/>
      <c r="AD104" s="408"/>
      <c r="AE104" s="408"/>
      <c r="AF104" s="408"/>
      <c r="AG104" s="408"/>
      <c r="AH104" s="408"/>
      <c r="AI104" s="408"/>
      <c r="AJ104" s="408"/>
    </row>
    <row r="105" spans="1:36">
      <c r="A105" s="408">
        <v>172</v>
      </c>
      <c r="B105" s="408" t="s">
        <v>472</v>
      </c>
      <c r="C105" s="408" t="s">
        <v>457</v>
      </c>
      <c r="D105" s="408" t="s">
        <v>454</v>
      </c>
      <c r="E105" s="408" t="s">
        <v>407</v>
      </c>
      <c r="F105" s="408">
        <v>1.3</v>
      </c>
      <c r="G105" s="408">
        <v>8.34</v>
      </c>
      <c r="H105" s="408">
        <v>10.72</v>
      </c>
      <c r="I105" s="408">
        <v>9.64</v>
      </c>
      <c r="J105" s="408">
        <v>8.02</v>
      </c>
      <c r="K105" s="408">
        <v>8.83</v>
      </c>
      <c r="L105" s="408">
        <v>6.42</v>
      </c>
      <c r="M105" s="408">
        <v>10.73</v>
      </c>
      <c r="N105" s="408">
        <v>10.39</v>
      </c>
      <c r="O105" s="408">
        <v>10.199999999999999</v>
      </c>
      <c r="P105" s="408">
        <v>9.1999999999999993</v>
      </c>
      <c r="Q105" s="408">
        <v>8.16</v>
      </c>
      <c r="R105" s="409">
        <v>8.16</v>
      </c>
      <c r="S105" s="408">
        <v>6.4</v>
      </c>
      <c r="T105" s="408"/>
      <c r="U105" s="408"/>
      <c r="V105" s="408"/>
      <c r="W105" s="408"/>
      <c r="X105" s="408"/>
      <c r="Y105" s="408"/>
      <c r="Z105" s="408"/>
      <c r="AA105" s="408"/>
      <c r="AB105" s="408"/>
      <c r="AC105" s="408"/>
      <c r="AD105" s="408"/>
      <c r="AE105" s="408"/>
      <c r="AF105" s="408"/>
      <c r="AG105" s="408"/>
      <c r="AH105" s="408"/>
      <c r="AI105" s="408"/>
      <c r="AJ105" s="408"/>
    </row>
    <row r="106" spans="1:36">
      <c r="A106" s="408">
        <v>173</v>
      </c>
      <c r="B106" s="408" t="s">
        <v>472</v>
      </c>
      <c r="C106" s="408" t="s">
        <v>457</v>
      </c>
      <c r="D106" s="408" t="s">
        <v>454</v>
      </c>
      <c r="E106" s="408" t="s">
        <v>407</v>
      </c>
      <c r="F106" s="408">
        <v>1</v>
      </c>
      <c r="G106" s="408">
        <v>10.14</v>
      </c>
      <c r="H106" s="408">
        <v>8.3800000000000008</v>
      </c>
      <c r="I106" s="408">
        <v>6.91</v>
      </c>
      <c r="J106" s="408">
        <v>8.2200000000000006</v>
      </c>
      <c r="K106" s="408">
        <v>9.6</v>
      </c>
      <c r="L106" s="408">
        <v>10.78</v>
      </c>
      <c r="M106" s="408">
        <v>9.6999999999999993</v>
      </c>
      <c r="N106" s="408">
        <v>4.17</v>
      </c>
      <c r="O106" s="408">
        <v>7.65</v>
      </c>
      <c r="P106" s="408">
        <v>5.85</v>
      </c>
      <c r="Q106" s="408">
        <v>9.08</v>
      </c>
      <c r="R106" s="408">
        <v>8.27</v>
      </c>
      <c r="S106" s="408">
        <v>9.1199999999999992</v>
      </c>
      <c r="T106" s="408"/>
      <c r="U106" s="408"/>
      <c r="V106" s="408"/>
      <c r="W106" s="408"/>
      <c r="X106" s="408"/>
      <c r="Y106" s="408"/>
      <c r="Z106" s="408"/>
      <c r="AA106" s="408"/>
      <c r="AB106" s="408"/>
      <c r="AC106" s="408"/>
      <c r="AD106" s="408"/>
      <c r="AE106" s="408"/>
      <c r="AF106" s="408"/>
      <c r="AG106" s="408"/>
      <c r="AH106" s="408"/>
      <c r="AI106" s="408"/>
      <c r="AJ106" s="408"/>
    </row>
    <row r="107" spans="1:36">
      <c r="A107" s="408">
        <v>174</v>
      </c>
      <c r="B107" s="408" t="s">
        <v>472</v>
      </c>
      <c r="C107" s="408" t="s">
        <v>457</v>
      </c>
      <c r="D107" s="408" t="s">
        <v>454</v>
      </c>
      <c r="E107" s="408" t="s">
        <v>407</v>
      </c>
      <c r="F107" s="408">
        <v>0.7</v>
      </c>
      <c r="G107" s="408">
        <v>7.93</v>
      </c>
      <c r="H107" s="408">
        <v>10.44</v>
      </c>
      <c r="I107" s="408">
        <v>7.17</v>
      </c>
      <c r="J107" s="408">
        <v>4.95</v>
      </c>
      <c r="K107" s="408">
        <v>8.5500000000000007</v>
      </c>
      <c r="L107" s="408">
        <v>8.18</v>
      </c>
      <c r="M107" s="408">
        <v>8</v>
      </c>
      <c r="N107" s="408">
        <v>7.96</v>
      </c>
      <c r="O107" s="408">
        <v>4.67</v>
      </c>
      <c r="P107" s="408">
        <v>7.58</v>
      </c>
      <c r="Q107" s="408">
        <v>7.84</v>
      </c>
      <c r="R107" s="408">
        <v>7.02</v>
      </c>
      <c r="S107" s="408">
        <v>6.48</v>
      </c>
      <c r="T107" s="408"/>
      <c r="U107" s="408"/>
      <c r="V107" s="408"/>
      <c r="W107" s="408"/>
      <c r="X107" s="408"/>
      <c r="Y107" s="408"/>
      <c r="Z107" s="408"/>
      <c r="AA107" s="408"/>
      <c r="AB107" s="408"/>
      <c r="AC107" s="408"/>
      <c r="AD107" s="408"/>
      <c r="AE107" s="408"/>
      <c r="AF107" s="408"/>
      <c r="AG107" s="408"/>
      <c r="AH107" s="408"/>
      <c r="AI107" s="408"/>
      <c r="AJ107" s="408"/>
    </row>
    <row r="108" spans="1:36" s="54" customFormat="1">
      <c r="A108" s="408">
        <v>175</v>
      </c>
      <c r="B108" s="408" t="s">
        <v>472</v>
      </c>
      <c r="C108" s="408" t="s">
        <v>457</v>
      </c>
      <c r="D108" s="408" t="s">
        <v>454</v>
      </c>
      <c r="E108" s="408" t="s">
        <v>407</v>
      </c>
      <c r="F108" s="408">
        <v>0.9</v>
      </c>
      <c r="G108" s="408">
        <v>5.08</v>
      </c>
      <c r="H108" s="408">
        <v>4.9000000000000004</v>
      </c>
      <c r="I108" s="408">
        <v>4.8</v>
      </c>
      <c r="J108" s="408">
        <v>4.0599999999999996</v>
      </c>
      <c r="K108" s="408">
        <v>8.75</v>
      </c>
      <c r="L108" s="408">
        <v>9.92</v>
      </c>
      <c r="M108" s="408">
        <v>6.63</v>
      </c>
      <c r="N108" s="408">
        <v>6.84</v>
      </c>
      <c r="O108" s="408">
        <v>6.67</v>
      </c>
      <c r="P108" s="408">
        <v>6.98</v>
      </c>
      <c r="Q108" s="408">
        <v>8.8699999999999992</v>
      </c>
      <c r="R108" s="408">
        <v>10.76</v>
      </c>
      <c r="S108" s="408">
        <v>10.32</v>
      </c>
      <c r="T108" s="408"/>
      <c r="U108" s="408"/>
      <c r="V108" s="408"/>
      <c r="W108" s="408"/>
      <c r="X108" s="408"/>
      <c r="Y108" s="408"/>
      <c r="Z108" s="408"/>
      <c r="AA108" s="408"/>
      <c r="AB108" s="408"/>
      <c r="AC108" s="408"/>
      <c r="AD108" s="408"/>
      <c r="AE108" s="408"/>
      <c r="AF108" s="408"/>
      <c r="AG108" s="408"/>
      <c r="AH108" s="408"/>
      <c r="AI108" s="408"/>
      <c r="AJ108" s="408"/>
    </row>
    <row r="109" spans="1:36">
      <c r="A109" s="408">
        <v>176</v>
      </c>
      <c r="B109" s="408" t="s">
        <v>472</v>
      </c>
      <c r="C109" s="408" t="s">
        <v>457</v>
      </c>
      <c r="D109" s="408" t="s">
        <v>454</v>
      </c>
      <c r="E109" s="408" t="s">
        <v>407</v>
      </c>
      <c r="F109" s="408">
        <v>0.7</v>
      </c>
      <c r="G109" s="408">
        <v>5.27</v>
      </c>
      <c r="H109" s="408">
        <v>5.14</v>
      </c>
      <c r="I109" s="408">
        <v>5.61</v>
      </c>
      <c r="J109" s="408">
        <v>4.97</v>
      </c>
      <c r="K109" s="408">
        <v>8.85</v>
      </c>
      <c r="L109" s="408">
        <v>10.51</v>
      </c>
      <c r="M109" s="408">
        <v>5.28</v>
      </c>
      <c r="N109" s="408">
        <v>5.24</v>
      </c>
      <c r="O109" s="408">
        <v>9.89</v>
      </c>
      <c r="P109" s="408">
        <v>9.5399999999999991</v>
      </c>
      <c r="Q109" s="408">
        <v>8.84</v>
      </c>
      <c r="R109" s="408">
        <v>6.45</v>
      </c>
      <c r="S109" s="408">
        <v>5.64</v>
      </c>
      <c r="T109" s="408"/>
      <c r="U109" s="408"/>
      <c r="V109" s="408"/>
      <c r="W109" s="408"/>
      <c r="X109" s="408"/>
      <c r="Y109" s="408"/>
      <c r="Z109" s="408"/>
      <c r="AA109" s="408"/>
      <c r="AB109" s="408"/>
      <c r="AC109" s="408"/>
      <c r="AD109" s="408"/>
      <c r="AE109" s="408"/>
      <c r="AF109" s="408"/>
      <c r="AG109" s="408"/>
      <c r="AH109" s="408"/>
      <c r="AI109" s="408"/>
      <c r="AJ109" s="408"/>
    </row>
    <row r="110" spans="1:36">
      <c r="A110" s="408">
        <v>177</v>
      </c>
      <c r="B110" s="408" t="s">
        <v>472</v>
      </c>
      <c r="C110" s="408" t="s">
        <v>457</v>
      </c>
      <c r="D110" s="408" t="s">
        <v>454</v>
      </c>
      <c r="E110" s="408" t="s">
        <v>407</v>
      </c>
      <c r="F110" s="408">
        <v>0.8</v>
      </c>
      <c r="G110" s="408">
        <v>9.5399999999999991</v>
      </c>
      <c r="H110" s="408">
        <v>7.99</v>
      </c>
      <c r="I110" s="408">
        <v>6.22</v>
      </c>
      <c r="J110" s="408">
        <v>5.41</v>
      </c>
      <c r="K110" s="408">
        <v>9.8699999999999992</v>
      </c>
      <c r="L110" s="408">
        <v>7.4</v>
      </c>
      <c r="M110" s="408">
        <v>6.17</v>
      </c>
      <c r="N110" s="408">
        <v>7.91</v>
      </c>
      <c r="O110" s="408">
        <v>6.66</v>
      </c>
      <c r="P110" s="408">
        <v>8.4700000000000006</v>
      </c>
      <c r="Q110" s="408">
        <v>10.06</v>
      </c>
      <c r="R110" s="408">
        <v>5.75</v>
      </c>
      <c r="S110" s="408">
        <v>5.61</v>
      </c>
      <c r="T110" s="408"/>
      <c r="U110" s="408"/>
      <c r="V110" s="408"/>
      <c r="W110" s="408"/>
      <c r="X110" s="408"/>
      <c r="Y110" s="408"/>
      <c r="Z110" s="408"/>
      <c r="AA110" s="408"/>
      <c r="AB110" s="408"/>
      <c r="AC110" s="408"/>
      <c r="AD110" s="408"/>
      <c r="AE110" s="408"/>
      <c r="AF110" s="408"/>
      <c r="AG110" s="408"/>
      <c r="AH110" s="408"/>
      <c r="AI110" s="408"/>
      <c r="AJ110" s="408"/>
    </row>
    <row r="111" spans="1:36">
      <c r="A111" s="408">
        <v>178</v>
      </c>
      <c r="B111" s="408" t="s">
        <v>472</v>
      </c>
      <c r="C111" s="408" t="s">
        <v>457</v>
      </c>
      <c r="D111" s="408" t="s">
        <v>454</v>
      </c>
      <c r="E111" s="408" t="s">
        <v>407</v>
      </c>
      <c r="F111" s="408">
        <v>0.9</v>
      </c>
      <c r="G111" s="408">
        <v>7.2</v>
      </c>
      <c r="H111" s="408">
        <v>10.31</v>
      </c>
      <c r="I111" s="408">
        <v>9.58</v>
      </c>
      <c r="J111" s="408">
        <v>7.7</v>
      </c>
      <c r="K111" s="408">
        <v>5.89</v>
      </c>
      <c r="L111" s="408">
        <v>5.84</v>
      </c>
      <c r="M111" s="408">
        <v>7.32</v>
      </c>
      <c r="N111" s="408">
        <v>6.82</v>
      </c>
      <c r="O111" s="408">
        <v>8.52</v>
      </c>
      <c r="P111" s="408">
        <v>10.3</v>
      </c>
      <c r="Q111" s="408">
        <v>8.57</v>
      </c>
      <c r="R111" s="408">
        <v>9.11</v>
      </c>
      <c r="S111" s="408">
        <v>5.79</v>
      </c>
      <c r="T111" s="408"/>
      <c r="U111" s="408"/>
      <c r="V111" s="408"/>
      <c r="W111" s="408"/>
      <c r="X111" s="408"/>
      <c r="Y111" s="408"/>
      <c r="Z111" s="408"/>
      <c r="AA111" s="408"/>
      <c r="AB111" s="408"/>
      <c r="AC111" s="408"/>
      <c r="AD111" s="408"/>
      <c r="AE111" s="408"/>
      <c r="AF111" s="408"/>
      <c r="AG111" s="408"/>
      <c r="AH111" s="408"/>
      <c r="AI111" s="408"/>
      <c r="AJ111" s="408"/>
    </row>
    <row r="112" spans="1:36">
      <c r="A112" s="408">
        <v>179</v>
      </c>
      <c r="B112" s="408" t="s">
        <v>472</v>
      </c>
      <c r="C112" s="408" t="s">
        <v>457</v>
      </c>
      <c r="D112" s="408" t="s">
        <v>454</v>
      </c>
      <c r="E112" s="408" t="s">
        <v>407</v>
      </c>
      <c r="F112" s="408">
        <v>0.6</v>
      </c>
      <c r="G112" s="408">
        <v>5.98</v>
      </c>
      <c r="H112" s="408">
        <v>6.13</v>
      </c>
      <c r="I112" s="408">
        <v>5.67</v>
      </c>
      <c r="J112" s="408">
        <v>8.0500000000000007</v>
      </c>
      <c r="K112" s="408">
        <v>6.81</v>
      </c>
      <c r="L112" s="408">
        <v>6.23</v>
      </c>
      <c r="M112" s="408">
        <v>9.7799999999999994</v>
      </c>
      <c r="N112" s="408">
        <v>3.41</v>
      </c>
      <c r="O112" s="408">
        <v>9.56</v>
      </c>
      <c r="P112" s="408">
        <v>8.84</v>
      </c>
      <c r="Q112" s="408">
        <v>9.07</v>
      </c>
      <c r="R112" s="408">
        <v>6.16</v>
      </c>
      <c r="S112" s="408">
        <v>8.43</v>
      </c>
      <c r="T112" s="408"/>
      <c r="U112" s="408"/>
      <c r="V112" s="408"/>
      <c r="W112" s="408"/>
      <c r="X112" s="408"/>
      <c r="Y112" s="408"/>
      <c r="Z112" s="408"/>
      <c r="AA112" s="408"/>
      <c r="AB112" s="408"/>
      <c r="AC112" s="408"/>
      <c r="AD112" s="408"/>
      <c r="AE112" s="408"/>
      <c r="AF112" s="408"/>
      <c r="AG112" s="408"/>
      <c r="AH112" s="408"/>
      <c r="AI112" s="408"/>
      <c r="AJ112" s="408"/>
    </row>
    <row r="113" spans="1:36">
      <c r="A113" s="408">
        <v>180</v>
      </c>
      <c r="B113" s="408" t="s">
        <v>472</v>
      </c>
      <c r="C113" s="408" t="s">
        <v>457</v>
      </c>
      <c r="D113" s="408" t="s">
        <v>454</v>
      </c>
      <c r="E113" s="408" t="s">
        <v>407</v>
      </c>
      <c r="F113" s="408">
        <v>0.8</v>
      </c>
      <c r="G113" s="408">
        <v>6.23</v>
      </c>
      <c r="H113" s="408">
        <v>5.4</v>
      </c>
      <c r="I113" s="408">
        <v>9.0500000000000007</v>
      </c>
      <c r="J113" s="408">
        <v>8.1</v>
      </c>
      <c r="K113" s="408">
        <v>8.3800000000000008</v>
      </c>
      <c r="L113" s="408">
        <v>10.28</v>
      </c>
      <c r="M113" s="408">
        <v>7.2</v>
      </c>
      <c r="N113" s="408">
        <v>4.3499999999999996</v>
      </c>
      <c r="O113" s="408">
        <v>8.7200000000000006</v>
      </c>
      <c r="P113" s="408">
        <v>7.75</v>
      </c>
      <c r="Q113" s="408">
        <v>7.18</v>
      </c>
      <c r="R113" s="408">
        <v>9.64</v>
      </c>
      <c r="S113" s="408">
        <v>8.02</v>
      </c>
      <c r="T113" s="408"/>
      <c r="U113" s="408"/>
      <c r="V113" s="408"/>
      <c r="W113" s="408"/>
      <c r="X113" s="408"/>
      <c r="Y113" s="408"/>
      <c r="Z113" s="408"/>
      <c r="AA113" s="408"/>
      <c r="AB113" s="408"/>
      <c r="AC113" s="408"/>
      <c r="AD113" s="408"/>
      <c r="AE113" s="408"/>
      <c r="AF113" s="408"/>
      <c r="AG113" s="408"/>
      <c r="AH113" s="408"/>
      <c r="AI113" s="408"/>
      <c r="AJ113" s="408"/>
    </row>
    <row r="114" spans="1:36">
      <c r="A114" s="408">
        <v>181</v>
      </c>
      <c r="B114" s="408" t="s">
        <v>472</v>
      </c>
      <c r="C114" s="408" t="s">
        <v>457</v>
      </c>
      <c r="D114" s="408" t="s">
        <v>454</v>
      </c>
      <c r="E114" s="408" t="s">
        <v>407</v>
      </c>
      <c r="F114" s="408">
        <v>0.7</v>
      </c>
      <c r="G114" s="408">
        <v>10.49</v>
      </c>
      <c r="H114" s="408">
        <v>6.19</v>
      </c>
      <c r="I114" s="408">
        <v>6.79</v>
      </c>
      <c r="J114" s="408">
        <v>5.83</v>
      </c>
      <c r="K114" s="408">
        <v>9.09</v>
      </c>
      <c r="L114" s="408">
        <v>8.3699999999999992</v>
      </c>
      <c r="M114" s="408">
        <v>7.42</v>
      </c>
      <c r="N114" s="408">
        <v>9.49</v>
      </c>
      <c r="O114" s="408">
        <v>6.1</v>
      </c>
      <c r="P114" s="408">
        <v>6.27</v>
      </c>
      <c r="Q114" s="408">
        <v>7.71</v>
      </c>
      <c r="R114" s="408">
        <v>7.43</v>
      </c>
      <c r="S114" s="408">
        <v>5</v>
      </c>
      <c r="T114" s="408"/>
      <c r="U114" s="408"/>
      <c r="V114" s="408"/>
      <c r="W114" s="408"/>
      <c r="X114" s="408"/>
      <c r="Y114" s="408"/>
      <c r="Z114" s="408"/>
      <c r="AA114" s="408"/>
      <c r="AB114" s="408"/>
      <c r="AC114" s="408"/>
      <c r="AD114" s="408"/>
      <c r="AE114" s="408"/>
      <c r="AF114" s="408"/>
      <c r="AG114" s="408"/>
      <c r="AH114" s="408"/>
      <c r="AI114" s="408"/>
      <c r="AJ114" s="408"/>
    </row>
    <row r="115" spans="1:36">
      <c r="A115" s="408">
        <v>182</v>
      </c>
      <c r="B115" s="408" t="s">
        <v>472</v>
      </c>
      <c r="C115" s="408" t="s">
        <v>457</v>
      </c>
      <c r="D115" s="408" t="s">
        <v>454</v>
      </c>
      <c r="E115" s="408" t="s">
        <v>458</v>
      </c>
      <c r="F115" s="408">
        <v>2.1</v>
      </c>
      <c r="G115" s="408">
        <v>9.9600000000000009</v>
      </c>
      <c r="H115" s="408">
        <v>9.76</v>
      </c>
      <c r="I115" s="408">
        <v>9.11</v>
      </c>
      <c r="J115" s="408">
        <v>12.72</v>
      </c>
      <c r="K115" s="408">
        <v>13.32</v>
      </c>
      <c r="L115" s="408">
        <v>12.15</v>
      </c>
      <c r="M115" s="408">
        <v>12.41</v>
      </c>
      <c r="N115" s="408">
        <v>13.54</v>
      </c>
      <c r="O115" s="408">
        <v>12.28</v>
      </c>
      <c r="P115" s="408">
        <v>5.88</v>
      </c>
      <c r="Q115" s="408">
        <v>8.26</v>
      </c>
      <c r="R115" s="408">
        <v>8.65</v>
      </c>
      <c r="S115" s="408">
        <v>7.74</v>
      </c>
      <c r="T115" s="408"/>
      <c r="U115" s="408"/>
      <c r="V115" s="408"/>
      <c r="W115" s="408"/>
      <c r="X115" s="408"/>
      <c r="Y115" s="408"/>
      <c r="Z115" s="408"/>
      <c r="AA115" s="408"/>
      <c r="AB115" s="408"/>
      <c r="AC115" s="408"/>
      <c r="AD115" s="408"/>
      <c r="AE115" s="408"/>
      <c r="AF115" s="408"/>
      <c r="AG115" s="408"/>
      <c r="AH115" s="408"/>
      <c r="AI115" s="408"/>
      <c r="AJ115" s="408"/>
    </row>
    <row r="116" spans="1:36">
      <c r="A116" s="408" t="s">
        <v>403</v>
      </c>
      <c r="B116" s="408" t="s">
        <v>456</v>
      </c>
      <c r="C116" s="408" t="s">
        <v>457</v>
      </c>
      <c r="D116" s="408" t="s">
        <v>455</v>
      </c>
      <c r="E116" s="408" t="s">
        <v>403</v>
      </c>
      <c r="F116" s="408" t="s">
        <v>403</v>
      </c>
      <c r="G116" s="408">
        <v>8.66</v>
      </c>
      <c r="H116" s="408">
        <v>11.08</v>
      </c>
      <c r="I116" s="408">
        <v>7.06</v>
      </c>
      <c r="J116" s="408">
        <v>10.88</v>
      </c>
      <c r="K116" s="408">
        <v>10.64</v>
      </c>
      <c r="L116" s="408">
        <v>8.74</v>
      </c>
      <c r="M116" s="408">
        <v>6.32</v>
      </c>
      <c r="N116" s="408">
        <v>8.02</v>
      </c>
      <c r="O116" s="408">
        <v>8.7799999999999994</v>
      </c>
      <c r="P116" s="408">
        <v>9.2799999999999994</v>
      </c>
      <c r="Q116" s="408">
        <v>8.26</v>
      </c>
      <c r="R116" s="408">
        <v>6.24</v>
      </c>
      <c r="S116" s="408">
        <v>8.06</v>
      </c>
      <c r="T116" s="408">
        <v>7.56</v>
      </c>
      <c r="U116" s="408">
        <v>14.97</v>
      </c>
      <c r="V116" s="408">
        <v>11.95</v>
      </c>
      <c r="W116" s="408">
        <v>7.63</v>
      </c>
      <c r="X116" s="408">
        <v>8.31</v>
      </c>
      <c r="Y116" s="408">
        <v>8.14</v>
      </c>
      <c r="Z116" s="408">
        <v>6.22</v>
      </c>
      <c r="AA116" s="408">
        <v>5.69</v>
      </c>
      <c r="AB116" s="408">
        <v>6.35</v>
      </c>
      <c r="AC116" s="408">
        <v>5.35</v>
      </c>
      <c r="AD116" s="408">
        <v>15.08</v>
      </c>
      <c r="AE116" s="408">
        <v>10.19</v>
      </c>
      <c r="AF116" s="408"/>
      <c r="AG116" s="408"/>
      <c r="AH116" s="408"/>
      <c r="AI116" s="408"/>
      <c r="AJ116" s="408"/>
    </row>
    <row r="117" spans="1:36">
      <c r="A117" s="408">
        <v>183</v>
      </c>
      <c r="B117" s="408" t="s">
        <v>456</v>
      </c>
      <c r="C117" s="408" t="s">
        <v>457</v>
      </c>
      <c r="D117" s="408" t="s">
        <v>455</v>
      </c>
      <c r="E117" s="408" t="s">
        <v>406</v>
      </c>
      <c r="F117" s="408">
        <v>2.1</v>
      </c>
      <c r="G117" s="408">
        <v>13.63</v>
      </c>
      <c r="H117" s="408">
        <v>9.1300000000000008</v>
      </c>
      <c r="I117" s="408">
        <v>10.11</v>
      </c>
      <c r="J117" s="408">
        <v>15.77</v>
      </c>
      <c r="K117" s="408">
        <v>11.88</v>
      </c>
      <c r="L117" s="408">
        <v>11.08</v>
      </c>
      <c r="M117" s="408">
        <v>9.48</v>
      </c>
      <c r="N117" s="408">
        <v>10.27</v>
      </c>
      <c r="O117" s="408">
        <v>10.57</v>
      </c>
      <c r="P117" s="408">
        <v>8.9</v>
      </c>
      <c r="Q117" s="408">
        <v>14.34</v>
      </c>
      <c r="R117" s="408">
        <v>9.24</v>
      </c>
      <c r="S117" s="408">
        <v>10.41</v>
      </c>
      <c r="T117" s="408"/>
      <c r="U117" s="408"/>
      <c r="V117" s="408"/>
      <c r="W117" s="408"/>
      <c r="X117" s="408"/>
      <c r="Y117" s="408"/>
      <c r="Z117" s="408"/>
      <c r="AA117" s="408"/>
      <c r="AB117" s="408"/>
      <c r="AC117" s="408"/>
      <c r="AD117" s="408"/>
      <c r="AE117" s="408"/>
      <c r="AF117" s="408"/>
      <c r="AG117" s="408"/>
      <c r="AH117" s="408"/>
      <c r="AI117" s="408"/>
      <c r="AJ117" s="408"/>
    </row>
    <row r="118" spans="1:36">
      <c r="A118" s="408">
        <v>184</v>
      </c>
      <c r="B118" s="408" t="s">
        <v>456</v>
      </c>
      <c r="C118" s="408" t="s">
        <v>457</v>
      </c>
      <c r="D118" s="408" t="s">
        <v>455</v>
      </c>
      <c r="E118" s="408" t="s">
        <v>406</v>
      </c>
      <c r="F118" s="408">
        <v>3.7</v>
      </c>
      <c r="G118" s="408">
        <v>18.07</v>
      </c>
      <c r="H118" s="408">
        <v>9.99</v>
      </c>
      <c r="I118" s="408">
        <v>9.11</v>
      </c>
      <c r="J118" s="408">
        <v>21.74</v>
      </c>
      <c r="K118" s="408">
        <v>10.72</v>
      </c>
      <c r="L118" s="408">
        <v>9.92</v>
      </c>
      <c r="M118" s="408">
        <v>9.02</v>
      </c>
      <c r="N118" s="408">
        <v>12.37</v>
      </c>
      <c r="O118" s="408">
        <v>19.7</v>
      </c>
      <c r="P118" s="408">
        <v>9.49</v>
      </c>
      <c r="Q118" s="408">
        <v>9.11</v>
      </c>
      <c r="R118" s="408">
        <v>9.18</v>
      </c>
      <c r="S118" s="408">
        <v>10.62</v>
      </c>
      <c r="T118" s="408"/>
      <c r="U118" s="408"/>
      <c r="V118" s="408"/>
      <c r="W118" s="408"/>
      <c r="X118" s="408"/>
      <c r="Y118" s="408"/>
      <c r="Z118" s="408"/>
      <c r="AA118" s="408"/>
      <c r="AB118" s="408"/>
      <c r="AC118" s="408"/>
      <c r="AD118" s="408"/>
      <c r="AE118" s="408"/>
      <c r="AF118" s="408"/>
      <c r="AG118" s="408"/>
      <c r="AH118" s="408"/>
      <c r="AI118" s="408"/>
      <c r="AJ118" s="408"/>
    </row>
    <row r="119" spans="1:36">
      <c r="A119" s="408">
        <v>185</v>
      </c>
      <c r="B119" s="408" t="s">
        <v>456</v>
      </c>
      <c r="C119" s="408" t="s">
        <v>457</v>
      </c>
      <c r="D119" s="408" t="s">
        <v>455</v>
      </c>
      <c r="E119" s="408" t="s">
        <v>406</v>
      </c>
      <c r="F119" s="408">
        <v>2.5</v>
      </c>
      <c r="G119" s="408">
        <v>15.38</v>
      </c>
      <c r="H119" s="408">
        <v>9.7799999999999994</v>
      </c>
      <c r="I119" s="408">
        <v>10.32</v>
      </c>
      <c r="J119" s="408">
        <v>10.039999999999999</v>
      </c>
      <c r="K119" s="408">
        <v>10.58</v>
      </c>
      <c r="L119" s="408">
        <v>9.3000000000000007</v>
      </c>
      <c r="M119" s="408">
        <v>10.86</v>
      </c>
      <c r="N119" s="408">
        <v>10.39</v>
      </c>
      <c r="O119" s="408">
        <v>13.3</v>
      </c>
      <c r="P119" s="408">
        <v>15</v>
      </c>
      <c r="Q119" s="408">
        <v>8.7799999999999994</v>
      </c>
      <c r="R119" s="408">
        <v>17.02</v>
      </c>
      <c r="S119" s="408">
        <v>9.3000000000000007</v>
      </c>
      <c r="T119" s="408"/>
      <c r="U119" s="408"/>
      <c r="V119" s="408"/>
      <c r="W119" s="408"/>
      <c r="X119" s="408"/>
      <c r="Y119" s="408"/>
      <c r="Z119" s="408"/>
      <c r="AA119" s="408"/>
      <c r="AB119" s="408"/>
      <c r="AC119" s="408"/>
      <c r="AD119" s="408"/>
      <c r="AE119" s="408"/>
      <c r="AF119" s="408"/>
      <c r="AG119" s="408"/>
      <c r="AH119" s="408"/>
      <c r="AI119" s="408"/>
      <c r="AJ119" s="408"/>
    </row>
    <row r="120" spans="1:36">
      <c r="A120" s="408">
        <v>186</v>
      </c>
      <c r="B120" s="408" t="s">
        <v>456</v>
      </c>
      <c r="C120" s="408" t="s">
        <v>457</v>
      </c>
      <c r="D120" s="408" t="s">
        <v>455</v>
      </c>
      <c r="E120" s="408" t="s">
        <v>406</v>
      </c>
      <c r="F120" s="408">
        <v>2.1</v>
      </c>
      <c r="G120" s="408">
        <v>9.65</v>
      </c>
      <c r="H120" s="408">
        <v>9.94</v>
      </c>
      <c r="I120" s="408">
        <v>10.86</v>
      </c>
      <c r="J120" s="408">
        <v>10.029999999999999</v>
      </c>
      <c r="K120" s="408">
        <v>18.54</v>
      </c>
      <c r="L120" s="408">
        <v>10.3</v>
      </c>
      <c r="M120" s="408">
        <v>9.5500000000000007</v>
      </c>
      <c r="N120" s="408">
        <v>11.39</v>
      </c>
      <c r="O120" s="408">
        <v>12</v>
      </c>
      <c r="P120" s="408">
        <v>10.24</v>
      </c>
      <c r="Q120" s="408">
        <v>9.7100000000000009</v>
      </c>
      <c r="R120" s="408">
        <v>11.95</v>
      </c>
      <c r="S120" s="408">
        <v>13.34</v>
      </c>
      <c r="T120" s="408"/>
      <c r="U120" s="408"/>
      <c r="V120" s="408"/>
      <c r="W120" s="408"/>
      <c r="X120" s="408"/>
      <c r="Y120" s="408"/>
      <c r="Z120" s="408"/>
      <c r="AA120" s="408"/>
      <c r="AB120" s="408"/>
      <c r="AC120" s="408"/>
      <c r="AD120" s="408"/>
      <c r="AE120" s="408"/>
      <c r="AF120" s="408"/>
      <c r="AG120" s="408"/>
      <c r="AH120" s="408"/>
      <c r="AI120" s="408"/>
      <c r="AJ120" s="408"/>
    </row>
    <row r="121" spans="1:36">
      <c r="A121" s="408">
        <v>187</v>
      </c>
      <c r="B121" s="408" t="s">
        <v>456</v>
      </c>
      <c r="C121" s="408" t="s">
        <v>457</v>
      </c>
      <c r="D121" s="408" t="s">
        <v>455</v>
      </c>
      <c r="E121" s="408" t="s">
        <v>406</v>
      </c>
      <c r="F121" s="408">
        <v>1.7</v>
      </c>
      <c r="G121" s="408">
        <v>9.99</v>
      </c>
      <c r="H121" s="408">
        <v>13.93</v>
      </c>
      <c r="I121" s="408">
        <v>9.17</v>
      </c>
      <c r="J121" s="408">
        <v>9.77</v>
      </c>
      <c r="K121" s="408">
        <v>10.83</v>
      </c>
      <c r="L121" s="408">
        <v>9.15</v>
      </c>
      <c r="M121" s="408">
        <v>11.89</v>
      </c>
      <c r="N121" s="408">
        <v>11.38</v>
      </c>
      <c r="O121" s="408">
        <v>8.75</v>
      </c>
      <c r="P121" s="408">
        <v>9.31</v>
      </c>
      <c r="Q121" s="408">
        <v>9.3800000000000008</v>
      </c>
      <c r="R121" s="408">
        <v>9.41</v>
      </c>
      <c r="S121" s="408">
        <v>9.15</v>
      </c>
      <c r="T121" s="408"/>
      <c r="U121" s="408"/>
      <c r="V121" s="408"/>
      <c r="W121" s="408"/>
      <c r="X121" s="408"/>
      <c r="Y121" s="408"/>
      <c r="Z121" s="408"/>
      <c r="AA121" s="408"/>
      <c r="AB121" s="408"/>
      <c r="AC121" s="408"/>
      <c r="AD121" s="408"/>
      <c r="AE121" s="408"/>
      <c r="AF121" s="408"/>
      <c r="AG121" s="408"/>
      <c r="AH121" s="408"/>
      <c r="AI121" s="408"/>
      <c r="AJ121" s="408"/>
    </row>
    <row r="122" spans="1:36">
      <c r="A122" s="408">
        <v>188</v>
      </c>
      <c r="B122" s="408" t="s">
        <v>456</v>
      </c>
      <c r="C122" s="408" t="s">
        <v>457</v>
      </c>
      <c r="D122" s="408" t="s">
        <v>455</v>
      </c>
      <c r="E122" s="408" t="s">
        <v>406</v>
      </c>
      <c r="F122" s="408">
        <v>1.5</v>
      </c>
      <c r="G122" s="408">
        <v>10.130000000000001</v>
      </c>
      <c r="H122" s="408">
        <v>11.23</v>
      </c>
      <c r="I122" s="408">
        <v>9.9700000000000006</v>
      </c>
      <c r="J122" s="408">
        <v>8.7899999999999991</v>
      </c>
      <c r="K122" s="408">
        <v>11.42</v>
      </c>
      <c r="L122" s="408">
        <v>9.44</v>
      </c>
      <c r="M122" s="408">
        <v>9.77</v>
      </c>
      <c r="N122" s="408">
        <v>8.9700000000000006</v>
      </c>
      <c r="O122" s="408">
        <v>11.11</v>
      </c>
      <c r="P122" s="408">
        <v>10.07</v>
      </c>
      <c r="Q122" s="408">
        <v>8.8699999999999992</v>
      </c>
      <c r="R122" s="408">
        <v>12.47</v>
      </c>
      <c r="S122" s="408">
        <v>11.61</v>
      </c>
      <c r="T122" s="408"/>
      <c r="U122" s="408"/>
      <c r="V122" s="408"/>
      <c r="W122" s="408"/>
      <c r="X122" s="408"/>
      <c r="Y122" s="408"/>
      <c r="Z122" s="408"/>
      <c r="AA122" s="408"/>
      <c r="AB122" s="408"/>
      <c r="AC122" s="408"/>
      <c r="AD122" s="408"/>
      <c r="AE122" s="408"/>
      <c r="AF122" s="408"/>
      <c r="AG122" s="408"/>
      <c r="AH122" s="408"/>
      <c r="AI122" s="408"/>
      <c r="AJ122" s="408"/>
    </row>
    <row r="123" spans="1:36">
      <c r="A123" s="408">
        <v>189</v>
      </c>
      <c r="B123" s="408" t="s">
        <v>456</v>
      </c>
      <c r="C123" s="408" t="s">
        <v>457</v>
      </c>
      <c r="D123" s="408" t="s">
        <v>455</v>
      </c>
      <c r="E123" s="408" t="s">
        <v>406</v>
      </c>
      <c r="F123" s="408">
        <v>1.5</v>
      </c>
      <c r="G123" s="408">
        <v>10.65</v>
      </c>
      <c r="H123" s="408">
        <v>12.84</v>
      </c>
      <c r="I123" s="408">
        <v>10</v>
      </c>
      <c r="J123" s="408">
        <v>8.8000000000000007</v>
      </c>
      <c r="K123" s="408">
        <v>9.34</v>
      </c>
      <c r="L123" s="408">
        <v>9.18</v>
      </c>
      <c r="M123" s="408">
        <v>9.41</v>
      </c>
      <c r="N123" s="408">
        <v>8.67</v>
      </c>
      <c r="O123" s="408">
        <v>11.08</v>
      </c>
      <c r="P123" s="408">
        <v>9.02</v>
      </c>
      <c r="Q123" s="408">
        <v>13.72</v>
      </c>
      <c r="R123" s="408">
        <v>8.6199999999999992</v>
      </c>
      <c r="S123" s="408">
        <v>9.6</v>
      </c>
      <c r="T123" s="408"/>
      <c r="U123" s="408"/>
      <c r="V123" s="408"/>
      <c r="W123" s="408"/>
      <c r="X123" s="408"/>
      <c r="Y123" s="408"/>
      <c r="Z123" s="408"/>
      <c r="AA123" s="408"/>
      <c r="AB123" s="408"/>
      <c r="AC123" s="408"/>
      <c r="AD123" s="408"/>
      <c r="AE123" s="408"/>
      <c r="AF123" s="408"/>
      <c r="AG123" s="408"/>
      <c r="AH123" s="408"/>
      <c r="AI123" s="408"/>
      <c r="AJ123" s="408"/>
    </row>
    <row r="124" spans="1:36">
      <c r="A124" s="408">
        <v>190</v>
      </c>
      <c r="B124" s="408" t="s">
        <v>456</v>
      </c>
      <c r="C124" s="408" t="s">
        <v>457</v>
      </c>
      <c r="D124" s="408" t="s">
        <v>455</v>
      </c>
      <c r="E124" s="408" t="s">
        <v>406</v>
      </c>
      <c r="F124" s="408">
        <v>0.9</v>
      </c>
      <c r="G124" s="408">
        <v>9.89</v>
      </c>
      <c r="H124" s="408">
        <v>9.9499999999999993</v>
      </c>
      <c r="I124" s="408">
        <v>11.02</v>
      </c>
      <c r="J124" s="408">
        <v>10.4</v>
      </c>
      <c r="K124" s="408">
        <v>8.93</v>
      </c>
      <c r="L124" s="408">
        <v>9.19</v>
      </c>
      <c r="M124" s="408">
        <v>7.67</v>
      </c>
      <c r="N124" s="408">
        <v>6.97</v>
      </c>
      <c r="O124" s="408">
        <v>7.14</v>
      </c>
      <c r="P124" s="408">
        <v>7.66</v>
      </c>
      <c r="Q124" s="408">
        <v>6.14</v>
      </c>
      <c r="R124" s="408">
        <v>7.33</v>
      </c>
      <c r="S124" s="408">
        <v>8.32</v>
      </c>
      <c r="T124" s="408"/>
      <c r="U124" s="408"/>
      <c r="V124" s="408"/>
      <c r="W124" s="408"/>
      <c r="X124" s="408"/>
      <c r="Y124" s="408"/>
      <c r="Z124" s="408"/>
      <c r="AA124" s="408"/>
      <c r="AB124" s="408"/>
      <c r="AC124" s="408"/>
      <c r="AD124" s="408"/>
      <c r="AE124" s="408"/>
      <c r="AF124" s="408"/>
      <c r="AG124" s="408"/>
      <c r="AH124" s="408"/>
      <c r="AI124" s="408"/>
      <c r="AJ124" s="408"/>
    </row>
    <row r="125" spans="1:36">
      <c r="A125" s="408">
        <v>191</v>
      </c>
      <c r="B125" s="408" t="s">
        <v>456</v>
      </c>
      <c r="C125" s="408" t="s">
        <v>457</v>
      </c>
      <c r="D125" s="408" t="s">
        <v>455</v>
      </c>
      <c r="E125" s="408" t="s">
        <v>459</v>
      </c>
      <c r="F125" s="408">
        <v>0.2</v>
      </c>
      <c r="G125" s="408">
        <v>5.07</v>
      </c>
      <c r="H125" s="408">
        <v>5.03</v>
      </c>
      <c r="I125" s="408">
        <v>5.79</v>
      </c>
      <c r="J125" s="408">
        <v>4.3499999999999996</v>
      </c>
      <c r="K125" s="408">
        <v>4.8600000000000003</v>
      </c>
      <c r="L125" s="408">
        <v>4.1100000000000003</v>
      </c>
      <c r="M125" s="408">
        <v>4.55</v>
      </c>
      <c r="N125" s="408">
        <v>4.99</v>
      </c>
      <c r="O125" s="408">
        <v>4.59</v>
      </c>
      <c r="P125" s="408">
        <v>5.45</v>
      </c>
      <c r="Q125" s="408">
        <v>4.72</v>
      </c>
      <c r="R125" s="408">
        <v>4.3099999999999996</v>
      </c>
      <c r="S125" s="408">
        <v>4.5599999999999996</v>
      </c>
      <c r="T125" s="408"/>
      <c r="U125" s="408"/>
      <c r="V125" s="408"/>
      <c r="W125" s="408"/>
      <c r="X125" s="408"/>
      <c r="Y125" s="408"/>
      <c r="Z125" s="408"/>
      <c r="AA125" s="408"/>
      <c r="AB125" s="408"/>
      <c r="AC125" s="408"/>
      <c r="AD125" s="408"/>
      <c r="AE125" s="408"/>
      <c r="AF125" s="408"/>
      <c r="AG125" s="408"/>
      <c r="AH125" s="408"/>
      <c r="AI125" s="408"/>
      <c r="AJ125" s="408"/>
    </row>
    <row r="126" spans="1:36">
      <c r="A126" s="408">
        <v>192</v>
      </c>
      <c r="B126" s="408" t="s">
        <v>456</v>
      </c>
      <c r="C126" s="408" t="s">
        <v>457</v>
      </c>
      <c r="D126" s="408" t="s">
        <v>455</v>
      </c>
      <c r="E126" s="408" t="s">
        <v>459</v>
      </c>
      <c r="F126" s="408">
        <v>0.1</v>
      </c>
      <c r="G126" s="408">
        <v>5.18</v>
      </c>
      <c r="H126" s="408">
        <v>4.2300000000000004</v>
      </c>
      <c r="I126" s="408">
        <v>4.34</v>
      </c>
      <c r="J126" s="408">
        <v>4.7300000000000004</v>
      </c>
      <c r="K126" s="408">
        <v>3.57</v>
      </c>
      <c r="L126" s="408">
        <v>5.43</v>
      </c>
      <c r="M126" s="408">
        <v>4.08</v>
      </c>
      <c r="N126" s="408">
        <v>4.1100000000000003</v>
      </c>
      <c r="O126" s="408">
        <v>3.76</v>
      </c>
      <c r="P126" s="408">
        <v>3.83</v>
      </c>
      <c r="Q126" s="408">
        <v>3.84</v>
      </c>
      <c r="R126" s="408">
        <v>3.72</v>
      </c>
      <c r="S126" s="408">
        <v>4.2300000000000004</v>
      </c>
      <c r="T126" s="408"/>
      <c r="U126" s="408"/>
      <c r="V126" s="408"/>
      <c r="W126" s="408"/>
      <c r="X126" s="408"/>
      <c r="Y126" s="408"/>
      <c r="Z126" s="408"/>
      <c r="AA126" s="408"/>
      <c r="AB126" s="408"/>
      <c r="AC126" s="408"/>
      <c r="AD126" s="408"/>
      <c r="AE126" s="408"/>
      <c r="AF126" s="408"/>
      <c r="AG126" s="408"/>
      <c r="AH126" s="408"/>
      <c r="AI126" s="408"/>
      <c r="AJ126" s="408"/>
    </row>
    <row r="127" spans="1:36">
      <c r="A127" s="408">
        <v>193</v>
      </c>
      <c r="B127" s="408" t="s">
        <v>456</v>
      </c>
      <c r="C127" s="408" t="s">
        <v>457</v>
      </c>
      <c r="D127" s="408" t="s">
        <v>455</v>
      </c>
      <c r="E127" s="408" t="s">
        <v>459</v>
      </c>
      <c r="F127" s="408" t="s">
        <v>460</v>
      </c>
      <c r="G127" s="408">
        <v>3.58</v>
      </c>
      <c r="H127" s="408">
        <v>4.05</v>
      </c>
      <c r="I127" s="408">
        <v>4.1900000000000004</v>
      </c>
      <c r="J127" s="408">
        <v>3.82</v>
      </c>
      <c r="K127" s="408">
        <v>3.79</v>
      </c>
      <c r="L127" s="408">
        <v>3.72</v>
      </c>
      <c r="M127" s="408">
        <v>4.24</v>
      </c>
      <c r="N127" s="408">
        <v>3.76</v>
      </c>
      <c r="O127" s="408">
        <v>3.92</v>
      </c>
      <c r="P127" s="408">
        <v>3.93</v>
      </c>
      <c r="Q127" s="408">
        <v>3.85</v>
      </c>
      <c r="R127" s="408">
        <v>3.01</v>
      </c>
      <c r="S127" s="408">
        <v>3.9</v>
      </c>
      <c r="T127" s="408"/>
      <c r="U127" s="408"/>
      <c r="V127" s="408"/>
      <c r="W127" s="408"/>
      <c r="X127" s="408"/>
      <c r="Y127" s="408"/>
      <c r="Z127" s="408"/>
      <c r="AA127" s="408"/>
      <c r="AB127" s="408"/>
      <c r="AC127" s="408"/>
      <c r="AD127" s="408"/>
      <c r="AE127" s="408"/>
      <c r="AF127" s="408"/>
      <c r="AG127" s="408"/>
      <c r="AH127" s="408"/>
      <c r="AI127" s="408"/>
      <c r="AJ127" s="408"/>
    </row>
    <row r="128" spans="1:36">
      <c r="A128" s="408">
        <v>194</v>
      </c>
      <c r="B128" s="408" t="s">
        <v>456</v>
      </c>
      <c r="C128" s="408" t="s">
        <v>457</v>
      </c>
      <c r="D128" s="408" t="s">
        <v>455</v>
      </c>
      <c r="E128" s="408" t="s">
        <v>459</v>
      </c>
      <c r="F128" s="408" t="s">
        <v>460</v>
      </c>
      <c r="G128" s="408">
        <v>3.37</v>
      </c>
      <c r="H128" s="408">
        <v>2.64</v>
      </c>
      <c r="I128" s="408">
        <v>3.7</v>
      </c>
      <c r="J128" s="408">
        <v>3.83</v>
      </c>
      <c r="K128" s="408">
        <v>3.23</v>
      </c>
      <c r="L128" s="408">
        <v>3.57</v>
      </c>
      <c r="M128" s="408">
        <v>2.95</v>
      </c>
      <c r="N128" s="408">
        <v>3.68</v>
      </c>
      <c r="O128" s="408">
        <v>3.46</v>
      </c>
      <c r="P128" s="408">
        <v>2.83</v>
      </c>
      <c r="Q128" s="408">
        <v>2.88</v>
      </c>
      <c r="R128" s="408">
        <v>3.16</v>
      </c>
      <c r="S128" s="408">
        <v>2.89</v>
      </c>
      <c r="T128" s="408"/>
      <c r="U128" s="408"/>
      <c r="V128" s="408"/>
      <c r="W128" s="408"/>
      <c r="X128" s="408"/>
      <c r="Y128" s="408"/>
      <c r="Z128" s="408"/>
      <c r="AA128" s="408"/>
      <c r="AB128" s="408"/>
      <c r="AC128" s="408"/>
      <c r="AD128" s="408"/>
      <c r="AE128" s="408"/>
      <c r="AF128" s="408"/>
      <c r="AG128" s="408"/>
      <c r="AH128" s="408"/>
      <c r="AI128" s="408"/>
      <c r="AJ128" s="408"/>
    </row>
    <row r="129" spans="1:36">
      <c r="A129" s="408">
        <v>195</v>
      </c>
      <c r="B129" s="408" t="s">
        <v>456</v>
      </c>
      <c r="C129" s="408" t="s">
        <v>457</v>
      </c>
      <c r="D129" s="408" t="s">
        <v>455</v>
      </c>
      <c r="E129" s="408" t="s">
        <v>407</v>
      </c>
      <c r="F129" s="408">
        <v>0.7</v>
      </c>
      <c r="G129" s="408">
        <v>6.93</v>
      </c>
      <c r="H129" s="408">
        <v>7.76</v>
      </c>
      <c r="I129" s="408">
        <v>8.07</v>
      </c>
      <c r="J129" s="408">
        <v>6.4</v>
      </c>
      <c r="K129" s="408">
        <v>5.61</v>
      </c>
      <c r="L129" s="408">
        <v>8.6300000000000008</v>
      </c>
      <c r="M129" s="408">
        <v>8.14</v>
      </c>
      <c r="N129" s="408">
        <v>7.44</v>
      </c>
      <c r="O129" s="408">
        <v>8.33</v>
      </c>
      <c r="P129" s="408">
        <v>7.49</v>
      </c>
      <c r="Q129" s="408">
        <v>7.19</v>
      </c>
      <c r="R129" s="408">
        <v>7.82</v>
      </c>
      <c r="S129" s="408">
        <v>6.06</v>
      </c>
      <c r="T129" s="408"/>
      <c r="U129" s="408"/>
      <c r="V129" s="408"/>
      <c r="W129" s="408"/>
      <c r="X129" s="408"/>
      <c r="Y129" s="408"/>
      <c r="Z129" s="408"/>
      <c r="AA129" s="408"/>
      <c r="AB129" s="408"/>
      <c r="AC129" s="408"/>
      <c r="AD129" s="408"/>
      <c r="AE129" s="408"/>
      <c r="AF129" s="408"/>
      <c r="AG129" s="408"/>
      <c r="AH129" s="408"/>
      <c r="AI129" s="408"/>
      <c r="AJ129" s="408"/>
    </row>
    <row r="130" spans="1:36">
      <c r="A130" s="408">
        <v>196</v>
      </c>
      <c r="B130" s="408" t="s">
        <v>456</v>
      </c>
      <c r="C130" s="408" t="s">
        <v>457</v>
      </c>
      <c r="D130" s="408" t="s">
        <v>455</v>
      </c>
      <c r="E130" s="408" t="s">
        <v>407</v>
      </c>
      <c r="F130" s="408">
        <v>0.3</v>
      </c>
      <c r="G130" s="408">
        <v>6.36</v>
      </c>
      <c r="H130" s="408">
        <v>6.34</v>
      </c>
      <c r="I130" s="408">
        <v>5.44</v>
      </c>
      <c r="J130" s="408">
        <v>7.83</v>
      </c>
      <c r="K130" s="408">
        <v>8.66</v>
      </c>
      <c r="L130" s="408">
        <v>8.64</v>
      </c>
      <c r="M130" s="408">
        <v>6.42</v>
      </c>
      <c r="N130" s="408">
        <v>5.36</v>
      </c>
      <c r="O130" s="408">
        <v>4.6100000000000003</v>
      </c>
      <c r="P130" s="408">
        <v>5.61</v>
      </c>
      <c r="Q130" s="408">
        <v>5.0599999999999996</v>
      </c>
      <c r="R130" s="408">
        <v>5.41</v>
      </c>
      <c r="S130" s="408">
        <v>4.1900000000000004</v>
      </c>
      <c r="T130" s="408"/>
      <c r="U130" s="408"/>
      <c r="V130" s="408"/>
      <c r="W130" s="408"/>
      <c r="X130" s="408"/>
      <c r="Y130" s="408"/>
      <c r="Z130" s="408"/>
      <c r="AA130" s="408"/>
      <c r="AB130" s="408"/>
      <c r="AC130" s="408"/>
      <c r="AD130" s="408"/>
      <c r="AE130" s="408"/>
      <c r="AF130" s="408"/>
      <c r="AG130" s="408"/>
      <c r="AH130" s="408"/>
      <c r="AI130" s="408"/>
      <c r="AJ130" s="408"/>
    </row>
    <row r="131" spans="1:36">
      <c r="A131" s="408">
        <v>197</v>
      </c>
      <c r="B131" s="408" t="s">
        <v>456</v>
      </c>
      <c r="C131" s="408" t="s">
        <v>457</v>
      </c>
      <c r="D131" s="408" t="s">
        <v>455</v>
      </c>
      <c r="E131" s="408" t="s">
        <v>407</v>
      </c>
      <c r="F131" s="408">
        <v>0.5</v>
      </c>
      <c r="G131" s="408">
        <v>6.92</v>
      </c>
      <c r="H131" s="408">
        <v>7.75</v>
      </c>
      <c r="I131" s="408">
        <v>7.9</v>
      </c>
      <c r="J131" s="408">
        <v>7.71</v>
      </c>
      <c r="K131" s="408">
        <v>7.24</v>
      </c>
      <c r="L131" s="408">
        <v>6.77</v>
      </c>
      <c r="M131" s="408">
        <v>6.5</v>
      </c>
      <c r="N131" s="408">
        <v>7.2</v>
      </c>
      <c r="O131" s="408">
        <v>6.89</v>
      </c>
      <c r="P131" s="408">
        <v>6.36</v>
      </c>
      <c r="Q131" s="408">
        <v>8.7100000000000009</v>
      </c>
      <c r="R131" s="408">
        <v>4.95</v>
      </c>
      <c r="S131" s="408">
        <v>4.92</v>
      </c>
      <c r="T131" s="408"/>
      <c r="U131" s="408"/>
      <c r="V131" s="408"/>
      <c r="W131" s="408"/>
      <c r="X131" s="408"/>
      <c r="Y131" s="408"/>
      <c r="Z131" s="408"/>
      <c r="AA131" s="408"/>
      <c r="AB131" s="408"/>
      <c r="AC131" s="408"/>
      <c r="AD131" s="408"/>
      <c r="AE131" s="408"/>
      <c r="AF131" s="408"/>
      <c r="AG131" s="408"/>
      <c r="AH131" s="408"/>
      <c r="AI131" s="408"/>
      <c r="AJ131" s="408"/>
    </row>
    <row r="132" spans="1:36">
      <c r="A132" s="408">
        <v>198</v>
      </c>
      <c r="B132" s="408" t="s">
        <v>456</v>
      </c>
      <c r="C132" s="408" t="s">
        <v>457</v>
      </c>
      <c r="D132" s="408" t="s">
        <v>455</v>
      </c>
      <c r="E132" s="408" t="s">
        <v>407</v>
      </c>
      <c r="F132" s="408">
        <v>0.4</v>
      </c>
      <c r="G132" s="408">
        <v>8.01</v>
      </c>
      <c r="H132" s="408">
        <v>4.01</v>
      </c>
      <c r="I132" s="408">
        <v>5.22</v>
      </c>
      <c r="J132" s="408">
        <v>6.42</v>
      </c>
      <c r="K132" s="408">
        <v>7.24</v>
      </c>
      <c r="L132" s="408">
        <v>6.33</v>
      </c>
      <c r="M132" s="408">
        <v>7.18</v>
      </c>
      <c r="N132" s="408">
        <v>8.34</v>
      </c>
      <c r="O132" s="408">
        <v>6.81</v>
      </c>
      <c r="P132" s="408">
        <v>5.94</v>
      </c>
      <c r="Q132" s="408">
        <v>7.26</v>
      </c>
      <c r="R132" s="408">
        <v>4.26</v>
      </c>
      <c r="S132" s="408">
        <v>4</v>
      </c>
      <c r="T132" s="408"/>
      <c r="U132" s="408"/>
      <c r="V132" s="408"/>
      <c r="W132" s="408"/>
      <c r="X132" s="408"/>
      <c r="Y132" s="408"/>
      <c r="Z132" s="408"/>
      <c r="AA132" s="408"/>
      <c r="AB132" s="408"/>
      <c r="AC132" s="408"/>
      <c r="AD132" s="408"/>
      <c r="AE132" s="408"/>
      <c r="AF132" s="408"/>
      <c r="AG132" s="408"/>
      <c r="AH132" s="408"/>
      <c r="AI132" s="408"/>
      <c r="AJ132" s="408"/>
    </row>
    <row r="133" spans="1:36">
      <c r="A133" s="408">
        <v>199</v>
      </c>
      <c r="B133" s="408" t="s">
        <v>456</v>
      </c>
      <c r="C133" s="408" t="s">
        <v>457</v>
      </c>
      <c r="D133" s="408" t="s">
        <v>455</v>
      </c>
      <c r="E133" s="408" t="s">
        <v>407</v>
      </c>
      <c r="F133" s="408">
        <v>0.4</v>
      </c>
      <c r="G133" s="408">
        <v>4.93</v>
      </c>
      <c r="H133" s="408">
        <v>4.6900000000000004</v>
      </c>
      <c r="I133" s="408">
        <v>4.1399999999999997</v>
      </c>
      <c r="J133" s="408">
        <v>3.84</v>
      </c>
      <c r="K133" s="408">
        <v>8</v>
      </c>
      <c r="L133" s="408">
        <v>6.7</v>
      </c>
      <c r="M133" s="408">
        <v>8.06</v>
      </c>
      <c r="N133" s="408">
        <v>8.11</v>
      </c>
      <c r="O133" s="408">
        <v>7.3</v>
      </c>
      <c r="P133" s="408">
        <v>5.34</v>
      </c>
      <c r="Q133" s="408">
        <v>5.5</v>
      </c>
      <c r="R133" s="408">
        <v>5.7</v>
      </c>
      <c r="S133" s="408">
        <v>4.3600000000000003</v>
      </c>
      <c r="T133" s="408"/>
      <c r="U133" s="408"/>
      <c r="V133" s="408"/>
      <c r="W133" s="408"/>
      <c r="X133" s="408"/>
      <c r="Y133" s="408"/>
      <c r="Z133" s="408"/>
      <c r="AA133" s="408"/>
      <c r="AB133" s="408"/>
      <c r="AC133" s="408"/>
      <c r="AD133" s="408"/>
      <c r="AE133" s="408"/>
      <c r="AF133" s="408"/>
      <c r="AG133" s="408"/>
      <c r="AH133" s="408"/>
      <c r="AI133" s="408"/>
      <c r="AJ133" s="408"/>
    </row>
    <row r="134" spans="1:36">
      <c r="A134" s="408">
        <v>200</v>
      </c>
      <c r="B134" s="408" t="s">
        <v>456</v>
      </c>
      <c r="C134" s="408" t="s">
        <v>457</v>
      </c>
      <c r="D134" s="408" t="s">
        <v>455</v>
      </c>
      <c r="E134" s="408" t="s">
        <v>407</v>
      </c>
      <c r="F134" s="408">
        <v>0.5</v>
      </c>
      <c r="G134" s="408">
        <v>7.61</v>
      </c>
      <c r="H134" s="408">
        <v>6.81</v>
      </c>
      <c r="I134" s="408">
        <v>5.64</v>
      </c>
      <c r="J134" s="408">
        <v>7.37</v>
      </c>
      <c r="K134" s="408">
        <v>5.7</v>
      </c>
      <c r="L134" s="408">
        <v>5.25</v>
      </c>
      <c r="M134" s="408">
        <v>4.37</v>
      </c>
      <c r="N134" s="408">
        <v>4.08</v>
      </c>
      <c r="O134" s="408">
        <v>7.42</v>
      </c>
      <c r="P134" s="408">
        <v>8.2100000000000009</v>
      </c>
      <c r="Q134" s="408">
        <v>6.71</v>
      </c>
      <c r="R134" s="408">
        <v>6.83</v>
      </c>
      <c r="S134" s="408">
        <v>7.47</v>
      </c>
      <c r="T134" s="408"/>
      <c r="U134" s="408"/>
      <c r="V134" s="408"/>
      <c r="W134" s="408"/>
      <c r="X134" s="408"/>
      <c r="Y134" s="408"/>
      <c r="Z134" s="408"/>
      <c r="AA134" s="408"/>
      <c r="AB134" s="408"/>
      <c r="AC134" s="408"/>
      <c r="AD134" s="408"/>
      <c r="AE134" s="408"/>
      <c r="AF134" s="408"/>
      <c r="AG134" s="408"/>
      <c r="AH134" s="408"/>
      <c r="AI134" s="408"/>
      <c r="AJ134" s="408"/>
    </row>
    <row r="135" spans="1:36">
      <c r="A135" s="408">
        <v>201</v>
      </c>
      <c r="B135" s="408" t="s">
        <v>456</v>
      </c>
      <c r="C135" s="408" t="s">
        <v>457</v>
      </c>
      <c r="D135" s="408" t="s">
        <v>455</v>
      </c>
      <c r="E135" s="408" t="s">
        <v>407</v>
      </c>
      <c r="F135" s="408">
        <v>0.5</v>
      </c>
      <c r="G135" s="408">
        <v>8.69</v>
      </c>
      <c r="H135" s="408">
        <v>7.02</v>
      </c>
      <c r="I135" s="408">
        <v>8.0299999999999994</v>
      </c>
      <c r="J135" s="408">
        <v>6.55</v>
      </c>
      <c r="K135" s="408">
        <v>7.12</v>
      </c>
      <c r="L135" s="408">
        <v>7.2</v>
      </c>
      <c r="M135" s="408">
        <v>5.79</v>
      </c>
      <c r="N135" s="408">
        <v>5.97</v>
      </c>
      <c r="O135" s="408">
        <v>5.23</v>
      </c>
      <c r="P135" s="408">
        <v>3.98</v>
      </c>
      <c r="Q135" s="408">
        <v>6.58</v>
      </c>
      <c r="R135" s="408">
        <v>7.27</v>
      </c>
      <c r="S135" s="408">
        <v>7.03</v>
      </c>
      <c r="T135" s="408"/>
      <c r="U135" s="408"/>
      <c r="V135" s="408"/>
      <c r="W135" s="408"/>
      <c r="X135" s="408"/>
      <c r="Y135" s="408"/>
      <c r="Z135" s="408"/>
      <c r="AA135" s="408"/>
      <c r="AB135" s="408"/>
      <c r="AC135" s="408"/>
      <c r="AD135" s="408"/>
      <c r="AE135" s="408"/>
      <c r="AF135" s="408"/>
      <c r="AG135" s="408"/>
      <c r="AH135" s="408"/>
      <c r="AI135" s="408"/>
      <c r="AJ135" s="408"/>
    </row>
    <row r="136" spans="1:36">
      <c r="A136" s="408">
        <v>202</v>
      </c>
      <c r="B136" s="408" t="s">
        <v>456</v>
      </c>
      <c r="C136" s="408" t="s">
        <v>457</v>
      </c>
      <c r="D136" s="408" t="s">
        <v>455</v>
      </c>
      <c r="E136" s="408" t="s">
        <v>407</v>
      </c>
      <c r="F136" s="408">
        <v>0.4</v>
      </c>
      <c r="G136" s="408">
        <v>7.36</v>
      </c>
      <c r="H136" s="408">
        <v>6.59</v>
      </c>
      <c r="I136" s="408">
        <v>5.88</v>
      </c>
      <c r="J136" s="408">
        <v>4.66</v>
      </c>
      <c r="K136" s="408">
        <v>5.08</v>
      </c>
      <c r="L136" s="408">
        <v>4.4000000000000004</v>
      </c>
      <c r="M136" s="408">
        <v>4.37</v>
      </c>
      <c r="N136" s="408">
        <v>6.21</v>
      </c>
      <c r="O136" s="408">
        <v>8.06</v>
      </c>
      <c r="P136" s="408">
        <v>6.36</v>
      </c>
      <c r="Q136" s="408">
        <v>6.89</v>
      </c>
      <c r="R136" s="408">
        <v>5.29</v>
      </c>
      <c r="S136" s="408">
        <v>7.04</v>
      </c>
      <c r="T136" s="408"/>
      <c r="U136" s="408"/>
      <c r="V136" s="408"/>
      <c r="W136" s="408"/>
      <c r="X136" s="408"/>
      <c r="Y136" s="408"/>
      <c r="Z136" s="408"/>
      <c r="AA136" s="408"/>
      <c r="AB136" s="408"/>
      <c r="AC136" s="408"/>
      <c r="AD136" s="408"/>
      <c r="AE136" s="408"/>
      <c r="AF136" s="408"/>
      <c r="AG136" s="408"/>
      <c r="AH136" s="408"/>
      <c r="AI136" s="408"/>
      <c r="AJ136" s="408"/>
    </row>
    <row r="137" spans="1:36">
      <c r="A137" s="408">
        <v>203</v>
      </c>
      <c r="B137" s="408" t="s">
        <v>456</v>
      </c>
      <c r="C137" s="408" t="s">
        <v>457</v>
      </c>
      <c r="D137" s="408" t="s">
        <v>455</v>
      </c>
      <c r="E137" s="408" t="s">
        <v>407</v>
      </c>
      <c r="F137" s="408">
        <v>0.6</v>
      </c>
      <c r="G137" s="408">
        <v>7.33</v>
      </c>
      <c r="H137" s="408">
        <v>8.24</v>
      </c>
      <c r="I137" s="408">
        <v>6.13</v>
      </c>
      <c r="J137" s="408">
        <v>7.89</v>
      </c>
      <c r="K137" s="408">
        <v>7.72</v>
      </c>
      <c r="L137" s="408">
        <v>7.17</v>
      </c>
      <c r="M137" s="408">
        <v>6.81</v>
      </c>
      <c r="N137" s="408">
        <v>7.34</v>
      </c>
      <c r="O137" s="408">
        <v>6.99</v>
      </c>
      <c r="P137" s="408">
        <v>8.42</v>
      </c>
      <c r="Q137" s="408">
        <v>6.58</v>
      </c>
      <c r="R137" s="408">
        <v>7.59</v>
      </c>
      <c r="S137" s="408">
        <v>7.19</v>
      </c>
      <c r="T137" s="408"/>
      <c r="U137" s="408"/>
      <c r="V137" s="408"/>
      <c r="W137" s="408"/>
      <c r="X137" s="408"/>
      <c r="Y137" s="408"/>
      <c r="Z137" s="408"/>
      <c r="AA137" s="408"/>
      <c r="AB137" s="408"/>
      <c r="AC137" s="408"/>
      <c r="AD137" s="408"/>
      <c r="AE137" s="408"/>
      <c r="AF137" s="408"/>
      <c r="AG137" s="408"/>
      <c r="AH137" s="408"/>
      <c r="AI137" s="408"/>
      <c r="AJ137" s="408"/>
    </row>
    <row r="138" spans="1:36">
      <c r="A138" s="408">
        <v>204</v>
      </c>
      <c r="B138" s="408" t="s">
        <v>456</v>
      </c>
      <c r="C138" s="408" t="s">
        <v>457</v>
      </c>
      <c r="D138" s="408" t="s">
        <v>455</v>
      </c>
      <c r="E138" s="408" t="s">
        <v>407</v>
      </c>
      <c r="F138" s="408">
        <v>0.4</v>
      </c>
      <c r="G138" s="408">
        <v>7.4</v>
      </c>
      <c r="H138" s="408">
        <v>6.87</v>
      </c>
      <c r="I138" s="408">
        <v>6.19</v>
      </c>
      <c r="J138" s="408">
        <v>6.3</v>
      </c>
      <c r="K138" s="408">
        <v>5.45</v>
      </c>
      <c r="L138" s="408">
        <v>6.45</v>
      </c>
      <c r="M138" s="408">
        <v>5.88</v>
      </c>
      <c r="N138" s="408">
        <v>5.35</v>
      </c>
      <c r="O138" s="408">
        <v>5.98</v>
      </c>
      <c r="P138" s="408">
        <v>5.54</v>
      </c>
      <c r="Q138" s="408">
        <v>5.8</v>
      </c>
      <c r="R138" s="408">
        <v>7.54</v>
      </c>
      <c r="S138" s="408">
        <v>7.68</v>
      </c>
      <c r="T138" s="408"/>
      <c r="U138" s="408"/>
      <c r="V138" s="408"/>
      <c r="W138" s="408"/>
      <c r="X138" s="408"/>
      <c r="Y138" s="408"/>
      <c r="Z138" s="408"/>
      <c r="AA138" s="408"/>
      <c r="AB138" s="408"/>
      <c r="AC138" s="408"/>
      <c r="AD138" s="408"/>
      <c r="AE138" s="408"/>
      <c r="AF138" s="408"/>
      <c r="AG138" s="408"/>
      <c r="AH138" s="408"/>
      <c r="AI138" s="408"/>
      <c r="AJ138" s="408"/>
    </row>
    <row r="139" spans="1:36">
      <c r="A139" s="408">
        <v>205</v>
      </c>
      <c r="B139" s="408" t="s">
        <v>456</v>
      </c>
      <c r="C139" s="408" t="s">
        <v>457</v>
      </c>
      <c r="D139" s="408" t="s">
        <v>455</v>
      </c>
      <c r="E139" s="408" t="s">
        <v>407</v>
      </c>
      <c r="F139" s="408">
        <v>0.4</v>
      </c>
      <c r="G139" s="408">
        <v>7.49</v>
      </c>
      <c r="H139" s="408">
        <v>8.25</v>
      </c>
      <c r="I139" s="408">
        <v>7.33</v>
      </c>
      <c r="J139" s="408">
        <v>6.56</v>
      </c>
      <c r="K139" s="408">
        <v>5.19</v>
      </c>
      <c r="L139" s="408">
        <v>4.8499999999999996</v>
      </c>
      <c r="M139" s="408">
        <v>5.71</v>
      </c>
      <c r="N139" s="408">
        <v>55.7</v>
      </c>
      <c r="O139" s="408">
        <v>7.18</v>
      </c>
      <c r="P139" s="408">
        <v>7.17</v>
      </c>
      <c r="Q139" s="408">
        <v>8.1300000000000008</v>
      </c>
      <c r="R139" s="408">
        <v>6.37</v>
      </c>
      <c r="S139" s="408">
        <v>6.03</v>
      </c>
      <c r="T139" s="408"/>
      <c r="U139" s="408"/>
      <c r="V139" s="408"/>
      <c r="W139" s="408"/>
      <c r="X139" s="408"/>
      <c r="Y139" s="408"/>
      <c r="Z139" s="408"/>
      <c r="AA139" s="408"/>
      <c r="AB139" s="408"/>
      <c r="AC139" s="408"/>
      <c r="AD139" s="408"/>
      <c r="AE139" s="408"/>
      <c r="AF139" s="408"/>
      <c r="AG139" s="408"/>
      <c r="AH139" s="408"/>
      <c r="AI139" s="408"/>
      <c r="AJ139" s="408"/>
    </row>
    <row r="140" spans="1:36">
      <c r="A140" s="408">
        <v>206</v>
      </c>
      <c r="B140" s="408" t="s">
        <v>456</v>
      </c>
      <c r="C140" s="408" t="s">
        <v>457</v>
      </c>
      <c r="D140" s="408" t="s">
        <v>455</v>
      </c>
      <c r="E140" s="408" t="s">
        <v>407</v>
      </c>
      <c r="F140" s="408">
        <v>0.4</v>
      </c>
      <c r="G140" s="408">
        <v>7.01</v>
      </c>
      <c r="H140" s="408">
        <v>7.25</v>
      </c>
      <c r="I140" s="408">
        <v>5.9</v>
      </c>
      <c r="J140" s="408">
        <v>7.11</v>
      </c>
      <c r="K140" s="408">
        <v>6.32</v>
      </c>
      <c r="L140" s="408">
        <v>4.8099999999999996</v>
      </c>
      <c r="M140" s="408">
        <v>6.01</v>
      </c>
      <c r="N140" s="408">
        <v>6.66</v>
      </c>
      <c r="O140" s="408">
        <v>6.41</v>
      </c>
      <c r="P140" s="408">
        <v>6.3</v>
      </c>
      <c r="Q140" s="408">
        <v>6.39</v>
      </c>
      <c r="R140" s="408">
        <v>4.58</v>
      </c>
      <c r="S140" s="408">
        <v>5.35</v>
      </c>
      <c r="T140" s="408"/>
      <c r="U140" s="408"/>
      <c r="V140" s="408"/>
      <c r="W140" s="408"/>
      <c r="X140" s="408"/>
      <c r="Y140" s="408"/>
      <c r="Z140" s="408"/>
      <c r="AA140" s="408"/>
      <c r="AB140" s="408"/>
      <c r="AC140" s="408"/>
      <c r="AD140" s="408"/>
      <c r="AE140" s="408"/>
      <c r="AF140" s="408"/>
      <c r="AG140" s="408"/>
      <c r="AH140" s="408"/>
      <c r="AI140" s="408"/>
      <c r="AJ140" s="408"/>
    </row>
    <row r="141" spans="1:36">
      <c r="A141" t="s">
        <v>461</v>
      </c>
      <c r="B141" t="s">
        <v>465</v>
      </c>
      <c r="C141" t="s">
        <v>451</v>
      </c>
      <c r="D141" t="s">
        <v>468</v>
      </c>
      <c r="E141" t="s">
        <v>461</v>
      </c>
      <c r="F141" t="s">
        <v>461</v>
      </c>
      <c r="G141">
        <v>15.59</v>
      </c>
      <c r="H141">
        <v>14.2</v>
      </c>
      <c r="I141">
        <v>6.86</v>
      </c>
      <c r="J141">
        <v>9.6</v>
      </c>
      <c r="K141">
        <v>8.2100000000000009</v>
      </c>
      <c r="L141">
        <v>9.1</v>
      </c>
      <c r="M141">
        <v>17.59</v>
      </c>
      <c r="N141">
        <v>9.25</v>
      </c>
      <c r="O141">
        <v>8.2200000000000006</v>
      </c>
      <c r="P141">
        <v>6.1</v>
      </c>
      <c r="Q141">
        <v>9.1</v>
      </c>
      <c r="R141">
        <v>11.12</v>
      </c>
      <c r="S141">
        <v>4.5999999999999996</v>
      </c>
      <c r="T141">
        <v>6.41</v>
      </c>
      <c r="U141">
        <v>8.8699999999999992</v>
      </c>
      <c r="V141">
        <v>8.4600000000000009</v>
      </c>
      <c r="W141">
        <v>12.09</v>
      </c>
      <c r="X141">
        <v>8.1199999999999992</v>
      </c>
      <c r="Y141">
        <v>14.99</v>
      </c>
      <c r="Z141">
        <v>4.9800000000000004</v>
      </c>
    </row>
    <row r="142" spans="1:36">
      <c r="A142" t="s">
        <v>461</v>
      </c>
      <c r="B142" t="s">
        <v>465</v>
      </c>
      <c r="C142" t="s">
        <v>451</v>
      </c>
      <c r="D142" t="s">
        <v>468</v>
      </c>
      <c r="E142" t="s">
        <v>461</v>
      </c>
      <c r="F142" t="s">
        <v>461</v>
      </c>
      <c r="G142">
        <v>10.09</v>
      </c>
      <c r="H142">
        <v>10.09</v>
      </c>
      <c r="I142">
        <v>13.89</v>
      </c>
      <c r="J142">
        <v>14.42</v>
      </c>
      <c r="K142">
        <v>8.92</v>
      </c>
      <c r="L142">
        <v>4.03</v>
      </c>
      <c r="M142">
        <v>8.9</v>
      </c>
      <c r="N142">
        <v>12.31</v>
      </c>
      <c r="O142">
        <v>12.47</v>
      </c>
      <c r="P142">
        <v>4.3600000000000003</v>
      </c>
      <c r="Q142">
        <v>13.26</v>
      </c>
      <c r="R142">
        <v>8.73</v>
      </c>
      <c r="S142">
        <v>9.32</v>
      </c>
      <c r="T142">
        <v>11.18</v>
      </c>
      <c r="U142">
        <v>9.2799999999999994</v>
      </c>
      <c r="V142">
        <v>13.72</v>
      </c>
      <c r="W142">
        <v>9.6300000000000008</v>
      </c>
      <c r="X142">
        <v>7.41</v>
      </c>
      <c r="Y142">
        <v>11.47</v>
      </c>
      <c r="Z142">
        <v>8.81</v>
      </c>
    </row>
    <row r="143" spans="1:36">
      <c r="A143" t="s">
        <v>461</v>
      </c>
      <c r="B143" t="s">
        <v>465</v>
      </c>
      <c r="C143" t="s">
        <v>451</v>
      </c>
      <c r="D143" t="s">
        <v>468</v>
      </c>
      <c r="E143" t="s">
        <v>461</v>
      </c>
      <c r="F143" t="s">
        <v>461</v>
      </c>
      <c r="G143">
        <v>6.17</v>
      </c>
      <c r="H143">
        <v>6.34</v>
      </c>
      <c r="I143">
        <v>4.84</v>
      </c>
      <c r="J143">
        <v>12.07</v>
      </c>
      <c r="K143">
        <v>14.8</v>
      </c>
      <c r="L143">
        <v>11.7</v>
      </c>
      <c r="M143">
        <v>5.34</v>
      </c>
      <c r="N143">
        <v>12.5</v>
      </c>
      <c r="O143">
        <v>11.15</v>
      </c>
      <c r="P143">
        <v>9.07</v>
      </c>
      <c r="Q143">
        <v>11.3</v>
      </c>
      <c r="R143">
        <v>10.69</v>
      </c>
      <c r="S143">
        <v>7.39</v>
      </c>
      <c r="T143">
        <v>6.13</v>
      </c>
      <c r="U143">
        <v>8.2200000000000006</v>
      </c>
      <c r="V143">
        <v>9.1</v>
      </c>
      <c r="W143">
        <v>9</v>
      </c>
      <c r="X143">
        <v>8.3699999999999992</v>
      </c>
      <c r="Y143">
        <v>15.94</v>
      </c>
      <c r="Z143">
        <v>10.7</v>
      </c>
    </row>
    <row r="144" spans="1:36">
      <c r="A144" t="s">
        <v>461</v>
      </c>
      <c r="B144" t="s">
        <v>465</v>
      </c>
      <c r="C144" t="s">
        <v>451</v>
      </c>
      <c r="D144" t="s">
        <v>468</v>
      </c>
      <c r="E144" t="s">
        <v>461</v>
      </c>
      <c r="F144" t="s">
        <v>461</v>
      </c>
      <c r="G144">
        <v>9.42</v>
      </c>
      <c r="H144">
        <v>5.58</v>
      </c>
      <c r="I144">
        <v>10.52</v>
      </c>
      <c r="J144">
        <v>8.8000000000000007</v>
      </c>
      <c r="K144">
        <v>4.09</v>
      </c>
      <c r="L144">
        <v>5.31</v>
      </c>
      <c r="M144">
        <v>9.7799999999999994</v>
      </c>
      <c r="N144">
        <v>3.23</v>
      </c>
      <c r="O144">
        <v>11.26</v>
      </c>
      <c r="P144">
        <v>9.48</v>
      </c>
      <c r="Q144">
        <v>8.85</v>
      </c>
      <c r="R144">
        <v>11.28</v>
      </c>
      <c r="S144">
        <v>9.94</v>
      </c>
      <c r="T144">
        <v>7.62</v>
      </c>
      <c r="U144">
        <v>7.51</v>
      </c>
      <c r="V144">
        <v>10.14</v>
      </c>
      <c r="W144">
        <v>8.3800000000000008</v>
      </c>
      <c r="X144">
        <v>10.43</v>
      </c>
      <c r="Y144">
        <v>6.19</v>
      </c>
      <c r="Z144">
        <v>9.5399999999999991</v>
      </c>
    </row>
    <row r="145" spans="1:32">
      <c r="A145" t="s">
        <v>461</v>
      </c>
      <c r="B145" t="s">
        <v>465</v>
      </c>
      <c r="C145" t="s">
        <v>451</v>
      </c>
      <c r="D145" t="s">
        <v>468</v>
      </c>
      <c r="E145" t="s">
        <v>461</v>
      </c>
      <c r="F145" t="s">
        <v>461</v>
      </c>
      <c r="G145">
        <v>7.41</v>
      </c>
      <c r="H145">
        <v>13.81</v>
      </c>
      <c r="I145">
        <v>14.54</v>
      </c>
      <c r="J145">
        <v>13.53</v>
      </c>
      <c r="K145">
        <v>7.73</v>
      </c>
      <c r="L145">
        <v>12.55</v>
      </c>
      <c r="M145">
        <v>12.37</v>
      </c>
      <c r="N145">
        <v>5.35</v>
      </c>
      <c r="O145">
        <v>6.17</v>
      </c>
      <c r="P145">
        <v>9.41</v>
      </c>
      <c r="Q145">
        <v>7.53</v>
      </c>
      <c r="R145">
        <v>10.42</v>
      </c>
      <c r="S145">
        <v>3.6</v>
      </c>
      <c r="T145">
        <v>14.77</v>
      </c>
      <c r="U145">
        <v>7.35</v>
      </c>
      <c r="V145">
        <v>8.6999999999999993</v>
      </c>
      <c r="W145">
        <v>10.49</v>
      </c>
      <c r="X145">
        <v>9.92</v>
      </c>
      <c r="Y145">
        <v>10.8</v>
      </c>
      <c r="Z145">
        <v>5.95</v>
      </c>
    </row>
    <row r="146" spans="1:32">
      <c r="A146" t="s">
        <v>461</v>
      </c>
      <c r="B146" t="s">
        <v>465</v>
      </c>
      <c r="C146" t="s">
        <v>451</v>
      </c>
      <c r="D146" t="s">
        <v>468</v>
      </c>
      <c r="E146" t="s">
        <v>461</v>
      </c>
      <c r="F146" t="s">
        <v>461</v>
      </c>
      <c r="G146">
        <v>9.15</v>
      </c>
      <c r="H146">
        <v>6.18</v>
      </c>
      <c r="I146">
        <v>5.16</v>
      </c>
      <c r="J146">
        <v>4.9800000000000004</v>
      </c>
      <c r="K146">
        <v>10.32</v>
      </c>
      <c r="L146">
        <v>11.53</v>
      </c>
      <c r="M146">
        <v>8.5</v>
      </c>
      <c r="N146">
        <v>9.43</v>
      </c>
      <c r="O146">
        <v>8.08</v>
      </c>
      <c r="P146">
        <v>5.29</v>
      </c>
      <c r="Q146">
        <v>6.91</v>
      </c>
      <c r="R146">
        <v>10.88</v>
      </c>
      <c r="S146">
        <v>7.36</v>
      </c>
      <c r="T146">
        <v>7.89</v>
      </c>
      <c r="U146">
        <v>6.21</v>
      </c>
      <c r="V146">
        <v>6.18</v>
      </c>
      <c r="W146">
        <v>4.8099999999999996</v>
      </c>
      <c r="X146">
        <v>15.62</v>
      </c>
      <c r="Y146">
        <v>12.32</v>
      </c>
      <c r="Z146">
        <v>13.04</v>
      </c>
    </row>
    <row r="147" spans="1:32">
      <c r="A147" t="s">
        <v>461</v>
      </c>
      <c r="B147" t="s">
        <v>465</v>
      </c>
      <c r="C147" t="s">
        <v>451</v>
      </c>
      <c r="D147" t="s">
        <v>468</v>
      </c>
      <c r="E147" t="s">
        <v>461</v>
      </c>
      <c r="F147" t="s">
        <v>461</v>
      </c>
      <c r="G147">
        <v>12.39</v>
      </c>
      <c r="H147">
        <v>11.13</v>
      </c>
      <c r="I147">
        <v>14.86</v>
      </c>
      <c r="J147">
        <v>17.11</v>
      </c>
      <c r="K147">
        <v>11.81</v>
      </c>
      <c r="L147">
        <v>11.69</v>
      </c>
      <c r="M147">
        <v>17.46</v>
      </c>
      <c r="N147">
        <v>10.36</v>
      </c>
      <c r="O147">
        <v>12.62</v>
      </c>
      <c r="P147">
        <v>10.55</v>
      </c>
      <c r="Q147">
        <v>10.8</v>
      </c>
      <c r="R147">
        <v>8.1199999999999992</v>
      </c>
      <c r="S147">
        <v>11.57</v>
      </c>
      <c r="T147">
        <v>7.68</v>
      </c>
      <c r="U147">
        <v>9.9</v>
      </c>
      <c r="V147">
        <v>13.07</v>
      </c>
      <c r="W147">
        <v>12.51</v>
      </c>
      <c r="X147">
        <v>11.46</v>
      </c>
      <c r="Y147">
        <v>10.25</v>
      </c>
      <c r="Z147">
        <v>14.05</v>
      </c>
    </row>
    <row r="148" spans="1:32">
      <c r="A148" t="s">
        <v>461</v>
      </c>
      <c r="B148" t="s">
        <v>465</v>
      </c>
      <c r="C148" t="s">
        <v>451</v>
      </c>
      <c r="D148" t="s">
        <v>468</v>
      </c>
      <c r="E148" t="s">
        <v>461</v>
      </c>
      <c r="F148" t="s">
        <v>461</v>
      </c>
      <c r="G148">
        <v>9.2100000000000009</v>
      </c>
      <c r="H148">
        <v>10.64</v>
      </c>
      <c r="I148">
        <v>7.49</v>
      </c>
      <c r="J148">
        <v>13.51</v>
      </c>
      <c r="K148">
        <v>7.63</v>
      </c>
      <c r="L148">
        <v>5.13</v>
      </c>
      <c r="M148">
        <v>10.06</v>
      </c>
      <c r="N148">
        <v>5.87</v>
      </c>
      <c r="O148">
        <v>14.83</v>
      </c>
      <c r="P148">
        <v>11.92</v>
      </c>
      <c r="Q148">
        <v>8.99</v>
      </c>
      <c r="R148">
        <v>12.66</v>
      </c>
      <c r="S148">
        <v>6.79</v>
      </c>
      <c r="T148">
        <v>13.73</v>
      </c>
      <c r="U148">
        <v>14.05</v>
      </c>
      <c r="V148">
        <v>11.28</v>
      </c>
      <c r="W148">
        <v>8.8000000000000007</v>
      </c>
      <c r="X148">
        <v>7.45</v>
      </c>
      <c r="Y148">
        <v>14.47</v>
      </c>
      <c r="Z148">
        <v>5.61</v>
      </c>
    </row>
    <row r="149" spans="1:32">
      <c r="A149" t="s">
        <v>461</v>
      </c>
      <c r="B149" t="s">
        <v>465</v>
      </c>
      <c r="C149" t="s">
        <v>451</v>
      </c>
      <c r="D149" t="s">
        <v>468</v>
      </c>
      <c r="E149" t="s">
        <v>461</v>
      </c>
      <c r="F149" t="s">
        <v>461</v>
      </c>
      <c r="G149">
        <v>9.7799999999999994</v>
      </c>
      <c r="H149">
        <v>12.36</v>
      </c>
      <c r="I149">
        <v>6.92</v>
      </c>
      <c r="J149">
        <v>11.64</v>
      </c>
      <c r="K149">
        <v>10.49</v>
      </c>
      <c r="L149">
        <v>12.86</v>
      </c>
      <c r="M149">
        <v>12.21</v>
      </c>
      <c r="N149">
        <v>10.01</v>
      </c>
      <c r="O149">
        <v>8.6199999999999992</v>
      </c>
      <c r="P149">
        <v>9.27</v>
      </c>
      <c r="Q149">
        <v>6.98</v>
      </c>
      <c r="R149">
        <v>10.23</v>
      </c>
      <c r="S149">
        <v>12.45</v>
      </c>
      <c r="T149">
        <v>10.08</v>
      </c>
      <c r="U149">
        <v>15.05</v>
      </c>
      <c r="V149">
        <v>9.65</v>
      </c>
      <c r="W149">
        <v>7.22</v>
      </c>
      <c r="X149">
        <v>5.12</v>
      </c>
      <c r="Y149">
        <v>5.0199999999999996</v>
      </c>
      <c r="Z149">
        <v>7.32</v>
      </c>
    </row>
    <row r="150" spans="1:32">
      <c r="A150" t="s">
        <v>461</v>
      </c>
      <c r="B150" t="s">
        <v>465</v>
      </c>
      <c r="C150" t="s">
        <v>451</v>
      </c>
      <c r="D150" t="s">
        <v>468</v>
      </c>
      <c r="E150" t="s">
        <v>461</v>
      </c>
      <c r="F150" t="s">
        <v>461</v>
      </c>
      <c r="G150">
        <v>11.58</v>
      </c>
      <c r="H150">
        <v>12.93</v>
      </c>
      <c r="I150">
        <v>16.03</v>
      </c>
      <c r="J150">
        <v>16.98</v>
      </c>
      <c r="K150">
        <v>8.4</v>
      </c>
      <c r="L150">
        <v>10.24</v>
      </c>
      <c r="M150">
        <v>11.75</v>
      </c>
      <c r="N150">
        <v>8.76</v>
      </c>
      <c r="O150">
        <v>4.51</v>
      </c>
      <c r="P150">
        <v>9.1999999999999993</v>
      </c>
      <c r="Q150">
        <v>9.31</v>
      </c>
      <c r="R150">
        <v>10.38</v>
      </c>
      <c r="S150">
        <v>10.45</v>
      </c>
      <c r="T150">
        <v>11.04</v>
      </c>
      <c r="U150">
        <v>7.96</v>
      </c>
      <c r="V150">
        <v>9.2100000000000009</v>
      </c>
      <c r="W150">
        <v>9.18</v>
      </c>
      <c r="X150">
        <v>5.63</v>
      </c>
      <c r="Y150">
        <v>7.94</v>
      </c>
      <c r="Z150">
        <v>7.5</v>
      </c>
    </row>
    <row r="151" spans="1:32">
      <c r="A151" t="s">
        <v>461</v>
      </c>
      <c r="B151" t="s">
        <v>462</v>
      </c>
      <c r="C151" t="s">
        <v>451</v>
      </c>
      <c r="D151" t="s">
        <v>467</v>
      </c>
      <c r="E151" t="s">
        <v>461</v>
      </c>
      <c r="F151" t="s">
        <v>461</v>
      </c>
      <c r="G151">
        <v>5.86</v>
      </c>
      <c r="H151">
        <v>7.85</v>
      </c>
      <c r="I151">
        <v>15.82</v>
      </c>
      <c r="J151">
        <v>14.53</v>
      </c>
      <c r="K151">
        <v>18.13</v>
      </c>
      <c r="L151">
        <v>14.53</v>
      </c>
      <c r="M151">
        <v>15.05</v>
      </c>
      <c r="N151">
        <v>17.23</v>
      </c>
      <c r="O151">
        <v>24.4</v>
      </c>
      <c r="P151">
        <v>7.23</v>
      </c>
      <c r="Q151">
        <v>5.36</v>
      </c>
      <c r="R151">
        <v>14.89</v>
      </c>
      <c r="S151">
        <v>5.16</v>
      </c>
      <c r="T151">
        <v>21.74</v>
      </c>
      <c r="U151">
        <v>22.76</v>
      </c>
      <c r="V151">
        <v>19.64</v>
      </c>
      <c r="W151">
        <v>18.350000000000001</v>
      </c>
      <c r="X151">
        <v>19.260000000000002</v>
      </c>
      <c r="Y151">
        <v>20.079999999999998</v>
      </c>
      <c r="Z151">
        <v>20.82</v>
      </c>
    </row>
    <row r="152" spans="1:32">
      <c r="A152" t="s">
        <v>461</v>
      </c>
      <c r="B152" t="s">
        <v>462</v>
      </c>
      <c r="C152" t="s">
        <v>451</v>
      </c>
      <c r="D152" t="s">
        <v>467</v>
      </c>
      <c r="E152" t="s">
        <v>461</v>
      </c>
      <c r="F152" t="s">
        <v>461</v>
      </c>
      <c r="G152">
        <v>16.61</v>
      </c>
      <c r="H152">
        <v>24.13</v>
      </c>
      <c r="I152">
        <v>16.690000000000001</v>
      </c>
      <c r="J152">
        <v>21.58</v>
      </c>
      <c r="K152">
        <v>17.39</v>
      </c>
      <c r="L152">
        <v>15.76</v>
      </c>
      <c r="M152">
        <v>17.25</v>
      </c>
      <c r="N152">
        <v>16.47</v>
      </c>
      <c r="O152">
        <v>16.12</v>
      </c>
      <c r="P152">
        <v>15.68</v>
      </c>
      <c r="Q152">
        <v>14.05</v>
      </c>
      <c r="R152">
        <v>13.95</v>
      </c>
      <c r="S152">
        <v>14.83</v>
      </c>
      <c r="T152">
        <v>13.06</v>
      </c>
      <c r="U152">
        <v>13.1</v>
      </c>
      <c r="V152">
        <v>12.73</v>
      </c>
      <c r="W152">
        <v>18.190000000000001</v>
      </c>
      <c r="X152">
        <v>16</v>
      </c>
      <c r="Y152">
        <v>13.5</v>
      </c>
      <c r="Z152">
        <v>10.78</v>
      </c>
    </row>
    <row r="153" spans="1:32">
      <c r="A153" t="s">
        <v>461</v>
      </c>
      <c r="B153" t="s">
        <v>462</v>
      </c>
      <c r="C153" t="s">
        <v>451</v>
      </c>
      <c r="D153" t="s">
        <v>467</v>
      </c>
      <c r="E153" t="s">
        <v>461</v>
      </c>
      <c r="F153" t="s">
        <v>461</v>
      </c>
      <c r="G153">
        <v>5.82</v>
      </c>
      <c r="H153">
        <v>13.74</v>
      </c>
      <c r="I153">
        <v>14.14</v>
      </c>
      <c r="J153">
        <v>13.05</v>
      </c>
      <c r="K153">
        <v>8.7899999999999991</v>
      </c>
      <c r="L153">
        <v>13.18</v>
      </c>
      <c r="M153">
        <v>11.7</v>
      </c>
      <c r="N153">
        <v>10.79</v>
      </c>
      <c r="O153">
        <v>9.6</v>
      </c>
      <c r="P153">
        <v>8.89</v>
      </c>
      <c r="Q153">
        <v>8.0399999999999991</v>
      </c>
      <c r="R153">
        <v>7.94</v>
      </c>
      <c r="S153">
        <v>9.41</v>
      </c>
      <c r="T153">
        <v>10.44</v>
      </c>
      <c r="U153">
        <v>10.35</v>
      </c>
      <c r="V153">
        <v>9.9600000000000009</v>
      </c>
      <c r="W153">
        <v>10.42</v>
      </c>
      <c r="X153">
        <v>6.73</v>
      </c>
      <c r="Y153">
        <v>7.87</v>
      </c>
      <c r="Z153">
        <v>7.05</v>
      </c>
    </row>
    <row r="154" spans="1:32">
      <c r="A154" t="s">
        <v>461</v>
      </c>
      <c r="B154" t="s">
        <v>462</v>
      </c>
      <c r="C154" t="s">
        <v>451</v>
      </c>
      <c r="D154" t="s">
        <v>467</v>
      </c>
      <c r="E154" t="s">
        <v>461</v>
      </c>
      <c r="F154" t="s">
        <v>461</v>
      </c>
      <c r="G154">
        <v>8.33</v>
      </c>
      <c r="H154">
        <v>7.49</v>
      </c>
      <c r="I154">
        <v>6.46</v>
      </c>
      <c r="J154">
        <v>4.82</v>
      </c>
      <c r="K154">
        <v>9.7200000000000006</v>
      </c>
      <c r="L154">
        <v>3.86</v>
      </c>
      <c r="M154">
        <v>4.5199999999999996</v>
      </c>
      <c r="N154">
        <v>7.83</v>
      </c>
      <c r="O154">
        <v>4.3099999999999996</v>
      </c>
      <c r="P154">
        <v>4.6399999999999997</v>
      </c>
      <c r="Q154">
        <v>6.86</v>
      </c>
      <c r="R154">
        <v>5.38</v>
      </c>
      <c r="S154">
        <v>6.32</v>
      </c>
      <c r="T154">
        <v>5.95</v>
      </c>
    </row>
    <row r="155" spans="1:32">
      <c r="A155" t="s">
        <v>403</v>
      </c>
      <c r="B155" t="s">
        <v>402</v>
      </c>
      <c r="C155" t="s">
        <v>451</v>
      </c>
      <c r="D155" t="s">
        <v>454</v>
      </c>
      <c r="E155" t="s">
        <v>403</v>
      </c>
      <c r="G155">
        <v>18.329999999999998</v>
      </c>
      <c r="H155">
        <v>5.17</v>
      </c>
      <c r="I155">
        <v>9.06</v>
      </c>
      <c r="J155">
        <v>11.26</v>
      </c>
      <c r="K155">
        <v>6.85</v>
      </c>
      <c r="L155">
        <v>13</v>
      </c>
      <c r="M155">
        <v>10.07</v>
      </c>
      <c r="N155" t="s">
        <v>404</v>
      </c>
      <c r="O155">
        <v>12.6</v>
      </c>
      <c r="P155">
        <v>8.3699999999999992</v>
      </c>
      <c r="Q155">
        <v>9.3699999999999992</v>
      </c>
      <c r="R155">
        <v>8.9</v>
      </c>
      <c r="S155">
        <v>5.27</v>
      </c>
      <c r="T155">
        <v>8.1199999999999992</v>
      </c>
      <c r="U155">
        <v>11.16</v>
      </c>
      <c r="V155">
        <v>11.24</v>
      </c>
      <c r="W155">
        <v>10.43</v>
      </c>
      <c r="X155">
        <v>9.86</v>
      </c>
      <c r="Y155">
        <v>7</v>
      </c>
      <c r="Z155">
        <v>6.46</v>
      </c>
      <c r="AA155">
        <v>5.88</v>
      </c>
      <c r="AB155">
        <v>7.72</v>
      </c>
      <c r="AC155">
        <v>4.05</v>
      </c>
      <c r="AD155">
        <v>4.55</v>
      </c>
      <c r="AE155" t="s">
        <v>404</v>
      </c>
      <c r="AF155">
        <v>3.52</v>
      </c>
    </row>
    <row r="156" spans="1:32">
      <c r="A156">
        <v>1</v>
      </c>
      <c r="B156" t="s">
        <v>402</v>
      </c>
      <c r="C156" t="s">
        <v>451</v>
      </c>
      <c r="D156" t="s">
        <v>454</v>
      </c>
      <c r="E156" t="s">
        <v>406</v>
      </c>
      <c r="F156">
        <v>3.4</v>
      </c>
      <c r="G156" s="393">
        <v>9.56</v>
      </c>
      <c r="H156" s="393">
        <v>10.01</v>
      </c>
      <c r="I156" s="393">
        <v>9.15</v>
      </c>
      <c r="J156" s="393">
        <v>12.91</v>
      </c>
      <c r="K156" s="393">
        <v>9.75</v>
      </c>
      <c r="L156" s="393">
        <v>9.56</v>
      </c>
      <c r="M156" s="393">
        <v>10.68</v>
      </c>
      <c r="N156" s="393">
        <v>11.2</v>
      </c>
      <c r="O156" s="393">
        <v>9.01</v>
      </c>
      <c r="P156" s="393">
        <v>16.34</v>
      </c>
      <c r="Q156" s="393">
        <v>9.98</v>
      </c>
      <c r="R156" s="393">
        <v>14.22</v>
      </c>
      <c r="S156" s="393">
        <v>17.23</v>
      </c>
      <c r="T156" s="393">
        <v>10.61</v>
      </c>
      <c r="U156" s="393">
        <v>13.51</v>
      </c>
    </row>
    <row r="157" spans="1:32">
      <c r="A157">
        <v>2</v>
      </c>
      <c r="B157" t="s">
        <v>402</v>
      </c>
      <c r="C157" t="s">
        <v>451</v>
      </c>
      <c r="D157" t="s">
        <v>454</v>
      </c>
      <c r="E157" t="s">
        <v>406</v>
      </c>
      <c r="F157">
        <v>2.7</v>
      </c>
      <c r="G157" s="393">
        <v>13</v>
      </c>
      <c r="H157" s="393">
        <v>13.36</v>
      </c>
      <c r="I157" s="393">
        <v>9.76</v>
      </c>
      <c r="J157" s="393">
        <v>9.3000000000000007</v>
      </c>
      <c r="K157" s="393">
        <v>11.32</v>
      </c>
      <c r="L157" s="393">
        <v>11.52</v>
      </c>
      <c r="M157" s="393">
        <v>9.8000000000000007</v>
      </c>
      <c r="N157" s="393">
        <v>11.31</v>
      </c>
      <c r="O157" s="393">
        <v>9.68</v>
      </c>
      <c r="P157" s="393">
        <v>11.05</v>
      </c>
      <c r="Q157" s="393">
        <v>10.27</v>
      </c>
      <c r="R157" s="393">
        <v>8.89</v>
      </c>
      <c r="S157" s="393">
        <v>11.99</v>
      </c>
      <c r="T157" s="393">
        <v>14.63</v>
      </c>
      <c r="U157" s="393">
        <v>11.51</v>
      </c>
    </row>
    <row r="158" spans="1:32">
      <c r="A158">
        <v>3</v>
      </c>
      <c r="B158" t="s">
        <v>402</v>
      </c>
      <c r="C158" t="s">
        <v>451</v>
      </c>
      <c r="D158" t="s">
        <v>454</v>
      </c>
      <c r="E158" t="s">
        <v>406</v>
      </c>
      <c r="F158">
        <v>2.7</v>
      </c>
      <c r="G158" s="393">
        <v>13</v>
      </c>
      <c r="H158" s="393">
        <v>12.17</v>
      </c>
      <c r="I158" s="393">
        <v>11.43</v>
      </c>
      <c r="J158" s="393">
        <v>11.52</v>
      </c>
      <c r="K158" s="393">
        <v>11.95</v>
      </c>
      <c r="L158" s="393">
        <v>9.19</v>
      </c>
      <c r="M158" s="393">
        <v>9.2200000000000006</v>
      </c>
      <c r="N158" s="393">
        <v>10.96</v>
      </c>
      <c r="O158" s="393">
        <v>9.83</v>
      </c>
      <c r="P158" s="393">
        <v>9.5299999999999994</v>
      </c>
      <c r="Q158" s="393">
        <v>9.89</v>
      </c>
      <c r="R158" s="393">
        <v>9.5399999999999991</v>
      </c>
      <c r="S158" s="393">
        <v>12.7</v>
      </c>
      <c r="T158" s="393">
        <v>12.83</v>
      </c>
      <c r="U158" s="393">
        <v>14</v>
      </c>
    </row>
    <row r="159" spans="1:32">
      <c r="A159">
        <v>4</v>
      </c>
      <c r="B159" t="s">
        <v>402</v>
      </c>
      <c r="C159" t="s">
        <v>451</v>
      </c>
      <c r="D159" t="s">
        <v>454</v>
      </c>
      <c r="E159" t="s">
        <v>406</v>
      </c>
      <c r="F159">
        <v>3.1</v>
      </c>
      <c r="G159" s="393">
        <v>12.83</v>
      </c>
      <c r="H159" s="393">
        <v>14.45</v>
      </c>
      <c r="I159" s="393">
        <v>12.57</v>
      </c>
      <c r="J159" s="393">
        <v>14.2</v>
      </c>
      <c r="K159" s="393">
        <v>12.49</v>
      </c>
      <c r="L159" s="393">
        <v>10.15</v>
      </c>
      <c r="M159" s="393">
        <v>11.82</v>
      </c>
      <c r="N159" s="393">
        <v>9.24</v>
      </c>
      <c r="O159" s="393">
        <v>9.23</v>
      </c>
      <c r="P159" s="393">
        <v>9.14</v>
      </c>
      <c r="Q159" s="393">
        <v>8.9499999999999993</v>
      </c>
      <c r="R159" s="393">
        <v>13.85</v>
      </c>
      <c r="S159" s="393">
        <v>12.54</v>
      </c>
      <c r="T159" s="393">
        <v>13.5</v>
      </c>
      <c r="U159" s="393">
        <v>15.53</v>
      </c>
    </row>
    <row r="160" spans="1:32">
      <c r="A160">
        <v>5</v>
      </c>
      <c r="B160" t="s">
        <v>402</v>
      </c>
      <c r="C160" t="s">
        <v>451</v>
      </c>
      <c r="D160" t="s">
        <v>454</v>
      </c>
      <c r="E160" t="s">
        <v>406</v>
      </c>
      <c r="F160">
        <v>3</v>
      </c>
      <c r="G160" s="393">
        <v>11.71</v>
      </c>
      <c r="H160" s="393">
        <v>14.01</v>
      </c>
      <c r="I160" s="393">
        <v>12.74</v>
      </c>
      <c r="J160" s="393">
        <v>10.81</v>
      </c>
      <c r="K160" s="393">
        <v>13.23</v>
      </c>
      <c r="L160" s="393">
        <v>12.99</v>
      </c>
      <c r="M160" s="393">
        <v>9.92</v>
      </c>
      <c r="N160" s="393">
        <v>9.92</v>
      </c>
      <c r="O160" s="393">
        <v>10.28</v>
      </c>
      <c r="P160" s="393">
        <v>12.92</v>
      </c>
      <c r="Q160" s="393">
        <v>10.24</v>
      </c>
      <c r="R160" s="393">
        <v>9.2200000000000006</v>
      </c>
      <c r="S160" s="393">
        <v>9.1999999999999993</v>
      </c>
      <c r="T160" s="393">
        <v>15.15</v>
      </c>
      <c r="U160" s="393">
        <v>12.28</v>
      </c>
    </row>
    <row r="161" spans="1:21">
      <c r="A161">
        <v>6</v>
      </c>
      <c r="B161" t="s">
        <v>402</v>
      </c>
      <c r="C161" t="s">
        <v>451</v>
      </c>
      <c r="D161" t="s">
        <v>454</v>
      </c>
      <c r="E161" t="s">
        <v>406</v>
      </c>
      <c r="F161">
        <v>2.7</v>
      </c>
      <c r="G161" s="393">
        <v>13.63</v>
      </c>
      <c r="H161" s="393">
        <v>15.21</v>
      </c>
      <c r="I161" s="393">
        <v>12.48</v>
      </c>
      <c r="J161" s="393">
        <v>9.91</v>
      </c>
      <c r="K161" s="393">
        <v>11.21</v>
      </c>
      <c r="L161" s="393">
        <v>10.66</v>
      </c>
      <c r="M161" s="393">
        <v>9.0399999999999991</v>
      </c>
      <c r="N161" s="393">
        <v>9.58</v>
      </c>
      <c r="O161" s="393">
        <v>9.1999999999999993</v>
      </c>
      <c r="P161" s="393">
        <v>9.0500000000000007</v>
      </c>
      <c r="Q161" s="393">
        <v>12.83</v>
      </c>
      <c r="R161" s="393">
        <v>10.73</v>
      </c>
      <c r="S161" s="393">
        <v>10.75</v>
      </c>
      <c r="T161" s="393">
        <v>9.5399999999999991</v>
      </c>
      <c r="U161" s="393">
        <v>9</v>
      </c>
    </row>
    <row r="162" spans="1:21">
      <c r="A162">
        <v>7</v>
      </c>
      <c r="B162" t="s">
        <v>402</v>
      </c>
      <c r="C162" t="s">
        <v>451</v>
      </c>
      <c r="D162" t="s">
        <v>454</v>
      </c>
      <c r="E162" t="s">
        <v>407</v>
      </c>
      <c r="F162">
        <v>0.7</v>
      </c>
      <c r="G162" s="393">
        <v>7.18</v>
      </c>
      <c r="H162" s="393">
        <v>6.87</v>
      </c>
      <c r="I162" s="393">
        <v>5.72</v>
      </c>
      <c r="J162" s="393">
        <v>4.7699999999999996</v>
      </c>
      <c r="K162" s="393">
        <v>4.34</v>
      </c>
      <c r="L162" s="393">
        <v>5.12</v>
      </c>
      <c r="M162" s="393">
        <v>7.34</v>
      </c>
      <c r="N162" s="393">
        <v>5.69</v>
      </c>
      <c r="O162" s="393">
        <v>7.81</v>
      </c>
      <c r="P162" s="393">
        <v>7.14</v>
      </c>
      <c r="Q162" s="393">
        <v>7.45</v>
      </c>
      <c r="R162" s="393">
        <v>8.17</v>
      </c>
      <c r="S162" s="393">
        <v>7.71</v>
      </c>
      <c r="T162" s="393">
        <v>6.17</v>
      </c>
      <c r="U162" s="393">
        <v>6.68</v>
      </c>
    </row>
    <row r="163" spans="1:21">
      <c r="A163">
        <v>8</v>
      </c>
      <c r="B163" t="s">
        <v>402</v>
      </c>
      <c r="C163" t="s">
        <v>451</v>
      </c>
      <c r="D163" t="s">
        <v>454</v>
      </c>
      <c r="E163" t="s">
        <v>407</v>
      </c>
      <c r="F163">
        <v>0.6</v>
      </c>
      <c r="G163" s="393">
        <v>6.38</v>
      </c>
      <c r="H163" s="393">
        <v>6.04</v>
      </c>
      <c r="I163" s="393">
        <v>6.16</v>
      </c>
      <c r="J163" s="393">
        <v>5.59</v>
      </c>
      <c r="K163" s="393">
        <v>5.46</v>
      </c>
      <c r="L163" s="393">
        <v>4.78</v>
      </c>
      <c r="M163" s="393">
        <v>4.58</v>
      </c>
      <c r="N163" s="393">
        <v>5.46</v>
      </c>
      <c r="O163" s="393">
        <v>6.63</v>
      </c>
      <c r="P163" s="393">
        <v>7.29</v>
      </c>
      <c r="Q163" s="393">
        <v>7.37</v>
      </c>
      <c r="R163" s="393">
        <v>8.09</v>
      </c>
      <c r="S163" s="393">
        <v>7.5</v>
      </c>
      <c r="T163" s="393">
        <v>5.41</v>
      </c>
      <c r="U163" s="393">
        <v>7.99</v>
      </c>
    </row>
    <row r="164" spans="1:21">
      <c r="A164">
        <v>9</v>
      </c>
      <c r="B164" t="s">
        <v>402</v>
      </c>
      <c r="C164" t="s">
        <v>451</v>
      </c>
      <c r="D164" t="s">
        <v>454</v>
      </c>
      <c r="E164" t="s">
        <v>407</v>
      </c>
      <c r="F164">
        <v>0.7</v>
      </c>
      <c r="G164" s="393">
        <v>6.74</v>
      </c>
      <c r="H164" s="393">
        <v>8.02</v>
      </c>
      <c r="I164" s="393">
        <v>7.78</v>
      </c>
      <c r="J164" s="393">
        <v>7.45</v>
      </c>
      <c r="K164" s="393">
        <v>5.85</v>
      </c>
      <c r="L164" s="393">
        <v>7.61</v>
      </c>
      <c r="M164" s="393">
        <v>4.9000000000000004</v>
      </c>
      <c r="N164" s="393">
        <v>4.1900000000000004</v>
      </c>
      <c r="O164" s="393">
        <v>7.32</v>
      </c>
      <c r="P164" s="393">
        <v>6.82</v>
      </c>
      <c r="Q164" s="393">
        <v>7.38</v>
      </c>
      <c r="R164" s="393">
        <v>6.17</v>
      </c>
      <c r="S164" s="393">
        <v>4.25</v>
      </c>
      <c r="T164" s="393">
        <v>6.78</v>
      </c>
      <c r="U164" s="393">
        <v>7</v>
      </c>
    </row>
    <row r="165" spans="1:21">
      <c r="A165">
        <v>10</v>
      </c>
      <c r="B165" t="s">
        <v>402</v>
      </c>
      <c r="C165" t="s">
        <v>451</v>
      </c>
      <c r="D165" t="s">
        <v>454</v>
      </c>
      <c r="E165" t="s">
        <v>407</v>
      </c>
      <c r="F165">
        <v>0.8</v>
      </c>
      <c r="G165" s="393">
        <v>6.67</v>
      </c>
      <c r="H165" s="393">
        <v>8.1300000000000008</v>
      </c>
      <c r="I165" s="393">
        <v>7.73</v>
      </c>
      <c r="J165" s="393">
        <v>8.41</v>
      </c>
      <c r="K165" s="393">
        <v>8.36</v>
      </c>
      <c r="L165" s="393">
        <v>5.32</v>
      </c>
      <c r="M165" s="393">
        <v>5.71</v>
      </c>
      <c r="N165" s="393">
        <v>7.32</v>
      </c>
      <c r="O165" s="393">
        <v>4.42</v>
      </c>
      <c r="P165" s="393">
        <v>5.15</v>
      </c>
      <c r="Q165" s="393">
        <v>7.14</v>
      </c>
      <c r="R165" s="393">
        <v>7.6</v>
      </c>
      <c r="S165" s="393">
        <v>8.35</v>
      </c>
      <c r="T165" s="393">
        <v>7.9</v>
      </c>
      <c r="U165" s="393">
        <v>7.88</v>
      </c>
    </row>
    <row r="166" spans="1:21">
      <c r="A166">
        <v>11</v>
      </c>
      <c r="B166" t="s">
        <v>402</v>
      </c>
      <c r="C166" t="s">
        <v>451</v>
      </c>
      <c r="D166" t="s">
        <v>454</v>
      </c>
      <c r="E166" t="s">
        <v>407</v>
      </c>
      <c r="F166">
        <v>0.7</v>
      </c>
      <c r="G166" s="393">
        <v>6.13</v>
      </c>
      <c r="H166" s="393">
        <v>8.51</v>
      </c>
      <c r="I166" s="393">
        <v>8.5399999999999991</v>
      </c>
      <c r="J166" s="393">
        <v>8.19</v>
      </c>
      <c r="K166" s="393">
        <v>5.58</v>
      </c>
      <c r="L166" s="393">
        <v>6.59</v>
      </c>
      <c r="M166" s="393">
        <v>5.46</v>
      </c>
      <c r="N166" s="393">
        <v>4.87</v>
      </c>
      <c r="O166" s="393">
        <v>8.5399999999999991</v>
      </c>
      <c r="P166" s="393">
        <v>8.17</v>
      </c>
      <c r="Q166" s="393">
        <v>7.93</v>
      </c>
      <c r="R166" s="393">
        <v>6.17</v>
      </c>
      <c r="S166" s="393">
        <v>7.34</v>
      </c>
      <c r="T166" s="393">
        <v>5.46</v>
      </c>
      <c r="U166" s="393">
        <v>5.78</v>
      </c>
    </row>
    <row r="167" spans="1:21">
      <c r="A167">
        <v>12</v>
      </c>
      <c r="B167" t="s">
        <v>402</v>
      </c>
      <c r="C167" t="s">
        <v>451</v>
      </c>
      <c r="D167" t="s">
        <v>454</v>
      </c>
      <c r="E167" t="s">
        <v>407</v>
      </c>
      <c r="F167" s="406"/>
      <c r="G167" s="393">
        <v>7.9</v>
      </c>
      <c r="H167" s="393">
        <v>7.18</v>
      </c>
      <c r="I167" s="393">
        <v>7.4</v>
      </c>
      <c r="J167" s="393">
        <v>8.14</v>
      </c>
      <c r="K167" s="393">
        <v>8.32</v>
      </c>
      <c r="L167" s="393">
        <v>8.09</v>
      </c>
      <c r="M167" s="393">
        <v>8.2100000000000009</v>
      </c>
      <c r="N167" s="393">
        <v>8.6</v>
      </c>
      <c r="O167" s="393">
        <v>6.76</v>
      </c>
      <c r="P167" s="393">
        <v>3.97</v>
      </c>
      <c r="Q167" s="393">
        <v>5.84</v>
      </c>
      <c r="R167" s="393">
        <v>4.99</v>
      </c>
      <c r="S167" s="393">
        <v>6.99</v>
      </c>
      <c r="T167" s="393">
        <v>5.37</v>
      </c>
      <c r="U167" s="393">
        <v>7.75</v>
      </c>
    </row>
    <row r="168" spans="1:21">
      <c r="A168">
        <v>37</v>
      </c>
      <c r="B168" t="s">
        <v>402</v>
      </c>
      <c r="C168" t="s">
        <v>451</v>
      </c>
      <c r="D168" t="s">
        <v>454</v>
      </c>
      <c r="E168" t="s">
        <v>407</v>
      </c>
      <c r="F168">
        <v>1</v>
      </c>
      <c r="G168" s="393">
        <v>7.82</v>
      </c>
      <c r="H168" s="393">
        <v>8.49</v>
      </c>
      <c r="I168" s="393">
        <v>8.31</v>
      </c>
      <c r="J168" s="393">
        <v>6.6</v>
      </c>
      <c r="K168" s="393">
        <v>8.2100000000000009</v>
      </c>
      <c r="L168" s="393">
        <v>7.89</v>
      </c>
      <c r="M168" s="393">
        <v>5.83</v>
      </c>
      <c r="N168" s="393">
        <v>7.63</v>
      </c>
      <c r="O168" s="393">
        <v>8.58</v>
      </c>
      <c r="P168" s="393">
        <v>7.03</v>
      </c>
      <c r="Q168" s="393">
        <v>8.61</v>
      </c>
      <c r="R168" s="393">
        <v>6.2</v>
      </c>
      <c r="S168" s="393">
        <v>6.08</v>
      </c>
      <c r="T168" s="393">
        <v>5.0999999999999996</v>
      </c>
      <c r="U168" s="393">
        <v>7.53</v>
      </c>
    </row>
    <row r="169" spans="1:21">
      <c r="A169">
        <v>38</v>
      </c>
      <c r="B169" t="s">
        <v>402</v>
      </c>
      <c r="C169" t="s">
        <v>451</v>
      </c>
      <c r="D169" t="s">
        <v>454</v>
      </c>
      <c r="E169" t="s">
        <v>407</v>
      </c>
      <c r="F169">
        <v>0.8</v>
      </c>
      <c r="G169" s="393">
        <v>8.48</v>
      </c>
      <c r="H169" s="393">
        <v>7.12</v>
      </c>
      <c r="I169" s="393">
        <v>7.51</v>
      </c>
      <c r="J169" s="393">
        <v>6.83</v>
      </c>
      <c r="K169" s="393">
        <v>5.62</v>
      </c>
      <c r="L169" s="393">
        <v>4.21</v>
      </c>
      <c r="M169" s="393">
        <v>6.7</v>
      </c>
      <c r="N169" s="393">
        <v>5.79</v>
      </c>
      <c r="O169" s="393">
        <v>6.95</v>
      </c>
      <c r="P169" s="393">
        <v>5.87</v>
      </c>
      <c r="Q169" s="393">
        <v>6.37</v>
      </c>
      <c r="R169" s="393">
        <v>7.72</v>
      </c>
      <c r="S169" s="393">
        <v>6.24</v>
      </c>
      <c r="T169" s="393">
        <v>8.59</v>
      </c>
      <c r="U169" s="393">
        <v>8.11</v>
      </c>
    </row>
    <row r="170" spans="1:21">
      <c r="A170">
        <v>39</v>
      </c>
      <c r="B170" t="s">
        <v>402</v>
      </c>
      <c r="C170" t="s">
        <v>451</v>
      </c>
      <c r="D170" t="s">
        <v>454</v>
      </c>
      <c r="E170" t="s">
        <v>407</v>
      </c>
      <c r="F170">
        <v>0.7</v>
      </c>
      <c r="G170" s="393">
        <v>7.12</v>
      </c>
      <c r="H170" s="393">
        <v>7.87</v>
      </c>
      <c r="I170" s="393">
        <v>6.16</v>
      </c>
      <c r="J170" s="393">
        <v>4.21</v>
      </c>
      <c r="K170" s="393">
        <v>7.71</v>
      </c>
      <c r="L170" s="393">
        <v>7.02</v>
      </c>
      <c r="M170" s="393">
        <v>5.9</v>
      </c>
      <c r="N170" s="393">
        <v>6.82</v>
      </c>
      <c r="O170" s="393">
        <v>8.2200000000000006</v>
      </c>
      <c r="P170" s="393">
        <v>7.43</v>
      </c>
      <c r="Q170" s="393">
        <v>7.4</v>
      </c>
      <c r="R170" s="393">
        <v>7.17</v>
      </c>
      <c r="S170" s="393">
        <v>6.2</v>
      </c>
      <c r="T170" s="393">
        <v>5.36</v>
      </c>
      <c r="U170" s="393">
        <v>7.92</v>
      </c>
    </row>
    <row r="171" spans="1:21">
      <c r="A171">
        <v>40</v>
      </c>
      <c r="B171" t="s">
        <v>402</v>
      </c>
      <c r="C171" t="s">
        <v>451</v>
      </c>
      <c r="D171" t="s">
        <v>454</v>
      </c>
      <c r="E171" t="s">
        <v>407</v>
      </c>
      <c r="F171">
        <v>0.7</v>
      </c>
      <c r="G171" s="393">
        <v>7.58</v>
      </c>
      <c r="H171" s="393">
        <v>7.41</v>
      </c>
      <c r="I171" s="393">
        <v>7.61</v>
      </c>
      <c r="J171" s="393">
        <v>6.32</v>
      </c>
      <c r="K171" s="393">
        <v>7.48</v>
      </c>
      <c r="L171" s="393">
        <v>7.13</v>
      </c>
      <c r="M171" s="393">
        <v>7.91</v>
      </c>
      <c r="N171" s="393">
        <v>5.73</v>
      </c>
      <c r="O171" s="393">
        <v>6.53</v>
      </c>
      <c r="P171" s="393">
        <v>6.61</v>
      </c>
      <c r="Q171" s="393">
        <v>5.48</v>
      </c>
      <c r="R171" s="393">
        <v>6.72</v>
      </c>
      <c r="S171" s="393">
        <v>7.19</v>
      </c>
      <c r="T171" s="393">
        <v>8.4700000000000006</v>
      </c>
      <c r="U171" s="393">
        <v>7.88</v>
      </c>
    </row>
    <row r="172" spans="1:21">
      <c r="A172">
        <v>41</v>
      </c>
      <c r="B172" t="s">
        <v>402</v>
      </c>
      <c r="C172" t="s">
        <v>451</v>
      </c>
      <c r="D172" t="s">
        <v>454</v>
      </c>
      <c r="E172" t="s">
        <v>407</v>
      </c>
      <c r="F172">
        <v>0.7</v>
      </c>
      <c r="G172" s="393">
        <v>5.42</v>
      </c>
      <c r="H172" s="393">
        <v>6.69</v>
      </c>
      <c r="I172" s="393">
        <v>8.36</v>
      </c>
      <c r="J172" s="393">
        <v>4.8600000000000003</v>
      </c>
      <c r="K172" s="393">
        <v>8.2899999999999991</v>
      </c>
      <c r="L172" s="393">
        <v>8.26</v>
      </c>
      <c r="M172" s="393">
        <v>8.1999999999999993</v>
      </c>
      <c r="N172" s="393">
        <v>6.48</v>
      </c>
      <c r="O172" s="393">
        <v>7.36</v>
      </c>
      <c r="P172" s="393">
        <v>7.09</v>
      </c>
      <c r="Q172" s="393">
        <v>8.3800000000000008</v>
      </c>
      <c r="R172" s="393">
        <v>5.93</v>
      </c>
      <c r="S172" s="393">
        <v>8.14</v>
      </c>
      <c r="T172" s="393">
        <v>5.5</v>
      </c>
      <c r="U172" s="393">
        <v>6.56</v>
      </c>
    </row>
    <row r="173" spans="1:21">
      <c r="A173">
        <v>42</v>
      </c>
      <c r="B173" t="s">
        <v>402</v>
      </c>
      <c r="C173" t="s">
        <v>451</v>
      </c>
      <c r="D173" t="s">
        <v>454</v>
      </c>
      <c r="E173" t="s">
        <v>407</v>
      </c>
      <c r="F173">
        <v>0.7</v>
      </c>
      <c r="G173" s="393">
        <v>6.06</v>
      </c>
      <c r="H173" s="393">
        <v>7.27</v>
      </c>
      <c r="I173" s="393">
        <v>7.38</v>
      </c>
      <c r="J173" s="393">
        <v>7.19</v>
      </c>
      <c r="K173" s="393">
        <v>6.25</v>
      </c>
      <c r="L173" s="393">
        <v>6.9</v>
      </c>
      <c r="M173" s="393">
        <v>6.35</v>
      </c>
      <c r="N173" s="393">
        <v>6.48</v>
      </c>
      <c r="O173" s="393">
        <v>7.36</v>
      </c>
      <c r="P173" s="393">
        <v>7.09</v>
      </c>
      <c r="Q173" s="393">
        <v>8.3800000000000008</v>
      </c>
      <c r="R173" s="393">
        <v>5.93</v>
      </c>
      <c r="S173" s="393">
        <v>8.14</v>
      </c>
      <c r="T173" s="393">
        <v>5.5</v>
      </c>
      <c r="U173" s="393">
        <v>6.56</v>
      </c>
    </row>
    <row r="174" spans="1:21">
      <c r="A174">
        <v>43</v>
      </c>
      <c r="B174" t="s">
        <v>402</v>
      </c>
      <c r="C174" t="s">
        <v>451</v>
      </c>
      <c r="D174" t="s">
        <v>454</v>
      </c>
      <c r="E174" t="s">
        <v>406</v>
      </c>
      <c r="F174">
        <v>3.3</v>
      </c>
      <c r="G174" s="393">
        <v>9.1</v>
      </c>
      <c r="H174" s="393">
        <v>9.83</v>
      </c>
      <c r="I174" s="393">
        <v>12.3</v>
      </c>
      <c r="J174" s="393">
        <v>17.12</v>
      </c>
      <c r="K174" s="393">
        <v>11.67</v>
      </c>
      <c r="L174" s="393">
        <v>10.89</v>
      </c>
      <c r="M174" s="393">
        <v>10.43</v>
      </c>
      <c r="N174" s="393">
        <v>12.07</v>
      </c>
      <c r="O174" s="393">
        <v>8.84</v>
      </c>
      <c r="P174" s="393">
        <v>10.28</v>
      </c>
      <c r="Q174" s="393">
        <v>10.53</v>
      </c>
      <c r="R174" s="393">
        <v>15.01</v>
      </c>
      <c r="S174" s="393">
        <v>12.31</v>
      </c>
      <c r="T174" s="393">
        <v>11.81</v>
      </c>
      <c r="U174" s="393">
        <v>10.58</v>
      </c>
    </row>
    <row r="175" spans="1:21">
      <c r="A175">
        <v>44</v>
      </c>
      <c r="B175" t="s">
        <v>402</v>
      </c>
      <c r="C175" t="s">
        <v>451</v>
      </c>
      <c r="D175" t="s">
        <v>454</v>
      </c>
      <c r="E175" t="s">
        <v>406</v>
      </c>
      <c r="F175">
        <v>2.2000000000000002</v>
      </c>
      <c r="G175" s="393">
        <v>9.06</v>
      </c>
      <c r="H175" s="393">
        <v>11.2</v>
      </c>
      <c r="I175" s="393">
        <v>10.51</v>
      </c>
      <c r="J175" s="393">
        <v>9.98</v>
      </c>
      <c r="K175" s="393">
        <v>12.37</v>
      </c>
      <c r="L175" s="393">
        <v>10.54</v>
      </c>
      <c r="M175" s="393">
        <v>9.65</v>
      </c>
      <c r="N175" s="393">
        <v>10</v>
      </c>
      <c r="O175" s="393">
        <v>8.82</v>
      </c>
      <c r="P175" s="393">
        <v>10.9</v>
      </c>
      <c r="Q175" s="393">
        <v>10.73</v>
      </c>
      <c r="R175" s="393">
        <v>9</v>
      </c>
      <c r="S175" s="393">
        <v>9.08</v>
      </c>
      <c r="T175" s="393">
        <v>13.04</v>
      </c>
      <c r="U175" s="393">
        <v>12.46</v>
      </c>
    </row>
    <row r="176" spans="1:21">
      <c r="A176">
        <v>45</v>
      </c>
      <c r="B176" t="s">
        <v>402</v>
      </c>
      <c r="C176" t="s">
        <v>451</v>
      </c>
      <c r="D176" t="s">
        <v>454</v>
      </c>
      <c r="E176" t="s">
        <v>406</v>
      </c>
      <c r="F176">
        <v>3</v>
      </c>
      <c r="G176" s="393">
        <v>12.12</v>
      </c>
      <c r="H176" s="393">
        <v>12.15</v>
      </c>
      <c r="I176" s="393">
        <v>11.72</v>
      </c>
      <c r="J176" s="393">
        <v>10.11</v>
      </c>
      <c r="K176" s="393">
        <v>9.67</v>
      </c>
      <c r="L176" s="393">
        <v>9.65</v>
      </c>
      <c r="M176" s="393">
        <v>13.68</v>
      </c>
      <c r="N176" s="393">
        <v>14.93</v>
      </c>
      <c r="O176" s="393">
        <v>13.68</v>
      </c>
      <c r="P176" s="393">
        <v>11</v>
      </c>
      <c r="Q176" s="393">
        <v>15.59</v>
      </c>
      <c r="R176" s="393">
        <v>10.61</v>
      </c>
      <c r="S176" s="393">
        <v>11.14</v>
      </c>
      <c r="T176" s="393">
        <v>9.26</v>
      </c>
      <c r="U176" s="393">
        <v>13.19</v>
      </c>
    </row>
    <row r="177" spans="1:36">
      <c r="A177">
        <v>46</v>
      </c>
      <c r="B177" t="s">
        <v>402</v>
      </c>
      <c r="C177" t="s">
        <v>451</v>
      </c>
      <c r="D177" t="s">
        <v>454</v>
      </c>
      <c r="E177" t="s">
        <v>406</v>
      </c>
      <c r="F177">
        <v>2.6</v>
      </c>
      <c r="G177" s="393">
        <v>8.77</v>
      </c>
      <c r="H177" s="393">
        <v>13.71</v>
      </c>
      <c r="I177" s="393">
        <v>9.5399999999999991</v>
      </c>
      <c r="J177" s="393">
        <v>9.82</v>
      </c>
      <c r="K177" s="393">
        <v>14.5</v>
      </c>
      <c r="L177" s="393">
        <v>13.37</v>
      </c>
      <c r="M177" s="393">
        <v>9.8000000000000007</v>
      </c>
      <c r="N177" s="393">
        <v>9.82</v>
      </c>
      <c r="O177" s="393">
        <v>10.35</v>
      </c>
      <c r="P177" s="393">
        <v>10.91</v>
      </c>
      <c r="Q177" s="393">
        <v>9.65</v>
      </c>
      <c r="R177" s="393">
        <v>11.65</v>
      </c>
      <c r="S177" s="393">
        <v>8.9600000000000009</v>
      </c>
      <c r="T177" s="393">
        <v>10.8</v>
      </c>
      <c r="U177" s="393">
        <v>10.9</v>
      </c>
    </row>
    <row r="178" spans="1:36">
      <c r="A178">
        <v>47</v>
      </c>
      <c r="B178" t="s">
        <v>402</v>
      </c>
      <c r="C178" t="s">
        <v>451</v>
      </c>
      <c r="D178" t="s">
        <v>454</v>
      </c>
      <c r="E178" t="s">
        <v>406</v>
      </c>
      <c r="F178">
        <v>2.6</v>
      </c>
      <c r="G178" s="393">
        <v>13.87</v>
      </c>
      <c r="H178" s="393">
        <v>9.35</v>
      </c>
      <c r="I178" s="393">
        <v>11.42</v>
      </c>
      <c r="J178" s="393">
        <v>12.85</v>
      </c>
      <c r="K178" s="393">
        <v>10.42</v>
      </c>
      <c r="L178" s="393">
        <v>12.95</v>
      </c>
      <c r="M178" s="393">
        <v>13.85</v>
      </c>
      <c r="N178" s="393">
        <v>9.0399999999999991</v>
      </c>
      <c r="O178" s="393">
        <v>10.34</v>
      </c>
      <c r="P178" s="393">
        <v>12.94</v>
      </c>
      <c r="Q178" s="393">
        <v>9</v>
      </c>
      <c r="R178" s="393">
        <v>9.15</v>
      </c>
      <c r="S178" s="393">
        <v>10.84</v>
      </c>
      <c r="T178" s="393">
        <v>12.86</v>
      </c>
      <c r="U178" s="393">
        <v>12.11</v>
      </c>
    </row>
    <row r="179" spans="1:36">
      <c r="A179">
        <v>48</v>
      </c>
      <c r="B179" t="s">
        <v>402</v>
      </c>
      <c r="C179" t="s">
        <v>451</v>
      </c>
      <c r="D179" t="s">
        <v>454</v>
      </c>
      <c r="E179" t="s">
        <v>406</v>
      </c>
      <c r="F179">
        <v>2.8</v>
      </c>
      <c r="G179" s="393">
        <v>14.51</v>
      </c>
      <c r="H179" s="393">
        <v>8.83</v>
      </c>
      <c r="I179" s="393">
        <v>8.6999999999999993</v>
      </c>
      <c r="J179" s="393">
        <v>9.39</v>
      </c>
      <c r="K179" s="393">
        <v>9.98</v>
      </c>
      <c r="L179" s="393">
        <v>9.7100000000000009</v>
      </c>
      <c r="M179" s="393">
        <v>10.18</v>
      </c>
      <c r="N179" s="393">
        <v>16.05</v>
      </c>
      <c r="O179" s="393">
        <v>17.2</v>
      </c>
      <c r="P179" s="393">
        <v>10.31</v>
      </c>
      <c r="Q179" s="393">
        <v>9.9499999999999993</v>
      </c>
      <c r="R179" s="393">
        <v>9.57</v>
      </c>
      <c r="S179" s="393">
        <v>8.93</v>
      </c>
      <c r="T179" s="393">
        <v>11.96</v>
      </c>
      <c r="U179" s="393">
        <v>9.6</v>
      </c>
    </row>
    <row r="180" spans="1:36">
      <c r="A180" t="s">
        <v>403</v>
      </c>
      <c r="B180" t="s">
        <v>405</v>
      </c>
      <c r="C180" t="s">
        <v>451</v>
      </c>
      <c r="D180" t="s">
        <v>454</v>
      </c>
      <c r="E180" t="s">
        <v>403</v>
      </c>
      <c r="G180">
        <v>17.37</v>
      </c>
      <c r="H180">
        <v>12.1</v>
      </c>
      <c r="I180">
        <v>4.4800000000000004</v>
      </c>
      <c r="J180">
        <v>3.85</v>
      </c>
      <c r="K180">
        <v>6.46</v>
      </c>
      <c r="L180">
        <v>3.82</v>
      </c>
      <c r="M180">
        <v>10.47</v>
      </c>
      <c r="N180">
        <v>14.41</v>
      </c>
      <c r="O180">
        <v>9.36</v>
      </c>
      <c r="P180">
        <v>6.64</v>
      </c>
      <c r="Q180">
        <v>5.54</v>
      </c>
      <c r="R180">
        <v>10.44</v>
      </c>
      <c r="S180">
        <v>9</v>
      </c>
      <c r="T180">
        <v>9.75</v>
      </c>
      <c r="U180">
        <v>4.2300000000000004</v>
      </c>
      <c r="V180">
        <v>3.4</v>
      </c>
      <c r="W180">
        <v>5.3</v>
      </c>
      <c r="X180">
        <v>10.91</v>
      </c>
      <c r="Y180">
        <v>4.6900000000000004</v>
      </c>
      <c r="Z180">
        <v>3.94</v>
      </c>
      <c r="AA180">
        <v>3.2</v>
      </c>
      <c r="AB180" t="s">
        <v>404</v>
      </c>
      <c r="AC180">
        <v>6.66</v>
      </c>
      <c r="AD180">
        <v>6.32</v>
      </c>
      <c r="AE180">
        <v>6.22</v>
      </c>
      <c r="AF180">
        <v>3.73</v>
      </c>
      <c r="AG180">
        <v>4.5199999999999996</v>
      </c>
    </row>
    <row r="181" spans="1:36">
      <c r="A181">
        <v>13</v>
      </c>
      <c r="B181" t="s">
        <v>405</v>
      </c>
      <c r="C181" t="s">
        <v>451</v>
      </c>
      <c r="D181" t="s">
        <v>455</v>
      </c>
      <c r="E181" t="s">
        <v>407</v>
      </c>
      <c r="F181">
        <v>0.5</v>
      </c>
      <c r="G181" s="393">
        <v>4.01</v>
      </c>
      <c r="H181" s="393">
        <v>3.69</v>
      </c>
      <c r="I181" s="393">
        <v>6.26</v>
      </c>
      <c r="J181" s="393">
        <v>5.13</v>
      </c>
      <c r="K181" s="393">
        <v>6.37</v>
      </c>
      <c r="L181" s="393">
        <v>5.27</v>
      </c>
      <c r="M181" s="393">
        <v>3.44</v>
      </c>
      <c r="N181" s="393">
        <v>4.72</v>
      </c>
      <c r="O181" s="393">
        <v>6.79</v>
      </c>
      <c r="P181" s="393">
        <v>6.31</v>
      </c>
      <c r="Q181" s="393">
        <v>4.5599999999999996</v>
      </c>
      <c r="R181" s="393">
        <v>5.42</v>
      </c>
      <c r="S181" s="393">
        <v>5.3</v>
      </c>
      <c r="T181" s="393">
        <v>5.43</v>
      </c>
      <c r="U181" s="393">
        <v>4.34</v>
      </c>
    </row>
    <row r="182" spans="1:36">
      <c r="A182">
        <v>14</v>
      </c>
      <c r="B182" t="s">
        <v>405</v>
      </c>
      <c r="C182" t="s">
        <v>451</v>
      </c>
      <c r="D182" t="s">
        <v>455</v>
      </c>
      <c r="E182" t="s">
        <v>407</v>
      </c>
      <c r="F182">
        <v>0.4</v>
      </c>
      <c r="G182" s="393">
        <v>5.32</v>
      </c>
      <c r="H182" s="393">
        <v>6.41</v>
      </c>
      <c r="I182" s="393">
        <v>5.74</v>
      </c>
      <c r="J182" s="393">
        <v>6.45</v>
      </c>
      <c r="K182" s="393">
        <v>5.48</v>
      </c>
      <c r="L182" s="393">
        <v>5.72</v>
      </c>
      <c r="M182" s="393">
        <v>5.19</v>
      </c>
      <c r="N182" s="393">
        <v>5.36</v>
      </c>
      <c r="O182" s="393">
        <v>5.31</v>
      </c>
      <c r="P182" s="393">
        <v>4.3899999999999997</v>
      </c>
      <c r="Q182" s="393">
        <v>4.9000000000000004</v>
      </c>
      <c r="R182" s="393">
        <v>3.71</v>
      </c>
      <c r="S182" s="393">
        <v>6.35</v>
      </c>
      <c r="T182" s="393">
        <v>4.21</v>
      </c>
      <c r="U182" s="393">
        <v>5.27</v>
      </c>
    </row>
    <row r="183" spans="1:36" s="408" customFormat="1">
      <c r="A183">
        <v>15</v>
      </c>
      <c r="B183" t="s">
        <v>405</v>
      </c>
      <c r="C183" t="s">
        <v>451</v>
      </c>
      <c r="D183" t="s">
        <v>455</v>
      </c>
      <c r="E183" t="s">
        <v>407</v>
      </c>
      <c r="F183">
        <v>0.4</v>
      </c>
      <c r="G183" s="393">
        <v>6.47</v>
      </c>
      <c r="H183" s="393">
        <v>5.42</v>
      </c>
      <c r="I183" s="393">
        <v>7.04</v>
      </c>
      <c r="J183" s="393">
        <v>5.57</v>
      </c>
      <c r="K183" s="393">
        <v>6.38</v>
      </c>
      <c r="L183" s="393">
        <v>6.52</v>
      </c>
      <c r="M183" s="393">
        <v>5.13</v>
      </c>
      <c r="N183" s="393">
        <v>5.12</v>
      </c>
      <c r="O183" s="393">
        <v>5.5</v>
      </c>
      <c r="P183" s="393">
        <v>5.14</v>
      </c>
      <c r="Q183" s="393">
        <v>5.13</v>
      </c>
      <c r="R183" s="393">
        <v>4.72</v>
      </c>
      <c r="S183" s="393">
        <v>6.7</v>
      </c>
      <c r="T183" s="393">
        <v>5.54</v>
      </c>
      <c r="U183" s="393">
        <v>6.75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s="408" customFormat="1">
      <c r="A184">
        <v>16</v>
      </c>
      <c r="B184" t="s">
        <v>405</v>
      </c>
      <c r="C184" t="s">
        <v>451</v>
      </c>
      <c r="D184" t="s">
        <v>455</v>
      </c>
      <c r="E184" t="s">
        <v>407</v>
      </c>
      <c r="F184">
        <v>0.4</v>
      </c>
      <c r="G184" s="393">
        <v>5.66</v>
      </c>
      <c r="H184" s="393">
        <v>4.8899999999999997</v>
      </c>
      <c r="I184" s="393">
        <v>6.85</v>
      </c>
      <c r="J184" s="393">
        <v>4.9800000000000004</v>
      </c>
      <c r="K184" s="393">
        <v>5.53</v>
      </c>
      <c r="L184" s="393">
        <v>5.67</v>
      </c>
      <c r="M184" s="393">
        <v>5.21</v>
      </c>
      <c r="N184" s="393">
        <v>4.04</v>
      </c>
      <c r="O184" s="393">
        <v>4.55</v>
      </c>
      <c r="P184" s="393">
        <v>6.88</v>
      </c>
      <c r="Q184" s="393">
        <v>6.58</v>
      </c>
      <c r="R184" s="393">
        <v>5.37</v>
      </c>
      <c r="S184" s="393">
        <v>7</v>
      </c>
      <c r="T184" s="393">
        <v>4.8</v>
      </c>
      <c r="U184" s="393">
        <v>4.2300000000000004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s="408" customFormat="1">
      <c r="A185">
        <v>17</v>
      </c>
      <c r="B185" t="s">
        <v>405</v>
      </c>
      <c r="C185" t="s">
        <v>451</v>
      </c>
      <c r="D185" t="s">
        <v>455</v>
      </c>
      <c r="E185" t="s">
        <v>407</v>
      </c>
      <c r="F185">
        <v>0.4</v>
      </c>
      <c r="G185" s="393">
        <v>4.3</v>
      </c>
      <c r="H185" s="393">
        <v>6.8</v>
      </c>
      <c r="I185" s="393">
        <v>5.23</v>
      </c>
      <c r="J185" s="393">
        <v>5.75</v>
      </c>
      <c r="K185" s="393">
        <v>4.5</v>
      </c>
      <c r="L185" s="393">
        <v>4.09</v>
      </c>
      <c r="M185" s="393">
        <v>5.08</v>
      </c>
      <c r="N185" s="393">
        <v>5.2</v>
      </c>
      <c r="O185" s="393">
        <v>4.42</v>
      </c>
      <c r="P185" s="393">
        <v>5.82</v>
      </c>
      <c r="Q185" s="393">
        <v>6.06</v>
      </c>
      <c r="R185" s="393">
        <v>5.76</v>
      </c>
      <c r="S185" s="393">
        <v>6.34</v>
      </c>
      <c r="T185" s="393">
        <v>4.3499999999999996</v>
      </c>
      <c r="U185" s="393">
        <v>5.01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s="408" customFormat="1">
      <c r="A186">
        <v>18</v>
      </c>
      <c r="B186" t="s">
        <v>405</v>
      </c>
      <c r="C186" t="s">
        <v>451</v>
      </c>
      <c r="D186" t="s">
        <v>455</v>
      </c>
      <c r="E186" t="s">
        <v>407</v>
      </c>
      <c r="F186">
        <v>0.4</v>
      </c>
      <c r="G186" s="393">
        <v>5.42</v>
      </c>
      <c r="H186" s="393">
        <v>4.08</v>
      </c>
      <c r="I186" s="393">
        <v>4.26</v>
      </c>
      <c r="J186" s="393">
        <v>5.99</v>
      </c>
      <c r="K186" s="393">
        <v>5.19</v>
      </c>
      <c r="L186" s="393">
        <v>6.95</v>
      </c>
      <c r="M186" s="393">
        <v>5.28</v>
      </c>
      <c r="N186" s="393">
        <v>6.95</v>
      </c>
      <c r="O186" s="393">
        <v>6.31</v>
      </c>
      <c r="P186" s="393">
        <v>5.0599999999999996</v>
      </c>
      <c r="Q186" s="393">
        <v>6.06</v>
      </c>
      <c r="R186" s="393">
        <v>4.3099999999999996</v>
      </c>
      <c r="S186" s="393">
        <v>5.0999999999999996</v>
      </c>
      <c r="T186" s="393">
        <v>6.37</v>
      </c>
      <c r="U186" s="393">
        <v>6.17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s="408" customFormat="1">
      <c r="A187">
        <v>19</v>
      </c>
      <c r="B187" t="s">
        <v>405</v>
      </c>
      <c r="C187" t="s">
        <v>451</v>
      </c>
      <c r="D187" t="s">
        <v>455</v>
      </c>
      <c r="E187" t="s">
        <v>406</v>
      </c>
      <c r="F187">
        <v>2.7</v>
      </c>
      <c r="G187" s="393">
        <v>17</v>
      </c>
      <c r="H187" s="393">
        <v>15.79</v>
      </c>
      <c r="I187" s="393">
        <v>11.55</v>
      </c>
      <c r="J187" s="393">
        <v>11.52</v>
      </c>
      <c r="K187" s="393">
        <v>10.54</v>
      </c>
      <c r="L187" s="393">
        <v>9.23</v>
      </c>
      <c r="M187" s="393">
        <v>9.61</v>
      </c>
      <c r="N187" s="393">
        <v>9.3800000000000008</v>
      </c>
      <c r="O187" s="393">
        <v>8.64</v>
      </c>
      <c r="P187" s="393">
        <v>10.130000000000001</v>
      </c>
      <c r="Q187" s="393">
        <v>7.75</v>
      </c>
      <c r="R187" s="393">
        <v>9.2200000000000006</v>
      </c>
      <c r="S187" s="393">
        <v>7.47</v>
      </c>
      <c r="T187" s="393">
        <v>7.75</v>
      </c>
      <c r="U187" s="393">
        <v>10.96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s="408" customFormat="1">
      <c r="A188">
        <v>20</v>
      </c>
      <c r="B188" t="s">
        <v>405</v>
      </c>
      <c r="C188" t="s">
        <v>451</v>
      </c>
      <c r="D188" t="s">
        <v>455</v>
      </c>
      <c r="E188" t="s">
        <v>406</v>
      </c>
      <c r="F188">
        <v>3.6</v>
      </c>
      <c r="G188" s="393">
        <v>13.45</v>
      </c>
      <c r="H188" s="393">
        <v>12.05</v>
      </c>
      <c r="I188" s="393">
        <v>9.06</v>
      </c>
      <c r="J188" s="393">
        <v>10.01</v>
      </c>
      <c r="K188" s="393">
        <v>8.2899999999999991</v>
      </c>
      <c r="L188" s="393">
        <v>9.91</v>
      </c>
      <c r="M188" s="393">
        <v>10.119999999999999</v>
      </c>
      <c r="N188" s="393">
        <v>9.1300000000000008</v>
      </c>
      <c r="O188" s="393">
        <v>11.34</v>
      </c>
      <c r="P188" s="393">
        <v>16.7</v>
      </c>
      <c r="Q188" s="393">
        <v>19.04</v>
      </c>
      <c r="R188" s="393">
        <v>10.59</v>
      </c>
      <c r="S188" s="393">
        <v>13.46</v>
      </c>
      <c r="T188" s="393">
        <v>11.89</v>
      </c>
      <c r="U188" s="393">
        <v>9.5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s="408" customFormat="1">
      <c r="A189">
        <v>21</v>
      </c>
      <c r="B189" t="s">
        <v>405</v>
      </c>
      <c r="C189" t="s">
        <v>451</v>
      </c>
      <c r="D189" t="s">
        <v>455</v>
      </c>
      <c r="E189" t="s">
        <v>406</v>
      </c>
      <c r="F189">
        <v>4.4000000000000004</v>
      </c>
      <c r="G189" s="393">
        <v>9.24</v>
      </c>
      <c r="H189" s="393">
        <v>8.75</v>
      </c>
      <c r="I189" s="393">
        <v>7.88</v>
      </c>
      <c r="J189" s="393">
        <v>15.09</v>
      </c>
      <c r="K189" s="393">
        <v>10.63</v>
      </c>
      <c r="L189" s="393">
        <v>13.92</v>
      </c>
      <c r="M189" s="393">
        <v>12.59</v>
      </c>
      <c r="N189" s="393">
        <v>9.5399999999999991</v>
      </c>
      <c r="O189" s="393">
        <v>9.19</v>
      </c>
      <c r="P189" s="393">
        <v>18.7</v>
      </c>
      <c r="Q189" s="393">
        <v>11.56</v>
      </c>
      <c r="R189" s="393">
        <v>16.559999999999999</v>
      </c>
      <c r="S189" s="393">
        <v>12.16</v>
      </c>
      <c r="T189" s="393">
        <v>15.75</v>
      </c>
      <c r="U189" s="393">
        <v>16.04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s="408" customFormat="1">
      <c r="A190">
        <v>22</v>
      </c>
      <c r="B190" t="s">
        <v>405</v>
      </c>
      <c r="C190" t="s">
        <v>451</v>
      </c>
      <c r="D190" t="s">
        <v>455</v>
      </c>
      <c r="E190" t="s">
        <v>406</v>
      </c>
      <c r="F190">
        <v>3.2</v>
      </c>
      <c r="G190" s="393">
        <v>9.7100000000000009</v>
      </c>
      <c r="H190" s="393">
        <v>10.16</v>
      </c>
      <c r="I190" s="393">
        <v>16.59</v>
      </c>
      <c r="J190" s="393">
        <v>16.04</v>
      </c>
      <c r="K190" s="393">
        <v>9.41</v>
      </c>
      <c r="L190" s="393">
        <v>8.4</v>
      </c>
      <c r="M190" s="393">
        <v>10.59</v>
      </c>
      <c r="N190" s="393">
        <v>8.7799999999999994</v>
      </c>
      <c r="O190" s="393">
        <v>7.45</v>
      </c>
      <c r="P190" s="393">
        <v>12.29</v>
      </c>
      <c r="Q190" s="393">
        <v>14.76</v>
      </c>
      <c r="R190" s="393">
        <v>11.45</v>
      </c>
      <c r="S190" s="393">
        <v>11.51</v>
      </c>
      <c r="T190" s="393">
        <v>10.1</v>
      </c>
      <c r="U190" s="393">
        <v>8.86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s="408" customFormat="1">
      <c r="A191">
        <v>23</v>
      </c>
      <c r="B191" t="s">
        <v>405</v>
      </c>
      <c r="C191" t="s">
        <v>451</v>
      </c>
      <c r="D191" t="s">
        <v>455</v>
      </c>
      <c r="E191" t="s">
        <v>406</v>
      </c>
      <c r="F191">
        <v>3.4</v>
      </c>
      <c r="G191" s="393">
        <v>7.31</v>
      </c>
      <c r="H191" s="393">
        <v>7.68</v>
      </c>
      <c r="I191" s="393">
        <v>11.32</v>
      </c>
      <c r="J191" s="393">
        <v>13.07</v>
      </c>
      <c r="K191" s="393">
        <v>11.91</v>
      </c>
      <c r="L191" s="393">
        <v>8.76</v>
      </c>
      <c r="M191" s="393">
        <v>7.48</v>
      </c>
      <c r="N191" s="393">
        <v>7.68</v>
      </c>
      <c r="O191" s="393">
        <v>12.07</v>
      </c>
      <c r="P191" s="393">
        <v>8.83</v>
      </c>
      <c r="Q191" s="393">
        <v>9.31</v>
      </c>
      <c r="R191" s="393">
        <v>12.53</v>
      </c>
      <c r="S191" s="393">
        <v>14.02</v>
      </c>
      <c r="T191" s="393">
        <v>11.44</v>
      </c>
      <c r="U191" s="393">
        <v>13.26</v>
      </c>
      <c r="V191" s="393">
        <v>8.0299999999999994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s="408" customFormat="1">
      <c r="A192">
        <v>24</v>
      </c>
      <c r="B192" t="s">
        <v>405</v>
      </c>
      <c r="C192" t="s">
        <v>451</v>
      </c>
      <c r="D192" t="s">
        <v>455</v>
      </c>
      <c r="E192" t="s">
        <v>406</v>
      </c>
      <c r="F192">
        <v>3.3</v>
      </c>
      <c r="G192" s="393">
        <v>10.51</v>
      </c>
      <c r="H192" s="393">
        <v>8.5500000000000007</v>
      </c>
      <c r="I192" s="393">
        <v>8.94</v>
      </c>
      <c r="J192" s="393">
        <v>8.5299999999999994</v>
      </c>
      <c r="K192" s="393">
        <v>17.93</v>
      </c>
      <c r="L192" s="393">
        <v>10.49</v>
      </c>
      <c r="M192" s="393">
        <v>7.26</v>
      </c>
      <c r="N192" s="393">
        <v>11.36</v>
      </c>
      <c r="O192" s="393">
        <v>8.16</v>
      </c>
      <c r="P192" s="393">
        <v>12.51</v>
      </c>
      <c r="Q192" s="393">
        <v>9.07</v>
      </c>
      <c r="R192" s="393">
        <v>8.74</v>
      </c>
      <c r="S192" s="393">
        <v>9.83</v>
      </c>
      <c r="T192" s="393">
        <v>12.04</v>
      </c>
      <c r="U192" s="393">
        <v>12.11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s="408" customFormat="1">
      <c r="A193">
        <v>25</v>
      </c>
      <c r="B193" t="s">
        <v>405</v>
      </c>
      <c r="C193" t="s">
        <v>451</v>
      </c>
      <c r="D193" t="s">
        <v>455</v>
      </c>
      <c r="E193" t="s">
        <v>407</v>
      </c>
      <c r="F193">
        <v>0.4</v>
      </c>
      <c r="G193" s="393">
        <v>6.37</v>
      </c>
      <c r="H193" s="393">
        <v>5.47</v>
      </c>
      <c r="I193" s="393">
        <v>7.14</v>
      </c>
      <c r="J193" s="393">
        <v>6.04</v>
      </c>
      <c r="K193" s="393">
        <v>4.54</v>
      </c>
      <c r="L193" s="393">
        <v>4.2</v>
      </c>
      <c r="M193" s="393">
        <v>5.13</v>
      </c>
      <c r="N193" s="393">
        <v>5.44</v>
      </c>
      <c r="O193" s="393">
        <v>4.8499999999999996</v>
      </c>
      <c r="P193" s="393">
        <v>4.49</v>
      </c>
      <c r="Q193" s="393">
        <v>4.1900000000000004</v>
      </c>
      <c r="R193" s="393">
        <v>4.6399999999999997</v>
      </c>
      <c r="S193" s="393">
        <v>6.88</v>
      </c>
      <c r="T193" s="393">
        <v>6.03</v>
      </c>
      <c r="U193" s="393">
        <v>5.68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s="408" customFormat="1">
      <c r="A194">
        <v>26</v>
      </c>
      <c r="B194" t="s">
        <v>405</v>
      </c>
      <c r="C194" t="s">
        <v>451</v>
      </c>
      <c r="D194" t="s">
        <v>455</v>
      </c>
      <c r="E194" t="s">
        <v>407</v>
      </c>
      <c r="F194">
        <v>0.4</v>
      </c>
      <c r="G194" s="393">
        <v>5.96</v>
      </c>
      <c r="H194" s="393">
        <v>5.0599999999999996</v>
      </c>
      <c r="I194" s="393">
        <v>5.86</v>
      </c>
      <c r="J194" s="393">
        <v>7.13</v>
      </c>
      <c r="K194" s="393">
        <v>6.57</v>
      </c>
      <c r="L194" s="393">
        <v>5.9</v>
      </c>
      <c r="M194" s="393">
        <v>5.34</v>
      </c>
      <c r="N194" s="393">
        <v>4.87</v>
      </c>
      <c r="O194" s="393">
        <v>6.24</v>
      </c>
      <c r="P194" s="393">
        <v>4.9000000000000004</v>
      </c>
      <c r="Q194" s="393">
        <v>6.24</v>
      </c>
      <c r="R194" s="393">
        <v>5.1100000000000003</v>
      </c>
      <c r="S194" s="393">
        <v>5.36</v>
      </c>
      <c r="T194" s="393">
        <v>4.7</v>
      </c>
      <c r="U194" s="393">
        <v>5.73</v>
      </c>
      <c r="V194" s="393">
        <v>5.4</v>
      </c>
      <c r="W194" s="393">
        <v>6.35</v>
      </c>
      <c r="X194" s="393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s="408" customFormat="1">
      <c r="A195">
        <v>27</v>
      </c>
      <c r="B195" t="s">
        <v>405</v>
      </c>
      <c r="C195" t="s">
        <v>451</v>
      </c>
      <c r="D195" t="s">
        <v>455</v>
      </c>
      <c r="E195" t="s">
        <v>407</v>
      </c>
      <c r="F195">
        <v>0.4</v>
      </c>
      <c r="G195" s="393">
        <v>6.21</v>
      </c>
      <c r="H195" s="393">
        <v>5.4</v>
      </c>
      <c r="I195" s="393">
        <v>5.38</v>
      </c>
      <c r="J195" s="393">
        <v>5.23</v>
      </c>
      <c r="K195" s="393">
        <v>4.92</v>
      </c>
      <c r="L195" s="393">
        <v>5.43</v>
      </c>
      <c r="M195" s="393">
        <v>5.54</v>
      </c>
      <c r="N195" s="393">
        <v>5.4</v>
      </c>
      <c r="O195" s="393">
        <v>6.63</v>
      </c>
      <c r="P195" s="393">
        <v>6.34</v>
      </c>
      <c r="Q195" s="393">
        <v>5.83</v>
      </c>
      <c r="R195" s="393">
        <v>5.57</v>
      </c>
      <c r="S195" s="393">
        <v>4.2699999999999996</v>
      </c>
      <c r="T195" s="393">
        <v>4.3</v>
      </c>
      <c r="U195" s="393">
        <v>5.48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s="408" customFormat="1">
      <c r="A196">
        <v>28</v>
      </c>
      <c r="B196" t="s">
        <v>405</v>
      </c>
      <c r="C196" t="s">
        <v>451</v>
      </c>
      <c r="D196" t="s">
        <v>455</v>
      </c>
      <c r="E196" t="s">
        <v>407</v>
      </c>
      <c r="F196">
        <v>0.6</v>
      </c>
      <c r="G196" s="393">
        <v>6.26</v>
      </c>
      <c r="H196" s="393">
        <v>6.34</v>
      </c>
      <c r="I196" s="393">
        <v>6.3</v>
      </c>
      <c r="J196" s="393">
        <v>6.92</v>
      </c>
      <c r="K196" s="393">
        <v>6.57</v>
      </c>
      <c r="L196" s="393">
        <v>6.86</v>
      </c>
      <c r="M196" s="393">
        <v>5.7</v>
      </c>
      <c r="N196" s="393">
        <v>5.57</v>
      </c>
      <c r="O196" s="393">
        <v>5.74</v>
      </c>
      <c r="P196" s="393">
        <v>6.33</v>
      </c>
      <c r="Q196" s="393">
        <v>6.06</v>
      </c>
      <c r="R196" s="393">
        <v>7.04</v>
      </c>
      <c r="S196" s="393">
        <v>5.73</v>
      </c>
      <c r="T196" s="393">
        <v>5.98</v>
      </c>
      <c r="U196" s="393">
        <v>6.45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 s="152"/>
      <c r="AI196"/>
      <c r="AJ196"/>
    </row>
    <row r="197" spans="1:36" s="408" customFormat="1">
      <c r="A197">
        <v>29</v>
      </c>
      <c r="B197" t="s">
        <v>405</v>
      </c>
      <c r="C197" t="s">
        <v>451</v>
      </c>
      <c r="D197" t="s">
        <v>455</v>
      </c>
      <c r="E197" t="s">
        <v>407</v>
      </c>
      <c r="F197">
        <v>0.5</v>
      </c>
      <c r="G197" s="393">
        <v>6.58</v>
      </c>
      <c r="H197" s="393">
        <v>6.11</v>
      </c>
      <c r="I197" s="393">
        <v>5.95</v>
      </c>
      <c r="J197" s="393">
        <v>5.38</v>
      </c>
      <c r="K197" s="393">
        <v>7.12</v>
      </c>
      <c r="L197" s="393">
        <v>5.3</v>
      </c>
      <c r="M197" s="393">
        <v>6.71</v>
      </c>
      <c r="N197" s="393">
        <v>5.6</v>
      </c>
      <c r="O197" s="393">
        <v>5.2</v>
      </c>
      <c r="P197" s="393">
        <v>6.57</v>
      </c>
      <c r="Q197" s="393">
        <v>4.91</v>
      </c>
      <c r="R197" s="393">
        <v>4.74</v>
      </c>
      <c r="S197" s="393">
        <v>5.93</v>
      </c>
      <c r="T197" s="393">
        <v>5.23</v>
      </c>
      <c r="U197" s="393">
        <v>5.33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s="408" customFormat="1">
      <c r="A198">
        <v>30</v>
      </c>
      <c r="B198" t="s">
        <v>405</v>
      </c>
      <c r="C198" t="s">
        <v>451</v>
      </c>
      <c r="D198" t="s">
        <v>455</v>
      </c>
      <c r="E198" t="s">
        <v>407</v>
      </c>
      <c r="F198">
        <v>0.7</v>
      </c>
      <c r="G198">
        <v>7.03</v>
      </c>
      <c r="H198" s="393">
        <v>5.26</v>
      </c>
      <c r="I198" s="393">
        <v>6.02</v>
      </c>
      <c r="J198" s="393">
        <v>6.14</v>
      </c>
      <c r="K198" s="393">
        <v>6.3</v>
      </c>
      <c r="L198" s="393">
        <v>6.97</v>
      </c>
      <c r="M198" s="393">
        <v>5.78</v>
      </c>
      <c r="N198" s="393">
        <v>6.55</v>
      </c>
      <c r="O198" s="393">
        <v>5.21</v>
      </c>
      <c r="P198" s="393">
        <v>6.39</v>
      </c>
      <c r="Q198" s="393">
        <v>6.67</v>
      </c>
      <c r="R198" s="393">
        <v>6.72</v>
      </c>
      <c r="S198" s="393">
        <v>5.82</v>
      </c>
      <c r="T198" s="393">
        <v>5.62</v>
      </c>
      <c r="U198" s="393">
        <v>6.89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 s="152"/>
      <c r="AJ198"/>
    </row>
    <row r="199" spans="1:36" s="408" customFormat="1">
      <c r="A199">
        <v>31</v>
      </c>
      <c r="B199" t="s">
        <v>405</v>
      </c>
      <c r="C199" t="s">
        <v>451</v>
      </c>
      <c r="D199" t="s">
        <v>455</v>
      </c>
      <c r="E199" t="s">
        <v>406</v>
      </c>
      <c r="F199">
        <v>3.7</v>
      </c>
      <c r="G199" s="393">
        <v>14.26</v>
      </c>
      <c r="H199" s="393">
        <v>13.18</v>
      </c>
      <c r="I199" s="393">
        <v>15.07</v>
      </c>
      <c r="J199" s="393">
        <v>12.68</v>
      </c>
      <c r="K199" s="393">
        <v>9.5</v>
      </c>
      <c r="L199" s="393">
        <v>9.08</v>
      </c>
      <c r="M199" s="393">
        <v>10.8</v>
      </c>
      <c r="N199" s="393">
        <v>7.35</v>
      </c>
      <c r="O199" s="393">
        <v>11.54</v>
      </c>
      <c r="P199" s="393">
        <v>10.199999999999999</v>
      </c>
      <c r="Q199" s="393">
        <v>8.65</v>
      </c>
      <c r="R199" s="393">
        <v>11.27</v>
      </c>
      <c r="S199" s="393">
        <v>16.059999999999999</v>
      </c>
      <c r="T199" s="393">
        <v>14.96</v>
      </c>
      <c r="U199" s="393">
        <v>10.79</v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s="408" customFormat="1">
      <c r="A200">
        <v>32</v>
      </c>
      <c r="B200" t="s">
        <v>405</v>
      </c>
      <c r="C200" t="s">
        <v>451</v>
      </c>
      <c r="D200" t="s">
        <v>455</v>
      </c>
      <c r="E200" t="s">
        <v>406</v>
      </c>
      <c r="F200">
        <v>2.7</v>
      </c>
      <c r="G200" s="393">
        <v>8.58</v>
      </c>
      <c r="H200" s="393">
        <v>9.5399999999999991</v>
      </c>
      <c r="I200" s="393">
        <v>14</v>
      </c>
      <c r="J200" s="393">
        <v>9.3699999999999992</v>
      </c>
      <c r="K200" s="393">
        <v>7.49</v>
      </c>
      <c r="L200" s="393">
        <v>8.5</v>
      </c>
      <c r="M200" s="393">
        <v>10.1</v>
      </c>
      <c r="N200" s="393">
        <v>7.49</v>
      </c>
      <c r="O200" s="393">
        <v>16.690000000000001</v>
      </c>
      <c r="P200" s="393">
        <v>7.27</v>
      </c>
      <c r="Q200" s="393">
        <v>12.7</v>
      </c>
      <c r="R200" s="393">
        <v>7.54</v>
      </c>
      <c r="S200" s="393">
        <v>9.68</v>
      </c>
      <c r="T200" s="393">
        <v>15.98</v>
      </c>
      <c r="U200" s="393">
        <v>10.28</v>
      </c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s="408" customFormat="1">
      <c r="A201">
        <v>33</v>
      </c>
      <c r="B201" t="s">
        <v>405</v>
      </c>
      <c r="C201" t="s">
        <v>451</v>
      </c>
      <c r="D201" t="s">
        <v>455</v>
      </c>
      <c r="E201" t="s">
        <v>406</v>
      </c>
      <c r="F201">
        <v>3</v>
      </c>
      <c r="G201" s="393">
        <v>10.14</v>
      </c>
      <c r="H201" s="393">
        <v>9.77</v>
      </c>
      <c r="I201" s="393">
        <v>11.32</v>
      </c>
      <c r="J201" s="393">
        <v>10.69</v>
      </c>
      <c r="K201" s="393">
        <v>8.99</v>
      </c>
      <c r="L201" s="393">
        <v>18.62</v>
      </c>
      <c r="M201" s="393">
        <v>7.39</v>
      </c>
      <c r="N201" s="393">
        <v>13.92</v>
      </c>
      <c r="O201" s="393">
        <v>11.53</v>
      </c>
      <c r="P201" s="393">
        <v>11.27</v>
      </c>
      <c r="Q201" s="393">
        <v>9.9</v>
      </c>
      <c r="R201" s="393">
        <v>7.96</v>
      </c>
      <c r="S201" s="393">
        <v>9.07</v>
      </c>
      <c r="T201" s="393">
        <v>8.81</v>
      </c>
      <c r="U201" s="393">
        <v>9.8000000000000007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s="408" customFormat="1">
      <c r="A202">
        <v>34</v>
      </c>
      <c r="B202" t="s">
        <v>405</v>
      </c>
      <c r="C202" t="s">
        <v>451</v>
      </c>
      <c r="D202" t="s">
        <v>455</v>
      </c>
      <c r="E202" t="s">
        <v>406</v>
      </c>
      <c r="F202">
        <v>3.9</v>
      </c>
      <c r="G202" s="393">
        <v>7.84</v>
      </c>
      <c r="H202" s="393">
        <v>7.44</v>
      </c>
      <c r="I202" s="393">
        <v>18.14</v>
      </c>
      <c r="J202" s="393">
        <v>15.06</v>
      </c>
      <c r="K202" s="393">
        <v>11.99</v>
      </c>
      <c r="L202" s="393">
        <v>11.62</v>
      </c>
      <c r="M202" s="393">
        <v>16.66</v>
      </c>
      <c r="N202" s="393">
        <v>9.16</v>
      </c>
      <c r="O202" s="393">
        <v>10.85</v>
      </c>
      <c r="P202" s="393">
        <v>14.88</v>
      </c>
      <c r="Q202" s="393">
        <v>13.85</v>
      </c>
      <c r="R202" s="393">
        <v>8.41</v>
      </c>
      <c r="S202" s="393">
        <v>14.12</v>
      </c>
      <c r="T202" s="393">
        <v>11.54</v>
      </c>
      <c r="U202" s="393">
        <v>9.5399999999999991</v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s="408" customFormat="1">
      <c r="A203">
        <v>35</v>
      </c>
      <c r="B203" t="s">
        <v>405</v>
      </c>
      <c r="C203" t="s">
        <v>451</v>
      </c>
      <c r="D203" t="s">
        <v>455</v>
      </c>
      <c r="E203" t="s">
        <v>406</v>
      </c>
      <c r="F203">
        <v>5.2</v>
      </c>
      <c r="G203" s="393">
        <v>16.03</v>
      </c>
      <c r="H203" s="393">
        <v>15.3</v>
      </c>
      <c r="I203" s="393">
        <v>10.61</v>
      </c>
      <c r="J203" s="393">
        <v>10.039999999999999</v>
      </c>
      <c r="K203" s="393">
        <v>8.83</v>
      </c>
      <c r="L203" s="393">
        <v>8.36</v>
      </c>
      <c r="M203" s="393">
        <v>12.48</v>
      </c>
      <c r="N203" s="393">
        <v>16.64</v>
      </c>
      <c r="O203" s="393">
        <v>18.41</v>
      </c>
      <c r="P203" s="393">
        <v>16.47</v>
      </c>
      <c r="Q203" s="393">
        <v>13</v>
      </c>
      <c r="R203" s="393">
        <v>12.74</v>
      </c>
      <c r="S203" s="393">
        <v>15.71</v>
      </c>
      <c r="T203" s="393">
        <v>10.84</v>
      </c>
      <c r="U203" s="393">
        <v>9.7200000000000006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s="408" customFormat="1">
      <c r="A204">
        <v>36</v>
      </c>
      <c r="B204" t="s">
        <v>405</v>
      </c>
      <c r="C204" t="s">
        <v>451</v>
      </c>
      <c r="D204" t="s">
        <v>455</v>
      </c>
      <c r="E204" t="s">
        <v>406</v>
      </c>
      <c r="F204">
        <v>2.4</v>
      </c>
      <c r="G204" s="393">
        <v>10.9</v>
      </c>
      <c r="H204" s="393">
        <v>14.33</v>
      </c>
      <c r="I204" s="393">
        <v>14.77</v>
      </c>
      <c r="J204" s="393">
        <v>9.85</v>
      </c>
      <c r="K204" s="393">
        <v>10.26</v>
      </c>
      <c r="L204" s="393">
        <v>11.93</v>
      </c>
      <c r="M204" s="393">
        <v>7.24</v>
      </c>
      <c r="N204" s="393">
        <v>7.66</v>
      </c>
      <c r="O204" s="393">
        <v>10.210000000000001</v>
      </c>
      <c r="P204" s="393">
        <v>8.3000000000000007</v>
      </c>
      <c r="Q204" s="393">
        <v>7.7</v>
      </c>
      <c r="R204" s="393">
        <v>9.17</v>
      </c>
      <c r="S204" s="393">
        <v>11.11</v>
      </c>
      <c r="T204" s="393">
        <v>12.08</v>
      </c>
      <c r="U204" s="393">
        <v>11.45</v>
      </c>
      <c r="V204" s="152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s="408" customFormat="1">
      <c r="A205" t="s">
        <v>461</v>
      </c>
      <c r="B205" t="s">
        <v>463</v>
      </c>
      <c r="C205" t="s">
        <v>453</v>
      </c>
      <c r="D205" t="s">
        <v>468</v>
      </c>
      <c r="E205" t="s">
        <v>461</v>
      </c>
      <c r="F205" t="s">
        <v>461</v>
      </c>
      <c r="G205">
        <v>19.91</v>
      </c>
      <c r="H205">
        <v>15.73</v>
      </c>
      <c r="I205">
        <v>19.86</v>
      </c>
      <c r="J205">
        <v>9.8699999999999992</v>
      </c>
      <c r="K205">
        <v>19.649999999999999</v>
      </c>
      <c r="L205">
        <v>15.89</v>
      </c>
      <c r="M205">
        <v>16.809999999999999</v>
      </c>
      <c r="N205">
        <v>14.33</v>
      </c>
      <c r="O205">
        <v>16.399999999999999</v>
      </c>
      <c r="P205">
        <v>11.62</v>
      </c>
      <c r="Q205">
        <v>7.94</v>
      </c>
      <c r="R205">
        <v>11.02</v>
      </c>
      <c r="S205">
        <v>13.24</v>
      </c>
      <c r="T205">
        <v>12.59</v>
      </c>
      <c r="U205">
        <v>14.01</v>
      </c>
      <c r="V205">
        <v>11.83</v>
      </c>
      <c r="W205">
        <v>11.08</v>
      </c>
      <c r="X205">
        <v>9.1199999999999992</v>
      </c>
      <c r="Y205">
        <v>12.36</v>
      </c>
      <c r="Z205">
        <v>13.82</v>
      </c>
      <c r="AA205"/>
      <c r="AB205"/>
      <c r="AC205"/>
      <c r="AD205"/>
      <c r="AE205"/>
      <c r="AF205"/>
      <c r="AG205"/>
      <c r="AH205"/>
      <c r="AI205"/>
      <c r="AJ205"/>
    </row>
    <row r="206" spans="1:36" s="408" customFormat="1">
      <c r="A206" t="s">
        <v>461</v>
      </c>
      <c r="B206" t="s">
        <v>463</v>
      </c>
      <c r="C206" t="s">
        <v>453</v>
      </c>
      <c r="D206" t="s">
        <v>468</v>
      </c>
      <c r="E206" t="s">
        <v>461</v>
      </c>
      <c r="F206" t="s">
        <v>461</v>
      </c>
      <c r="G206">
        <v>13.32</v>
      </c>
      <c r="H206">
        <v>13.85</v>
      </c>
      <c r="I206">
        <v>11.89</v>
      </c>
      <c r="J206">
        <v>10.69</v>
      </c>
      <c r="K206">
        <v>8.4499999999999993</v>
      </c>
      <c r="L206">
        <v>11.3</v>
      </c>
      <c r="M206">
        <v>11.01</v>
      </c>
      <c r="N206">
        <v>5.05</v>
      </c>
      <c r="O206">
        <v>6.12</v>
      </c>
      <c r="P206">
        <v>7.64</v>
      </c>
      <c r="Q206">
        <v>11.75</v>
      </c>
      <c r="R206">
        <v>10.17</v>
      </c>
      <c r="S206">
        <v>8.68</v>
      </c>
      <c r="T206">
        <v>8</v>
      </c>
      <c r="U206">
        <v>9.4499999999999993</v>
      </c>
      <c r="V206">
        <v>9.75</v>
      </c>
      <c r="W206">
        <v>8.49</v>
      </c>
      <c r="X206">
        <v>8.83</v>
      </c>
      <c r="Y206">
        <v>8.61</v>
      </c>
      <c r="Z206">
        <v>8.93</v>
      </c>
      <c r="AA206"/>
      <c r="AB206"/>
      <c r="AC206"/>
      <c r="AD206"/>
      <c r="AE206"/>
      <c r="AF206"/>
      <c r="AG206"/>
      <c r="AH206"/>
      <c r="AI206"/>
      <c r="AJ206"/>
    </row>
    <row r="207" spans="1:36" s="408" customFormat="1">
      <c r="A207" t="s">
        <v>461</v>
      </c>
      <c r="B207" t="s">
        <v>463</v>
      </c>
      <c r="C207" t="s">
        <v>453</v>
      </c>
      <c r="D207" t="s">
        <v>468</v>
      </c>
      <c r="E207" t="s">
        <v>461</v>
      </c>
      <c r="F207" t="s">
        <v>461</v>
      </c>
      <c r="G207">
        <v>6.53</v>
      </c>
      <c r="H207">
        <v>5.08</v>
      </c>
      <c r="I207">
        <v>7.68</v>
      </c>
      <c r="J207">
        <v>5.56</v>
      </c>
      <c r="K207">
        <v>5.55</v>
      </c>
      <c r="L207">
        <v>9.15</v>
      </c>
      <c r="M207">
        <v>9.14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s="408" customFormat="1">
      <c r="A208" t="s">
        <v>461</v>
      </c>
      <c r="B208" t="s">
        <v>464</v>
      </c>
      <c r="C208" t="s">
        <v>453</v>
      </c>
      <c r="D208" t="s">
        <v>467</v>
      </c>
      <c r="E208" t="s">
        <v>461</v>
      </c>
      <c r="F208" t="s">
        <v>461</v>
      </c>
      <c r="G208">
        <v>16.57</v>
      </c>
      <c r="H208">
        <v>17.22</v>
      </c>
      <c r="I208">
        <v>16.54</v>
      </c>
      <c r="J208">
        <v>15.33</v>
      </c>
      <c r="K208">
        <v>2.5499999999999998</v>
      </c>
      <c r="L208">
        <v>14.46</v>
      </c>
      <c r="M208">
        <v>13.49</v>
      </c>
      <c r="N208">
        <v>21.56</v>
      </c>
      <c r="O208">
        <v>13.18</v>
      </c>
      <c r="P208">
        <v>18.850000000000001</v>
      </c>
      <c r="Q208">
        <v>11.26</v>
      </c>
      <c r="R208">
        <v>13.27</v>
      </c>
      <c r="S208">
        <v>10.4</v>
      </c>
      <c r="T208">
        <v>8.9600000000000009</v>
      </c>
      <c r="U208">
        <v>9.94</v>
      </c>
      <c r="V208">
        <v>11.84</v>
      </c>
      <c r="W208">
        <v>14.51</v>
      </c>
      <c r="X208">
        <v>11.34</v>
      </c>
      <c r="Y208">
        <v>13.54</v>
      </c>
      <c r="Z208">
        <v>10.85</v>
      </c>
      <c r="AA208"/>
      <c r="AB208"/>
      <c r="AC208"/>
      <c r="AD208"/>
      <c r="AE208"/>
      <c r="AF208"/>
      <c r="AG208"/>
      <c r="AH208"/>
      <c r="AI208"/>
      <c r="AJ208"/>
    </row>
    <row r="209" spans="1:36" s="408" customFormat="1">
      <c r="A209" t="s">
        <v>461</v>
      </c>
      <c r="B209" t="s">
        <v>464</v>
      </c>
      <c r="C209" t="s">
        <v>453</v>
      </c>
      <c r="D209" t="s">
        <v>467</v>
      </c>
      <c r="E209" t="s">
        <v>461</v>
      </c>
      <c r="F209" t="s">
        <v>461</v>
      </c>
      <c r="G209">
        <v>9.16</v>
      </c>
      <c r="H209">
        <v>15.72</v>
      </c>
      <c r="I209">
        <v>10.27</v>
      </c>
      <c r="J209">
        <v>7.6</v>
      </c>
      <c r="K209">
        <v>7.36</v>
      </c>
      <c r="L209">
        <v>7.69</v>
      </c>
      <c r="M209">
        <v>6.43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s="408" customFormat="1">
      <c r="A210"/>
      <c r="B210" t="s">
        <v>445</v>
      </c>
      <c r="C210" t="s">
        <v>453</v>
      </c>
      <c r="D210" t="s">
        <v>454</v>
      </c>
      <c r="E210" s="405" t="s">
        <v>403</v>
      </c>
      <c r="F210" s="406"/>
      <c r="G210" s="405">
        <v>11.96</v>
      </c>
      <c r="H210">
        <v>14.43</v>
      </c>
      <c r="I210">
        <v>15.52</v>
      </c>
      <c r="J210">
        <v>9.19</v>
      </c>
      <c r="K210">
        <v>7.97</v>
      </c>
      <c r="L210">
        <v>12.62</v>
      </c>
      <c r="M210">
        <v>7.1</v>
      </c>
      <c r="N210">
        <v>20.13</v>
      </c>
      <c r="O210">
        <v>12.27</v>
      </c>
      <c r="P210">
        <v>14.58</v>
      </c>
      <c r="Q210">
        <v>11.84</v>
      </c>
      <c r="R210">
        <v>9.14</v>
      </c>
      <c r="S210">
        <v>15.22</v>
      </c>
      <c r="T210">
        <v>5.4</v>
      </c>
      <c r="U210">
        <v>11.14</v>
      </c>
      <c r="V210">
        <v>7.35</v>
      </c>
      <c r="W210">
        <v>15.85</v>
      </c>
      <c r="X210">
        <v>11.62</v>
      </c>
      <c r="Y210">
        <v>9.11</v>
      </c>
      <c r="Z210">
        <v>11.17</v>
      </c>
      <c r="AA210">
        <v>11.12</v>
      </c>
      <c r="AB210">
        <v>11</v>
      </c>
      <c r="AC210">
        <v>11.97</v>
      </c>
      <c r="AD210">
        <v>6.36</v>
      </c>
      <c r="AE210">
        <v>10.44</v>
      </c>
      <c r="AF210"/>
      <c r="AG210"/>
      <c r="AH210"/>
      <c r="AI210"/>
      <c r="AJ210"/>
    </row>
    <row r="211" spans="1:36" s="408" customFormat="1">
      <c r="A211">
        <v>97</v>
      </c>
      <c r="B211" t="s">
        <v>445</v>
      </c>
      <c r="C211" t="s">
        <v>453</v>
      </c>
      <c r="D211" t="s">
        <v>454</v>
      </c>
      <c r="E211" s="405" t="s">
        <v>407</v>
      </c>
      <c r="F211">
        <v>0.6</v>
      </c>
      <c r="G211" s="405">
        <v>10.210000000000001</v>
      </c>
      <c r="H211">
        <v>10.18</v>
      </c>
      <c r="I211">
        <v>9.0500000000000007</v>
      </c>
      <c r="J211">
        <v>10.86</v>
      </c>
      <c r="K211">
        <v>6.44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s="408" customFormat="1">
      <c r="A212">
        <v>98</v>
      </c>
      <c r="B212" t="s">
        <v>445</v>
      </c>
      <c r="C212" t="s">
        <v>453</v>
      </c>
      <c r="D212" t="s">
        <v>454</v>
      </c>
      <c r="E212" s="405" t="s">
        <v>407</v>
      </c>
      <c r="F212">
        <v>0.5</v>
      </c>
      <c r="G212" s="405">
        <v>8.3699999999999992</v>
      </c>
      <c r="H212">
        <v>7.51</v>
      </c>
      <c r="I212">
        <v>10.02</v>
      </c>
      <c r="J212">
        <v>5.43</v>
      </c>
      <c r="K212">
        <v>11.18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s="408" customFormat="1">
      <c r="A213">
        <v>99</v>
      </c>
      <c r="B213" t="s">
        <v>445</v>
      </c>
      <c r="C213" t="s">
        <v>453</v>
      </c>
      <c r="D213" t="s">
        <v>454</v>
      </c>
      <c r="E213" s="405" t="s">
        <v>407</v>
      </c>
      <c r="F213">
        <v>0.7</v>
      </c>
      <c r="G213" s="405">
        <v>7.76</v>
      </c>
      <c r="H213">
        <v>11.61</v>
      </c>
      <c r="I213">
        <v>9.9600000000000009</v>
      </c>
      <c r="J213">
        <v>10.16</v>
      </c>
      <c r="K213">
        <v>6.01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s="408" customFormat="1">
      <c r="A214">
        <v>100</v>
      </c>
      <c r="B214" t="s">
        <v>445</v>
      </c>
      <c r="C214" t="s">
        <v>453</v>
      </c>
      <c r="D214" t="s">
        <v>454</v>
      </c>
      <c r="E214" s="405" t="s">
        <v>407</v>
      </c>
      <c r="F214">
        <v>0.6</v>
      </c>
      <c r="G214" s="405">
        <v>7.49</v>
      </c>
      <c r="H214">
        <v>7.27</v>
      </c>
      <c r="I214">
        <v>10.97</v>
      </c>
      <c r="J214">
        <v>9.6300000000000008</v>
      </c>
      <c r="K214">
        <v>10.3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s="408" customFormat="1">
      <c r="A215">
        <v>101</v>
      </c>
      <c r="B215" t="s">
        <v>445</v>
      </c>
      <c r="C215" t="s">
        <v>453</v>
      </c>
      <c r="D215" t="s">
        <v>454</v>
      </c>
      <c r="E215" s="405" t="s">
        <v>407</v>
      </c>
      <c r="F215">
        <v>0.5</v>
      </c>
      <c r="G215" s="405">
        <v>8.7100000000000009</v>
      </c>
      <c r="H215">
        <v>9.08</v>
      </c>
      <c r="I215">
        <v>8.7799999999999994</v>
      </c>
      <c r="J215">
        <v>10.97</v>
      </c>
      <c r="K215">
        <v>9.57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s="408" customFormat="1">
      <c r="A216">
        <v>102</v>
      </c>
      <c r="B216" t="s">
        <v>445</v>
      </c>
      <c r="C216" t="s">
        <v>453</v>
      </c>
      <c r="D216" t="s">
        <v>454</v>
      </c>
      <c r="E216" s="405" t="s">
        <v>407</v>
      </c>
      <c r="F216">
        <v>0.4</v>
      </c>
      <c r="G216" s="405">
        <v>7.56</v>
      </c>
      <c r="H216">
        <v>7.52</v>
      </c>
      <c r="I216">
        <v>10.09</v>
      </c>
      <c r="J216">
        <v>5.93</v>
      </c>
      <c r="K216">
        <v>8.6999999999999993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s="408" customFormat="1">
      <c r="A217">
        <v>103</v>
      </c>
      <c r="B217" t="s">
        <v>445</v>
      </c>
      <c r="C217" t="s">
        <v>453</v>
      </c>
      <c r="D217" t="s">
        <v>454</v>
      </c>
      <c r="E217" s="405" t="s">
        <v>407</v>
      </c>
      <c r="F217">
        <v>0.4</v>
      </c>
      <c r="G217" s="405">
        <v>8.8800000000000008</v>
      </c>
      <c r="H217">
        <v>9.0500000000000007</v>
      </c>
      <c r="I217">
        <v>10.56</v>
      </c>
      <c r="J217">
        <v>7.12</v>
      </c>
      <c r="K217">
        <v>6.28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s="408" customFormat="1">
      <c r="A218">
        <v>104</v>
      </c>
      <c r="B218" t="s">
        <v>445</v>
      </c>
      <c r="C218" t="s">
        <v>453</v>
      </c>
      <c r="D218" t="s">
        <v>454</v>
      </c>
      <c r="E218" s="405" t="s">
        <v>407</v>
      </c>
      <c r="F218">
        <v>0.7</v>
      </c>
      <c r="G218" s="405">
        <v>11.27</v>
      </c>
      <c r="H218">
        <v>11.24</v>
      </c>
      <c r="I218">
        <v>7.94</v>
      </c>
      <c r="J218">
        <v>9.2899999999999991</v>
      </c>
      <c r="K218">
        <v>9.14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s="408" customFormat="1">
      <c r="A219">
        <v>105</v>
      </c>
      <c r="B219" t="s">
        <v>445</v>
      </c>
      <c r="C219" t="s">
        <v>453</v>
      </c>
      <c r="D219" t="s">
        <v>454</v>
      </c>
      <c r="E219" s="405" t="s">
        <v>407</v>
      </c>
      <c r="F219">
        <v>0.5</v>
      </c>
      <c r="G219" s="405">
        <v>11.21</v>
      </c>
      <c r="H219">
        <v>10.14</v>
      </c>
      <c r="I219">
        <v>4.05</v>
      </c>
      <c r="J219">
        <v>10.26</v>
      </c>
      <c r="K219">
        <v>7.99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s="408" customFormat="1">
      <c r="A220">
        <v>106</v>
      </c>
      <c r="B220" t="s">
        <v>445</v>
      </c>
      <c r="C220" t="s">
        <v>453</v>
      </c>
      <c r="D220" t="s">
        <v>454</v>
      </c>
      <c r="E220" s="405" t="s">
        <v>407</v>
      </c>
      <c r="F220">
        <v>0.7</v>
      </c>
      <c r="G220" s="405">
        <v>8.58</v>
      </c>
      <c r="H220">
        <v>8.06</v>
      </c>
      <c r="I220">
        <v>8.48</v>
      </c>
      <c r="J220">
        <v>9.66</v>
      </c>
      <c r="K220">
        <v>10.46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s="408" customFormat="1">
      <c r="A221">
        <v>107</v>
      </c>
      <c r="B221" t="s">
        <v>445</v>
      </c>
      <c r="C221" t="s">
        <v>453</v>
      </c>
      <c r="D221" t="s">
        <v>454</v>
      </c>
      <c r="E221" s="405" t="s">
        <v>407</v>
      </c>
      <c r="F221">
        <v>0.3</v>
      </c>
      <c r="G221" s="405">
        <v>5.72</v>
      </c>
      <c r="H221">
        <v>6.83</v>
      </c>
      <c r="I221">
        <v>8.64</v>
      </c>
      <c r="J221">
        <v>10.29</v>
      </c>
      <c r="K221">
        <v>4.72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s="408" customFormat="1">
      <c r="A222">
        <v>108</v>
      </c>
      <c r="B222" t="s">
        <v>445</v>
      </c>
      <c r="C222" t="s">
        <v>453</v>
      </c>
      <c r="D222" t="s">
        <v>454</v>
      </c>
      <c r="E222" s="405" t="s">
        <v>407</v>
      </c>
      <c r="F222">
        <v>0.4</v>
      </c>
      <c r="G222" s="405">
        <v>7.29</v>
      </c>
      <c r="H222">
        <v>5.26</v>
      </c>
      <c r="I222">
        <v>7.03</v>
      </c>
      <c r="J222">
        <v>11.17</v>
      </c>
      <c r="K222">
        <v>9.43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s="408" customFormat="1">
      <c r="A223">
        <v>109</v>
      </c>
      <c r="B223" t="s">
        <v>445</v>
      </c>
      <c r="C223" t="s">
        <v>453</v>
      </c>
      <c r="D223" t="s">
        <v>454</v>
      </c>
      <c r="E223" t="s">
        <v>406</v>
      </c>
      <c r="F223">
        <v>1.4</v>
      </c>
      <c r="G223">
        <v>15.63</v>
      </c>
      <c r="H223">
        <v>11.81</v>
      </c>
      <c r="I223">
        <v>14.34</v>
      </c>
      <c r="J223">
        <v>11.5</v>
      </c>
      <c r="K223">
        <v>11.93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s="408" customFormat="1">
      <c r="A224">
        <v>110</v>
      </c>
      <c r="B224" t="s">
        <v>445</v>
      </c>
      <c r="C224" t="s">
        <v>453</v>
      </c>
      <c r="D224" t="s">
        <v>454</v>
      </c>
      <c r="E224" t="s">
        <v>406</v>
      </c>
      <c r="F224">
        <v>1.9</v>
      </c>
      <c r="G224">
        <v>12.21</v>
      </c>
      <c r="H224">
        <v>12.4</v>
      </c>
      <c r="I224">
        <v>20.190000000000001</v>
      </c>
      <c r="J224">
        <v>12.26</v>
      </c>
      <c r="K224">
        <v>18.89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s="408" customFormat="1">
      <c r="A225">
        <v>111</v>
      </c>
      <c r="B225" t="s">
        <v>445</v>
      </c>
      <c r="C225" t="s">
        <v>453</v>
      </c>
      <c r="D225" t="s">
        <v>454</v>
      </c>
      <c r="E225" t="s">
        <v>406</v>
      </c>
      <c r="F225">
        <v>2.1</v>
      </c>
      <c r="G225">
        <v>12.26</v>
      </c>
      <c r="H225">
        <v>15.12</v>
      </c>
      <c r="I225">
        <v>11.74</v>
      </c>
      <c r="J225">
        <v>16.739999999999998</v>
      </c>
      <c r="K225">
        <v>17.45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s="408" customFormat="1">
      <c r="A226">
        <v>112</v>
      </c>
      <c r="B226" t="s">
        <v>445</v>
      </c>
      <c r="C226" t="s">
        <v>453</v>
      </c>
      <c r="D226" t="s">
        <v>454</v>
      </c>
      <c r="E226" t="s">
        <v>406</v>
      </c>
      <c r="F226">
        <v>2.2999999999999998</v>
      </c>
      <c r="G226">
        <v>18.43</v>
      </c>
      <c r="H226">
        <v>17.23</v>
      </c>
      <c r="I226">
        <v>11.49</v>
      </c>
      <c r="J226">
        <v>16.66</v>
      </c>
      <c r="K226">
        <v>13.71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s="408" customFormat="1">
      <c r="A227">
        <v>113</v>
      </c>
      <c r="B227" t="s">
        <v>445</v>
      </c>
      <c r="C227" t="s">
        <v>453</v>
      </c>
      <c r="D227" t="s">
        <v>454</v>
      </c>
      <c r="E227" t="s">
        <v>406</v>
      </c>
      <c r="F227">
        <v>2.2000000000000002</v>
      </c>
      <c r="G227">
        <v>13.51</v>
      </c>
      <c r="H227">
        <v>14.05</v>
      </c>
      <c r="I227">
        <v>13.18</v>
      </c>
      <c r="J227">
        <v>15.83</v>
      </c>
      <c r="K227">
        <v>16.96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s="408" customFormat="1">
      <c r="A228">
        <v>114</v>
      </c>
      <c r="B228" t="s">
        <v>445</v>
      </c>
      <c r="C228" t="s">
        <v>453</v>
      </c>
      <c r="D228" t="s">
        <v>454</v>
      </c>
      <c r="E228" t="s">
        <v>406</v>
      </c>
      <c r="F228">
        <v>2.2999999999999998</v>
      </c>
      <c r="G228">
        <v>15.54</v>
      </c>
      <c r="H228">
        <v>14.77</v>
      </c>
      <c r="I228">
        <v>13.76</v>
      </c>
      <c r="J228">
        <v>19.13</v>
      </c>
      <c r="K228">
        <v>15.45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s="408" customFormat="1">
      <c r="A229">
        <v>115</v>
      </c>
      <c r="B229" t="s">
        <v>445</v>
      </c>
      <c r="C229" t="s">
        <v>453</v>
      </c>
      <c r="D229" t="s">
        <v>454</v>
      </c>
      <c r="E229" t="s">
        <v>406</v>
      </c>
      <c r="F229">
        <v>1.5</v>
      </c>
      <c r="G229">
        <v>14.45</v>
      </c>
      <c r="H229">
        <v>12.15</v>
      </c>
      <c r="I229">
        <v>14.47</v>
      </c>
      <c r="J229">
        <v>12.35</v>
      </c>
      <c r="K229">
        <v>12.31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s="408" customFormat="1">
      <c r="A230">
        <v>116</v>
      </c>
      <c r="B230" t="s">
        <v>445</v>
      </c>
      <c r="C230" t="s">
        <v>453</v>
      </c>
      <c r="D230" t="s">
        <v>454</v>
      </c>
      <c r="E230" t="s">
        <v>406</v>
      </c>
      <c r="F230">
        <v>2.1</v>
      </c>
      <c r="G230">
        <v>11.53</v>
      </c>
      <c r="H230">
        <v>17.78</v>
      </c>
      <c r="I230">
        <v>13.91</v>
      </c>
      <c r="J230">
        <v>14.1</v>
      </c>
      <c r="K230">
        <v>16.100000000000001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s="408" customFormat="1">
      <c r="A231">
        <v>117</v>
      </c>
      <c r="B231" t="s">
        <v>445</v>
      </c>
      <c r="C231" t="s">
        <v>453</v>
      </c>
      <c r="D231" t="s">
        <v>454</v>
      </c>
      <c r="E231" t="s">
        <v>406</v>
      </c>
      <c r="F231">
        <v>1.5</v>
      </c>
      <c r="G231">
        <v>11.51</v>
      </c>
      <c r="H231">
        <v>11.76</v>
      </c>
      <c r="I231">
        <v>12.09</v>
      </c>
      <c r="J231">
        <v>13.06</v>
      </c>
      <c r="K231">
        <v>14.35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s="408" customFormat="1">
      <c r="A232">
        <v>118</v>
      </c>
      <c r="B232" t="s">
        <v>445</v>
      </c>
      <c r="C232" t="s">
        <v>453</v>
      </c>
      <c r="D232" t="s">
        <v>454</v>
      </c>
      <c r="E232" t="s">
        <v>406</v>
      </c>
      <c r="F232">
        <v>1.9</v>
      </c>
      <c r="G232">
        <v>12.87</v>
      </c>
      <c r="H232">
        <v>13.96</v>
      </c>
      <c r="I232">
        <v>15.69</v>
      </c>
      <c r="J232">
        <v>12.77</v>
      </c>
      <c r="K232">
        <v>14.93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s="408" customFormat="1">
      <c r="A233">
        <v>119</v>
      </c>
      <c r="B233" t="s">
        <v>445</v>
      </c>
      <c r="C233" t="s">
        <v>453</v>
      </c>
      <c r="D233" t="s">
        <v>454</v>
      </c>
      <c r="E233" t="s">
        <v>446</v>
      </c>
      <c r="F233">
        <v>1.5</v>
      </c>
      <c r="G233">
        <v>18.32</v>
      </c>
      <c r="H233">
        <v>12.5</v>
      </c>
      <c r="I233">
        <v>11.83</v>
      </c>
      <c r="J233">
        <v>10.7</v>
      </c>
      <c r="K233">
        <v>10.06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s="406" customFormat="1">
      <c r="A234">
        <v>120</v>
      </c>
      <c r="B234" t="s">
        <v>445</v>
      </c>
      <c r="C234" t="s">
        <v>453</v>
      </c>
      <c r="D234" t="s">
        <v>454</v>
      </c>
      <c r="E234" t="s">
        <v>407</v>
      </c>
      <c r="F234">
        <v>0.3</v>
      </c>
      <c r="G234">
        <v>9.6199999999999992</v>
      </c>
      <c r="H234">
        <v>8.5500000000000007</v>
      </c>
      <c r="I234">
        <v>7.57</v>
      </c>
      <c r="J234">
        <v>8.93</v>
      </c>
      <c r="K234">
        <v>4.78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>
      <c r="A235" t="s">
        <v>403</v>
      </c>
      <c r="B235" t="s">
        <v>447</v>
      </c>
      <c r="C235" t="s">
        <v>453</v>
      </c>
      <c r="D235" t="s">
        <v>455</v>
      </c>
      <c r="E235" t="s">
        <v>403</v>
      </c>
      <c r="F235" s="407"/>
      <c r="G235">
        <v>18.27</v>
      </c>
      <c r="H235">
        <v>13.9</v>
      </c>
      <c r="I235">
        <v>14.73</v>
      </c>
      <c r="J235">
        <v>7.85</v>
      </c>
      <c r="K235">
        <v>10.220000000000001</v>
      </c>
      <c r="L235">
        <v>17.39</v>
      </c>
      <c r="M235">
        <v>14.99</v>
      </c>
      <c r="N235">
        <v>11.32</v>
      </c>
      <c r="O235">
        <v>9.02</v>
      </c>
      <c r="P235">
        <v>8.51</v>
      </c>
      <c r="Q235">
        <v>5.48</v>
      </c>
      <c r="R235">
        <v>5.31</v>
      </c>
      <c r="S235">
        <v>17.350000000000001</v>
      </c>
      <c r="T235">
        <v>7.15</v>
      </c>
      <c r="U235">
        <v>10.8</v>
      </c>
      <c r="V235">
        <v>11.9</v>
      </c>
      <c r="W235">
        <v>10.76</v>
      </c>
      <c r="X235">
        <v>7.55</v>
      </c>
      <c r="Y235">
        <v>8.8800000000000008</v>
      </c>
      <c r="Z235">
        <v>7.26</v>
      </c>
      <c r="AA235">
        <v>13.59</v>
      </c>
      <c r="AB235">
        <v>4.93</v>
      </c>
      <c r="AC235">
        <v>13.01</v>
      </c>
      <c r="AD235">
        <v>9.4</v>
      </c>
      <c r="AE235">
        <v>11.49</v>
      </c>
    </row>
    <row r="236" spans="1:36">
      <c r="A236">
        <v>121</v>
      </c>
      <c r="B236" t="s">
        <v>447</v>
      </c>
      <c r="C236" t="s">
        <v>453</v>
      </c>
      <c r="D236" t="s">
        <v>455</v>
      </c>
      <c r="E236" t="s">
        <v>407</v>
      </c>
      <c r="F236">
        <v>0.5</v>
      </c>
      <c r="G236">
        <v>9.4600000000000009</v>
      </c>
      <c r="H236">
        <v>7.75</v>
      </c>
      <c r="I236">
        <v>9.94</v>
      </c>
      <c r="J236">
        <v>9.9</v>
      </c>
      <c r="K236">
        <v>7.69</v>
      </c>
    </row>
    <row r="237" spans="1:36">
      <c r="A237">
        <v>122</v>
      </c>
      <c r="B237" t="s">
        <v>447</v>
      </c>
      <c r="C237" t="s">
        <v>453</v>
      </c>
      <c r="D237" t="s">
        <v>455</v>
      </c>
      <c r="E237" t="s">
        <v>407</v>
      </c>
      <c r="F237">
        <v>0.5</v>
      </c>
      <c r="G237">
        <v>7.65</v>
      </c>
      <c r="H237">
        <v>10.71</v>
      </c>
      <c r="I237">
        <v>10.49</v>
      </c>
      <c r="J237">
        <v>4.71</v>
      </c>
      <c r="K237">
        <v>8.76</v>
      </c>
    </row>
    <row r="238" spans="1:36">
      <c r="A238">
        <v>123</v>
      </c>
      <c r="B238" t="s">
        <v>447</v>
      </c>
      <c r="C238" t="s">
        <v>453</v>
      </c>
      <c r="D238" t="s">
        <v>455</v>
      </c>
      <c r="E238" t="s">
        <v>407</v>
      </c>
      <c r="F238">
        <v>0.5</v>
      </c>
      <c r="G238">
        <v>8.82</v>
      </c>
      <c r="H238">
        <v>10.119999999999999</v>
      </c>
      <c r="I238">
        <v>7.66</v>
      </c>
      <c r="J238">
        <v>7.34</v>
      </c>
      <c r="K238">
        <v>10.69</v>
      </c>
    </row>
    <row r="239" spans="1:36">
      <c r="A239">
        <v>124</v>
      </c>
      <c r="B239" t="s">
        <v>447</v>
      </c>
      <c r="C239" t="s">
        <v>453</v>
      </c>
      <c r="D239" t="s">
        <v>455</v>
      </c>
      <c r="E239" t="s">
        <v>407</v>
      </c>
      <c r="F239">
        <v>0.4</v>
      </c>
      <c r="G239">
        <v>10.43</v>
      </c>
      <c r="H239">
        <v>7.92</v>
      </c>
      <c r="I239">
        <v>7.86</v>
      </c>
      <c r="J239">
        <v>5.31</v>
      </c>
      <c r="K239">
        <v>8.9700000000000006</v>
      </c>
    </row>
    <row r="240" spans="1:36">
      <c r="A240">
        <v>125</v>
      </c>
      <c r="B240" t="s">
        <v>447</v>
      </c>
      <c r="C240" t="s">
        <v>453</v>
      </c>
      <c r="D240" t="s">
        <v>455</v>
      </c>
      <c r="E240" t="s">
        <v>407</v>
      </c>
      <c r="F240">
        <v>0.3</v>
      </c>
      <c r="G240">
        <v>5.71</v>
      </c>
      <c r="H240">
        <v>5.9</v>
      </c>
      <c r="I240">
        <v>8.2200000000000006</v>
      </c>
      <c r="J240">
        <v>7.25</v>
      </c>
      <c r="K240">
        <v>5.35</v>
      </c>
    </row>
    <row r="241" spans="1:13">
      <c r="A241">
        <v>126</v>
      </c>
      <c r="B241" t="s">
        <v>447</v>
      </c>
      <c r="C241" t="s">
        <v>453</v>
      </c>
      <c r="D241" t="s">
        <v>455</v>
      </c>
      <c r="E241" t="s">
        <v>407</v>
      </c>
      <c r="F241">
        <v>0.3</v>
      </c>
      <c r="G241">
        <v>10.3</v>
      </c>
      <c r="H241">
        <v>9.66</v>
      </c>
      <c r="I241">
        <v>6.35</v>
      </c>
      <c r="J241">
        <v>7.35</v>
      </c>
      <c r="K241">
        <v>8.9</v>
      </c>
    </row>
    <row r="242" spans="1:13">
      <c r="A242">
        <v>127</v>
      </c>
      <c r="B242" t="s">
        <v>447</v>
      </c>
      <c r="C242" t="s">
        <v>453</v>
      </c>
      <c r="D242" t="s">
        <v>455</v>
      </c>
      <c r="E242" t="s">
        <v>407</v>
      </c>
      <c r="F242">
        <v>0.5</v>
      </c>
      <c r="G242">
        <v>9.4499999999999993</v>
      </c>
      <c r="H242">
        <v>6.3</v>
      </c>
      <c r="I242">
        <v>5.87</v>
      </c>
      <c r="J242">
        <v>10.75</v>
      </c>
      <c r="K242">
        <v>7.97</v>
      </c>
    </row>
    <row r="243" spans="1:13">
      <c r="A243">
        <v>128</v>
      </c>
      <c r="B243" t="s">
        <v>447</v>
      </c>
      <c r="C243" t="s">
        <v>453</v>
      </c>
      <c r="D243" t="s">
        <v>455</v>
      </c>
      <c r="E243" t="s">
        <v>407</v>
      </c>
      <c r="F243">
        <v>0.6</v>
      </c>
      <c r="G243">
        <v>8.42</v>
      </c>
      <c r="H243">
        <v>10.7</v>
      </c>
      <c r="I243">
        <v>8.65</v>
      </c>
      <c r="J243">
        <v>10.65</v>
      </c>
      <c r="K243">
        <v>10.199999999999999</v>
      </c>
    </row>
    <row r="244" spans="1:13">
      <c r="A244">
        <v>129</v>
      </c>
      <c r="B244" t="s">
        <v>447</v>
      </c>
      <c r="C244" t="s">
        <v>453</v>
      </c>
      <c r="D244" t="s">
        <v>455</v>
      </c>
      <c r="E244" t="s">
        <v>407</v>
      </c>
      <c r="F244">
        <v>0.3</v>
      </c>
      <c r="G244">
        <v>8.3699999999999992</v>
      </c>
      <c r="H244">
        <v>6.69</v>
      </c>
      <c r="I244">
        <v>6.84</v>
      </c>
      <c r="J244">
        <v>9.77</v>
      </c>
      <c r="K244">
        <v>7.05</v>
      </c>
    </row>
    <row r="245" spans="1:13">
      <c r="A245">
        <v>130</v>
      </c>
      <c r="B245" t="s">
        <v>447</v>
      </c>
      <c r="C245" t="s">
        <v>453</v>
      </c>
      <c r="D245" t="s">
        <v>455</v>
      </c>
      <c r="E245" t="s">
        <v>407</v>
      </c>
      <c r="F245">
        <v>0.3</v>
      </c>
      <c r="G245">
        <v>9.0399999999999991</v>
      </c>
      <c r="H245">
        <v>8.65</v>
      </c>
      <c r="I245">
        <v>7.83</v>
      </c>
      <c r="J245">
        <v>6.31</v>
      </c>
      <c r="K245">
        <v>9.5299999999999994</v>
      </c>
    </row>
    <row r="246" spans="1:13">
      <c r="A246">
        <v>131</v>
      </c>
      <c r="B246" t="s">
        <v>447</v>
      </c>
      <c r="C246" t="s">
        <v>453</v>
      </c>
      <c r="D246" t="s">
        <v>455</v>
      </c>
      <c r="E246" t="s">
        <v>407</v>
      </c>
      <c r="F246">
        <v>0.4</v>
      </c>
      <c r="G246">
        <v>9.94</v>
      </c>
      <c r="H246">
        <v>8.16</v>
      </c>
      <c r="I246">
        <v>5.87</v>
      </c>
      <c r="J246">
        <v>7.51</v>
      </c>
      <c r="K246">
        <v>6.1</v>
      </c>
    </row>
    <row r="247" spans="1:13">
      <c r="A247">
        <v>132</v>
      </c>
      <c r="B247" t="s">
        <v>447</v>
      </c>
      <c r="C247" t="s">
        <v>453</v>
      </c>
      <c r="D247" t="s">
        <v>455</v>
      </c>
      <c r="E247" t="s">
        <v>407</v>
      </c>
      <c r="F247">
        <v>0.4</v>
      </c>
      <c r="G247">
        <v>9.36</v>
      </c>
      <c r="H247">
        <v>9.7100000000000009</v>
      </c>
      <c r="I247">
        <v>7.94</v>
      </c>
      <c r="J247">
        <v>7.22</v>
      </c>
      <c r="K247">
        <v>6.7</v>
      </c>
    </row>
    <row r="248" spans="1:13">
      <c r="A248">
        <v>133</v>
      </c>
      <c r="B248" t="s">
        <v>447</v>
      </c>
      <c r="C248" t="s">
        <v>453</v>
      </c>
      <c r="D248" t="s">
        <v>455</v>
      </c>
      <c r="E248" t="s">
        <v>407</v>
      </c>
      <c r="F248">
        <v>0.3</v>
      </c>
      <c r="G248">
        <v>9.76</v>
      </c>
      <c r="H248">
        <v>7.98</v>
      </c>
      <c r="I248">
        <v>5.24</v>
      </c>
      <c r="J248">
        <v>6.61</v>
      </c>
      <c r="K248">
        <v>9.09</v>
      </c>
    </row>
    <row r="249" spans="1:13">
      <c r="A249">
        <v>134</v>
      </c>
      <c r="B249" t="s">
        <v>447</v>
      </c>
      <c r="C249" t="s">
        <v>453</v>
      </c>
      <c r="D249" t="s">
        <v>455</v>
      </c>
      <c r="E249" t="s">
        <v>407</v>
      </c>
      <c r="F249">
        <v>0.4</v>
      </c>
      <c r="G249">
        <v>5.66</v>
      </c>
      <c r="H249">
        <v>9.56</v>
      </c>
      <c r="I249">
        <v>7.63</v>
      </c>
      <c r="J249">
        <v>9.01</v>
      </c>
      <c r="K249">
        <v>7.22</v>
      </c>
    </row>
    <row r="250" spans="1:13">
      <c r="A250">
        <v>135</v>
      </c>
      <c r="B250" t="s">
        <v>447</v>
      </c>
      <c r="C250" t="s">
        <v>453</v>
      </c>
      <c r="D250" t="s">
        <v>455</v>
      </c>
      <c r="E250" t="s">
        <v>407</v>
      </c>
      <c r="F250">
        <v>0.4</v>
      </c>
      <c r="G250">
        <v>5.73</v>
      </c>
      <c r="H250">
        <v>9.98</v>
      </c>
      <c r="I250">
        <v>7.77</v>
      </c>
      <c r="J250">
        <v>6.03</v>
      </c>
      <c r="K250">
        <v>8.6999999999999993</v>
      </c>
    </row>
    <row r="251" spans="1:13">
      <c r="A251">
        <v>136</v>
      </c>
      <c r="B251" t="s">
        <v>447</v>
      </c>
      <c r="C251" t="s">
        <v>453</v>
      </c>
      <c r="D251" t="s">
        <v>455</v>
      </c>
      <c r="E251" t="s">
        <v>407</v>
      </c>
      <c r="F251">
        <v>0.5</v>
      </c>
      <c r="G251">
        <v>8.67</v>
      </c>
      <c r="H251">
        <v>6.9</v>
      </c>
      <c r="I251">
        <v>10.41</v>
      </c>
      <c r="J251">
        <v>6.86</v>
      </c>
      <c r="K251">
        <v>8.66</v>
      </c>
    </row>
    <row r="252" spans="1:13">
      <c r="A252">
        <v>137</v>
      </c>
      <c r="B252" t="s">
        <v>447</v>
      </c>
      <c r="C252" t="s">
        <v>453</v>
      </c>
      <c r="D252" t="s">
        <v>455</v>
      </c>
      <c r="E252" t="s">
        <v>407</v>
      </c>
      <c r="F252">
        <v>0.4</v>
      </c>
      <c r="G252">
        <v>8.51</v>
      </c>
      <c r="H252">
        <v>9.85</v>
      </c>
      <c r="I252">
        <v>10.43</v>
      </c>
      <c r="J252">
        <v>7.99</v>
      </c>
      <c r="K252">
        <v>6</v>
      </c>
    </row>
    <row r="253" spans="1:13">
      <c r="A253">
        <v>138</v>
      </c>
      <c r="B253" t="s">
        <v>447</v>
      </c>
      <c r="C253" t="s">
        <v>453</v>
      </c>
      <c r="D253" t="s">
        <v>455</v>
      </c>
      <c r="E253" t="s">
        <v>407</v>
      </c>
      <c r="F253">
        <v>0.5</v>
      </c>
      <c r="G253">
        <v>9.0500000000000007</v>
      </c>
      <c r="H253">
        <v>8.89</v>
      </c>
      <c r="I253">
        <v>9.82</v>
      </c>
      <c r="J253">
        <v>9.27</v>
      </c>
      <c r="K253">
        <v>8.15</v>
      </c>
    </row>
    <row r="254" spans="1:13">
      <c r="A254">
        <v>139</v>
      </c>
      <c r="B254" t="s">
        <v>447</v>
      </c>
      <c r="C254" t="s">
        <v>453</v>
      </c>
      <c r="D254" t="s">
        <v>455</v>
      </c>
      <c r="E254" t="s">
        <v>407</v>
      </c>
      <c r="F254">
        <v>0.4</v>
      </c>
      <c r="G254">
        <v>6.5</v>
      </c>
      <c r="H254">
        <v>10.35</v>
      </c>
      <c r="I254">
        <v>5.85</v>
      </c>
      <c r="J254">
        <v>9.83</v>
      </c>
      <c r="K254">
        <v>7.65</v>
      </c>
    </row>
    <row r="255" spans="1:13">
      <c r="A255">
        <v>140</v>
      </c>
      <c r="B255" t="s">
        <v>447</v>
      </c>
      <c r="C255" t="s">
        <v>453</v>
      </c>
      <c r="D255" t="s">
        <v>455</v>
      </c>
      <c r="E255" t="s">
        <v>406</v>
      </c>
      <c r="F255">
        <v>2</v>
      </c>
      <c r="G255">
        <v>12.87</v>
      </c>
      <c r="H255">
        <v>18.55</v>
      </c>
      <c r="I255">
        <v>13.97</v>
      </c>
      <c r="J255">
        <v>14.06</v>
      </c>
      <c r="K255">
        <v>13.71</v>
      </c>
    </row>
    <row r="256" spans="1:13">
      <c r="A256">
        <v>141</v>
      </c>
      <c r="B256" t="s">
        <v>447</v>
      </c>
      <c r="C256" t="s">
        <v>453</v>
      </c>
      <c r="D256" t="s">
        <v>455</v>
      </c>
      <c r="E256" t="s">
        <v>406</v>
      </c>
      <c r="F256">
        <v>2</v>
      </c>
      <c r="G256">
        <v>17.45</v>
      </c>
      <c r="H256">
        <v>11.96</v>
      </c>
      <c r="I256">
        <v>11.22</v>
      </c>
      <c r="J256">
        <v>14.85</v>
      </c>
      <c r="K256">
        <v>11.99</v>
      </c>
      <c r="L256">
        <v>11.98</v>
      </c>
      <c r="M256" t="s">
        <v>448</v>
      </c>
    </row>
    <row r="257" spans="1:11">
      <c r="A257">
        <v>142</v>
      </c>
      <c r="B257" t="s">
        <v>447</v>
      </c>
      <c r="C257" t="s">
        <v>453</v>
      </c>
      <c r="D257" t="s">
        <v>455</v>
      </c>
      <c r="E257" t="s">
        <v>406</v>
      </c>
      <c r="F257">
        <v>1.5</v>
      </c>
      <c r="G257">
        <v>11.26</v>
      </c>
      <c r="H257">
        <v>11.03</v>
      </c>
      <c r="I257">
        <v>17.46</v>
      </c>
      <c r="J257">
        <v>12.1</v>
      </c>
      <c r="K257">
        <v>13.07</v>
      </c>
    </row>
    <row r="258" spans="1:11">
      <c r="A258">
        <v>143</v>
      </c>
      <c r="B258" t="s">
        <v>447</v>
      </c>
      <c r="C258" t="s">
        <v>453</v>
      </c>
      <c r="D258" t="s">
        <v>455</v>
      </c>
      <c r="E258" t="s">
        <v>406</v>
      </c>
      <c r="F258">
        <v>1.5</v>
      </c>
      <c r="G258">
        <v>14.39</v>
      </c>
      <c r="H258">
        <v>14.78</v>
      </c>
      <c r="I258">
        <v>11.38</v>
      </c>
      <c r="J258">
        <v>14.34</v>
      </c>
      <c r="K258">
        <v>13.62</v>
      </c>
    </row>
    <row r="259" spans="1:11">
      <c r="A259">
        <v>144</v>
      </c>
      <c r="B259" t="s">
        <v>447</v>
      </c>
      <c r="C259" t="s">
        <v>453</v>
      </c>
      <c r="D259" t="s">
        <v>455</v>
      </c>
      <c r="E259" t="s">
        <v>406</v>
      </c>
      <c r="F259">
        <v>2</v>
      </c>
      <c r="G259">
        <v>13.2</v>
      </c>
      <c r="H259">
        <v>15.89</v>
      </c>
      <c r="I259">
        <v>15.05</v>
      </c>
      <c r="J259">
        <v>17.329999999999998</v>
      </c>
      <c r="K259">
        <v>15.5</v>
      </c>
    </row>
    <row r="260" spans="1:11">
      <c r="A260">
        <v>145</v>
      </c>
      <c r="B260" t="s">
        <v>447</v>
      </c>
      <c r="C260" t="s">
        <v>453</v>
      </c>
      <c r="D260" t="s">
        <v>455</v>
      </c>
      <c r="E260" t="s">
        <v>406</v>
      </c>
      <c r="F260">
        <v>1.5</v>
      </c>
      <c r="G260">
        <v>11.72</v>
      </c>
      <c r="H260">
        <v>15.47</v>
      </c>
      <c r="I260">
        <v>15.44</v>
      </c>
      <c r="J260">
        <v>12.98</v>
      </c>
      <c r="K260">
        <v>12.43</v>
      </c>
    </row>
    <row r="261" spans="1:11">
      <c r="A261">
        <v>146</v>
      </c>
      <c r="B261" t="s">
        <v>447</v>
      </c>
      <c r="C261" t="s">
        <v>453</v>
      </c>
      <c r="D261" t="s">
        <v>455</v>
      </c>
      <c r="E261" t="s">
        <v>406</v>
      </c>
      <c r="F261">
        <v>1.6</v>
      </c>
      <c r="G261">
        <v>13.68</v>
      </c>
      <c r="H261">
        <v>13.48</v>
      </c>
      <c r="I261">
        <v>15.94</v>
      </c>
      <c r="J261">
        <v>12.3</v>
      </c>
      <c r="K261">
        <v>11.93</v>
      </c>
    </row>
    <row r="262" spans="1:11">
      <c r="A262">
        <v>147</v>
      </c>
      <c r="B262" t="s">
        <v>447</v>
      </c>
      <c r="C262" t="s">
        <v>453</v>
      </c>
      <c r="D262" t="s">
        <v>455</v>
      </c>
      <c r="E262" t="s">
        <v>406</v>
      </c>
      <c r="F262">
        <v>1.6</v>
      </c>
      <c r="G262">
        <v>17.68</v>
      </c>
      <c r="H262">
        <v>13.67</v>
      </c>
      <c r="I262">
        <v>10.99</v>
      </c>
      <c r="J262">
        <v>13.92</v>
      </c>
      <c r="K262">
        <v>11.56</v>
      </c>
    </row>
    <row r="263" spans="1:11">
      <c r="A263">
        <v>148</v>
      </c>
      <c r="B263" t="s">
        <v>447</v>
      </c>
      <c r="C263" t="s">
        <v>453</v>
      </c>
      <c r="D263" t="s">
        <v>455</v>
      </c>
      <c r="E263" t="s">
        <v>406</v>
      </c>
      <c r="F263">
        <v>2</v>
      </c>
      <c r="G263">
        <v>19.350000000000001</v>
      </c>
      <c r="H263">
        <v>12.68</v>
      </c>
      <c r="I263">
        <v>13.67</v>
      </c>
      <c r="J263">
        <v>16.77</v>
      </c>
      <c r="K263">
        <v>13.6</v>
      </c>
    </row>
    <row r="264" spans="1:11">
      <c r="A264">
        <v>149</v>
      </c>
      <c r="B264" t="s">
        <v>447</v>
      </c>
      <c r="C264" t="s">
        <v>453</v>
      </c>
      <c r="D264" t="s">
        <v>455</v>
      </c>
      <c r="E264" t="s">
        <v>406</v>
      </c>
      <c r="F264">
        <v>1.1000000000000001</v>
      </c>
      <c r="G264">
        <v>14</v>
      </c>
      <c r="H264">
        <v>11.22</v>
      </c>
      <c r="I264">
        <v>13.1</v>
      </c>
      <c r="J264">
        <v>12.48</v>
      </c>
      <c r="K264">
        <v>12.22</v>
      </c>
    </row>
    <row r="265" spans="1:11">
      <c r="A265">
        <v>150</v>
      </c>
      <c r="B265" t="s">
        <v>447</v>
      </c>
      <c r="C265" t="s">
        <v>453</v>
      </c>
      <c r="D265" t="s">
        <v>455</v>
      </c>
      <c r="E265" t="s">
        <v>406</v>
      </c>
      <c r="F265">
        <v>1.9</v>
      </c>
      <c r="G265">
        <v>11.83</v>
      </c>
      <c r="H265">
        <v>14.58</v>
      </c>
      <c r="I265">
        <v>17.79</v>
      </c>
      <c r="J265">
        <v>13.98</v>
      </c>
      <c r="K265">
        <v>12.76</v>
      </c>
    </row>
    <row r="266" spans="1:11">
      <c r="A266">
        <v>151</v>
      </c>
      <c r="B266" t="s">
        <v>447</v>
      </c>
      <c r="C266" t="s">
        <v>453</v>
      </c>
      <c r="D266" t="s">
        <v>455</v>
      </c>
      <c r="E266" t="s">
        <v>406</v>
      </c>
      <c r="F266">
        <v>2</v>
      </c>
      <c r="G266">
        <v>18.07</v>
      </c>
      <c r="H266">
        <v>13.06</v>
      </c>
      <c r="I266">
        <v>12.4</v>
      </c>
      <c r="J266">
        <v>15.34</v>
      </c>
      <c r="K266">
        <v>12.62</v>
      </c>
    </row>
    <row r="267" spans="1:11">
      <c r="A267">
        <v>152</v>
      </c>
      <c r="B267" t="s">
        <v>447</v>
      </c>
      <c r="C267" t="s">
        <v>453</v>
      </c>
      <c r="D267" t="s">
        <v>455</v>
      </c>
      <c r="E267" t="s">
        <v>406</v>
      </c>
      <c r="F267">
        <v>1.3</v>
      </c>
      <c r="G267">
        <v>13.62</v>
      </c>
      <c r="H267">
        <v>14.94</v>
      </c>
      <c r="I267">
        <v>10.94</v>
      </c>
      <c r="J267">
        <v>13.69</v>
      </c>
      <c r="K267">
        <v>13.84</v>
      </c>
    </row>
    <row r="268" spans="1:11">
      <c r="A268">
        <v>153</v>
      </c>
      <c r="B268" t="s">
        <v>447</v>
      </c>
      <c r="C268" t="s">
        <v>453</v>
      </c>
      <c r="D268" t="s">
        <v>455</v>
      </c>
      <c r="E268" t="s">
        <v>406</v>
      </c>
      <c r="F268">
        <v>1.3</v>
      </c>
      <c r="G268">
        <v>15.69</v>
      </c>
      <c r="H268">
        <v>11.98</v>
      </c>
      <c r="I268">
        <v>13.14</v>
      </c>
      <c r="J268">
        <v>12.04</v>
      </c>
      <c r="K268">
        <v>12.63</v>
      </c>
    </row>
    <row r="269" spans="1:11">
      <c r="A269">
        <v>154</v>
      </c>
      <c r="B269" t="s">
        <v>447</v>
      </c>
      <c r="C269" t="s">
        <v>453</v>
      </c>
      <c r="D269" t="s">
        <v>455</v>
      </c>
      <c r="E269" t="s">
        <v>406</v>
      </c>
      <c r="F269">
        <v>1.3</v>
      </c>
      <c r="G269">
        <v>15.63</v>
      </c>
      <c r="H269">
        <v>11.03</v>
      </c>
      <c r="I269">
        <v>12.08</v>
      </c>
      <c r="J269">
        <v>13.5</v>
      </c>
      <c r="K269">
        <v>12.04</v>
      </c>
    </row>
    <row r="270" spans="1:11">
      <c r="A270">
        <v>155</v>
      </c>
      <c r="B270" t="s">
        <v>447</v>
      </c>
      <c r="C270" t="s">
        <v>453</v>
      </c>
      <c r="D270" t="s">
        <v>455</v>
      </c>
      <c r="E270" t="s">
        <v>406</v>
      </c>
      <c r="F270">
        <v>1.8</v>
      </c>
      <c r="G270">
        <v>16.36</v>
      </c>
      <c r="H270">
        <v>14.71</v>
      </c>
      <c r="I270">
        <v>11.74</v>
      </c>
      <c r="J270">
        <v>16.38</v>
      </c>
      <c r="K270">
        <v>12.41</v>
      </c>
    </row>
    <row r="271" spans="1:11">
      <c r="A271">
        <v>156</v>
      </c>
      <c r="B271" t="s">
        <v>447</v>
      </c>
      <c r="C271" t="s">
        <v>453</v>
      </c>
      <c r="D271" t="s">
        <v>455</v>
      </c>
      <c r="E271" t="s">
        <v>406</v>
      </c>
      <c r="F271">
        <v>1.3</v>
      </c>
      <c r="G271">
        <v>12.14</v>
      </c>
      <c r="H271">
        <v>11.4</v>
      </c>
      <c r="I271">
        <v>12.71</v>
      </c>
      <c r="J271">
        <v>12.07</v>
      </c>
      <c r="K271">
        <v>18.010000000000002</v>
      </c>
    </row>
    <row r="272" spans="1:11">
      <c r="A272">
        <v>157</v>
      </c>
      <c r="B272" t="s">
        <v>447</v>
      </c>
      <c r="C272" t="s">
        <v>453</v>
      </c>
      <c r="D272" t="s">
        <v>455</v>
      </c>
      <c r="E272" t="s">
        <v>406</v>
      </c>
      <c r="F272">
        <v>2.2000000000000002</v>
      </c>
      <c r="G272">
        <v>14.27</v>
      </c>
      <c r="H272">
        <v>11.43</v>
      </c>
      <c r="I272">
        <v>14.7</v>
      </c>
      <c r="J272">
        <v>15.37</v>
      </c>
      <c r="K272">
        <v>20.57</v>
      </c>
    </row>
    <row r="273" spans="1:36">
      <c r="A273" s="408">
        <v>158</v>
      </c>
      <c r="B273" s="408" t="s">
        <v>447</v>
      </c>
      <c r="C273" s="408" t="s">
        <v>453</v>
      </c>
      <c r="D273" s="408" t="s">
        <v>455</v>
      </c>
      <c r="E273" s="408" t="s">
        <v>406</v>
      </c>
      <c r="F273" s="408">
        <v>1.5</v>
      </c>
      <c r="G273" s="408">
        <v>17.12</v>
      </c>
      <c r="H273" s="408">
        <v>13.36</v>
      </c>
      <c r="I273" s="408">
        <v>13.98</v>
      </c>
      <c r="J273" s="408">
        <v>15</v>
      </c>
      <c r="K273" s="408">
        <v>6.94</v>
      </c>
      <c r="L273" s="408">
        <v>8.8699999999999992</v>
      </c>
      <c r="M273" s="408"/>
      <c r="N273" s="408"/>
      <c r="O273" s="408"/>
      <c r="P273" s="408"/>
      <c r="Q273" s="408"/>
      <c r="R273" s="408"/>
      <c r="S273" s="408"/>
      <c r="T273" s="408"/>
      <c r="U273" s="408"/>
      <c r="V273" s="408"/>
      <c r="W273" s="408"/>
      <c r="X273" s="408"/>
      <c r="Y273" s="408"/>
      <c r="Z273" s="408"/>
      <c r="AA273" s="408"/>
      <c r="AB273" s="408"/>
      <c r="AC273" s="408"/>
      <c r="AD273" s="408"/>
      <c r="AE273" s="408"/>
      <c r="AF273" s="408"/>
      <c r="AG273" s="408"/>
      <c r="AH273" s="408"/>
      <c r="AI273" s="408"/>
      <c r="AJ273" s="408"/>
    </row>
    <row r="274" spans="1:36">
      <c r="A274" s="406"/>
      <c r="B274" s="406"/>
      <c r="C274" s="406"/>
      <c r="D274" s="406"/>
      <c r="E274" s="406"/>
      <c r="F274" s="406"/>
      <c r="G274" s="406"/>
      <c r="H274" s="406"/>
      <c r="I274" s="406"/>
      <c r="J274" s="406"/>
      <c r="K274" s="406"/>
      <c r="L274" s="406"/>
      <c r="M274" s="406"/>
      <c r="N274" s="406"/>
      <c r="O274" s="406"/>
      <c r="P274" s="406"/>
      <c r="Q274" s="406"/>
      <c r="R274" s="406"/>
      <c r="S274" s="406"/>
      <c r="T274" s="406"/>
      <c r="U274" s="406"/>
      <c r="V274" s="406"/>
      <c r="W274" s="406"/>
      <c r="X274" s="406"/>
      <c r="Y274" s="406"/>
      <c r="Z274" s="406"/>
      <c r="AA274" s="406"/>
      <c r="AB274" s="406"/>
      <c r="AC274" s="406"/>
      <c r="AD274" s="406"/>
      <c r="AE274" s="406"/>
      <c r="AF274" s="406"/>
      <c r="AG274" s="406"/>
      <c r="AH274" s="406"/>
      <c r="AI274" s="406"/>
      <c r="AJ274" s="406"/>
    </row>
    <row r="275" spans="1:36">
      <c r="A275" t="s">
        <v>461</v>
      </c>
      <c r="B275" s="408" t="s">
        <v>471</v>
      </c>
      <c r="C275" s="408" t="s">
        <v>457</v>
      </c>
      <c r="D275" s="408" t="s">
        <v>467</v>
      </c>
      <c r="E275" s="408" t="s">
        <v>461</v>
      </c>
      <c r="F275" s="408" t="s">
        <v>461</v>
      </c>
      <c r="G275" s="408">
        <v>17.12</v>
      </c>
      <c r="H275" s="408">
        <v>15.68</v>
      </c>
      <c r="I275" s="408">
        <v>19.899999999999999</v>
      </c>
      <c r="J275" s="408">
        <v>16.100000000000001</v>
      </c>
      <c r="K275" s="408">
        <v>16.079999999999998</v>
      </c>
      <c r="L275" s="408">
        <v>14.64</v>
      </c>
      <c r="M275" s="408">
        <v>16.2</v>
      </c>
      <c r="N275" s="408">
        <v>10.15</v>
      </c>
      <c r="O275" s="408">
        <v>16.079999999999998</v>
      </c>
      <c r="P275" s="408">
        <v>16.55</v>
      </c>
      <c r="Q275" s="408">
        <v>15</v>
      </c>
      <c r="R275" s="408">
        <v>16.5</v>
      </c>
      <c r="S275" s="408">
        <v>19.23</v>
      </c>
      <c r="T275" s="408">
        <v>21.6</v>
      </c>
      <c r="U275" s="408">
        <v>20.95</v>
      </c>
      <c r="V275" s="408">
        <v>19.3</v>
      </c>
      <c r="W275" s="408">
        <v>16.600000000000001</v>
      </c>
      <c r="X275" s="408">
        <v>17.38</v>
      </c>
      <c r="Y275" s="408">
        <v>18.46</v>
      </c>
      <c r="Z275" s="408">
        <v>17.149999999999999</v>
      </c>
    </row>
    <row r="276" spans="1:36">
      <c r="A276" t="s">
        <v>461</v>
      </c>
      <c r="B276" s="408" t="s">
        <v>471</v>
      </c>
      <c r="C276" s="408" t="s">
        <v>457</v>
      </c>
      <c r="D276" s="408" t="s">
        <v>467</v>
      </c>
      <c r="E276" s="408" t="s">
        <v>461</v>
      </c>
      <c r="F276" s="408" t="s">
        <v>461</v>
      </c>
      <c r="G276" s="408">
        <v>17.05</v>
      </c>
      <c r="H276" s="408">
        <v>17.16</v>
      </c>
      <c r="I276" s="408">
        <v>20.75</v>
      </c>
      <c r="J276" s="408">
        <v>20.9</v>
      </c>
      <c r="K276" s="408">
        <v>18.899999999999999</v>
      </c>
      <c r="L276" s="408">
        <v>21.65</v>
      </c>
      <c r="M276" s="408">
        <v>15.58</v>
      </c>
      <c r="N276" s="408">
        <v>17.100000000000001</v>
      </c>
      <c r="O276" s="408">
        <v>19.399999999999999</v>
      </c>
      <c r="P276" s="408">
        <v>15.3</v>
      </c>
      <c r="Q276" s="408">
        <v>16.68</v>
      </c>
      <c r="R276" s="408">
        <v>16.25</v>
      </c>
      <c r="S276" s="408">
        <v>16.55</v>
      </c>
      <c r="T276" s="408">
        <v>19.7</v>
      </c>
      <c r="U276" s="408">
        <v>18.149999999999999</v>
      </c>
      <c r="V276" s="408">
        <v>14.6</v>
      </c>
      <c r="W276" s="408">
        <v>15.6</v>
      </c>
      <c r="X276" s="408">
        <v>13.4</v>
      </c>
      <c r="Y276" s="408">
        <v>13.65</v>
      </c>
      <c r="Z276" s="408">
        <v>15.75</v>
      </c>
    </row>
    <row r="277" spans="1:36">
      <c r="A277" t="s">
        <v>461</v>
      </c>
      <c r="B277" s="408" t="s">
        <v>471</v>
      </c>
      <c r="C277" s="408" t="s">
        <v>457</v>
      </c>
      <c r="D277" s="408" t="s">
        <v>467</v>
      </c>
      <c r="E277" s="408" t="s">
        <v>461</v>
      </c>
      <c r="F277" s="408" t="s">
        <v>461</v>
      </c>
      <c r="G277" s="408">
        <v>13.95</v>
      </c>
      <c r="H277" s="408">
        <v>14.45</v>
      </c>
      <c r="I277" s="408">
        <v>18.62</v>
      </c>
      <c r="J277" s="408">
        <v>16.25</v>
      </c>
      <c r="K277" s="408">
        <v>17.3</v>
      </c>
      <c r="L277" s="408">
        <v>13.4</v>
      </c>
      <c r="M277" s="408">
        <v>13.7</v>
      </c>
      <c r="N277" s="408">
        <v>13.3</v>
      </c>
      <c r="O277" s="408">
        <v>13.52</v>
      </c>
      <c r="P277" s="408">
        <v>14.5</v>
      </c>
      <c r="Q277" s="408">
        <v>15.32</v>
      </c>
      <c r="R277" s="408">
        <v>15.05</v>
      </c>
      <c r="S277" s="408">
        <v>14.75</v>
      </c>
      <c r="T277" s="408">
        <v>14.2</v>
      </c>
      <c r="U277" s="408">
        <v>11.95</v>
      </c>
      <c r="V277" s="408">
        <v>13</v>
      </c>
      <c r="W277" s="408">
        <v>9.15</v>
      </c>
      <c r="X277" s="408">
        <v>15.6</v>
      </c>
      <c r="Y277" s="408">
        <v>15.8</v>
      </c>
      <c r="Z277" s="408">
        <v>20.45</v>
      </c>
    </row>
    <row r="278" spans="1:36">
      <c r="A278" t="s">
        <v>461</v>
      </c>
      <c r="B278" s="408" t="s">
        <v>471</v>
      </c>
      <c r="C278" s="408" t="s">
        <v>457</v>
      </c>
      <c r="D278" s="408" t="s">
        <v>467</v>
      </c>
      <c r="E278" s="408" t="s">
        <v>461</v>
      </c>
      <c r="F278" s="408" t="s">
        <v>461</v>
      </c>
      <c r="G278" s="408">
        <v>13.45</v>
      </c>
      <c r="H278" s="408">
        <v>12.75</v>
      </c>
      <c r="I278" s="408">
        <v>14.48</v>
      </c>
      <c r="J278" s="408">
        <v>12</v>
      </c>
      <c r="K278" s="408">
        <v>12.73</v>
      </c>
      <c r="L278" s="408">
        <v>10.050000000000001</v>
      </c>
      <c r="M278" s="408">
        <v>11.35</v>
      </c>
      <c r="N278" s="408">
        <v>11.55</v>
      </c>
      <c r="O278" s="408">
        <v>10.75</v>
      </c>
      <c r="P278" s="408">
        <v>12.35</v>
      </c>
      <c r="Q278" s="408">
        <v>11.9</v>
      </c>
      <c r="R278" s="408">
        <v>13.02</v>
      </c>
      <c r="S278" s="408">
        <v>10.119999999999999</v>
      </c>
      <c r="T278" s="408">
        <v>8.8800000000000008</v>
      </c>
      <c r="U278" s="408">
        <v>8.85</v>
      </c>
      <c r="V278" s="408">
        <v>11.78</v>
      </c>
      <c r="W278">
        <v>9.1</v>
      </c>
      <c r="X278" s="408">
        <v>9.8000000000000007</v>
      </c>
      <c r="Y278" s="408">
        <v>12.95</v>
      </c>
      <c r="Z278" s="408">
        <v>8.0500000000000007</v>
      </c>
      <c r="AA278" s="408"/>
    </row>
    <row r="279" spans="1:36">
      <c r="A279" t="s">
        <v>461</v>
      </c>
      <c r="B279" s="408" t="s">
        <v>471</v>
      </c>
      <c r="C279" s="408" t="s">
        <v>457</v>
      </c>
      <c r="D279" s="408" t="s">
        <v>467</v>
      </c>
      <c r="E279" s="408" t="s">
        <v>461</v>
      </c>
      <c r="F279" s="408" t="s">
        <v>461</v>
      </c>
      <c r="G279" s="408">
        <v>4.05</v>
      </c>
      <c r="H279" s="408">
        <v>9.42</v>
      </c>
      <c r="I279" s="408">
        <v>10.69</v>
      </c>
      <c r="J279" s="408">
        <v>9.6</v>
      </c>
      <c r="K279" s="408">
        <v>9.52</v>
      </c>
      <c r="L279" s="408">
        <v>7.4</v>
      </c>
      <c r="M279" s="408">
        <v>8.4</v>
      </c>
      <c r="N279" s="408">
        <v>6.7</v>
      </c>
      <c r="O279" s="408">
        <v>8.4</v>
      </c>
      <c r="P279" s="408">
        <v>0.9</v>
      </c>
      <c r="Q279" s="408">
        <v>8.5</v>
      </c>
      <c r="R279" s="408">
        <v>8.82</v>
      </c>
      <c r="S279" s="408">
        <v>7.48</v>
      </c>
      <c r="T279" s="408">
        <v>6.7</v>
      </c>
      <c r="U279" s="408">
        <v>7.66</v>
      </c>
      <c r="V279" s="408">
        <v>10.1</v>
      </c>
      <c r="W279" s="408">
        <v>5.98</v>
      </c>
      <c r="X279" s="408">
        <v>6.4</v>
      </c>
      <c r="Y279" s="408">
        <v>5.05</v>
      </c>
      <c r="Z279" s="408">
        <v>5.6</v>
      </c>
    </row>
    <row r="280" spans="1:36">
      <c r="A280" t="s">
        <v>461</v>
      </c>
      <c r="B280" s="408" t="s">
        <v>471</v>
      </c>
      <c r="C280" s="408" t="s">
        <v>457</v>
      </c>
      <c r="D280" s="408" t="s">
        <v>467</v>
      </c>
      <c r="E280" s="408" t="s">
        <v>461</v>
      </c>
      <c r="F280" s="408" t="s">
        <v>461</v>
      </c>
      <c r="G280" s="408">
        <v>3.3</v>
      </c>
      <c r="H280" s="408">
        <v>6.58</v>
      </c>
      <c r="I280" s="408">
        <v>7.68</v>
      </c>
      <c r="J280" s="408"/>
    </row>
    <row r="281" spans="1:36">
      <c r="A281" t="s">
        <v>461</v>
      </c>
      <c r="B281" s="408" t="s">
        <v>470</v>
      </c>
      <c r="C281" s="408" t="s">
        <v>457</v>
      </c>
      <c r="D281" s="408" t="s">
        <v>468</v>
      </c>
      <c r="E281" s="408" t="s">
        <v>461</v>
      </c>
      <c r="F281" s="408" t="s">
        <v>461</v>
      </c>
      <c r="G281" s="408">
        <v>13.75</v>
      </c>
      <c r="H281" s="408">
        <v>14</v>
      </c>
      <c r="I281" s="408">
        <v>10.5</v>
      </c>
      <c r="J281" s="408">
        <v>14.3</v>
      </c>
      <c r="K281" s="408">
        <v>17.100000000000001</v>
      </c>
      <c r="L281" s="408">
        <v>17.2</v>
      </c>
      <c r="M281" s="408">
        <v>11.68</v>
      </c>
      <c r="N281" s="408">
        <v>14</v>
      </c>
      <c r="O281" s="408">
        <v>18.91</v>
      </c>
      <c r="P281" s="408">
        <v>12.85</v>
      </c>
      <c r="Q281" s="408">
        <v>7.52</v>
      </c>
      <c r="R281" s="408">
        <v>8.5</v>
      </c>
      <c r="S281" s="408">
        <v>10.95</v>
      </c>
      <c r="T281" s="408">
        <v>4.05</v>
      </c>
      <c r="U281" s="408">
        <v>7.08</v>
      </c>
      <c r="V281" s="408">
        <v>12.88</v>
      </c>
      <c r="W281" s="408">
        <v>13.97</v>
      </c>
      <c r="X281" s="408">
        <v>13</v>
      </c>
      <c r="Y281" s="408">
        <v>16.25</v>
      </c>
      <c r="Z281" s="408">
        <v>16.579999999999998</v>
      </c>
    </row>
    <row r="282" spans="1:36">
      <c r="A282" t="s">
        <v>461</v>
      </c>
      <c r="B282" s="408" t="s">
        <v>470</v>
      </c>
      <c r="C282" s="408" t="s">
        <v>457</v>
      </c>
      <c r="D282" s="408" t="s">
        <v>468</v>
      </c>
      <c r="E282" s="408" t="s">
        <v>461</v>
      </c>
      <c r="F282" s="408" t="s">
        <v>461</v>
      </c>
      <c r="G282" s="408">
        <v>10.92</v>
      </c>
      <c r="H282" s="408">
        <v>11.3</v>
      </c>
      <c r="I282" s="408">
        <v>9</v>
      </c>
      <c r="J282" s="408">
        <v>7.45</v>
      </c>
      <c r="K282" s="408">
        <v>10.199999999999999</v>
      </c>
      <c r="L282" s="408">
        <v>13</v>
      </c>
      <c r="M282" s="408">
        <v>11.28</v>
      </c>
      <c r="N282" s="408">
        <v>9.6</v>
      </c>
      <c r="O282" s="408">
        <v>12.58</v>
      </c>
      <c r="P282" s="408">
        <v>12.8</v>
      </c>
      <c r="Q282" s="408">
        <v>13.1</v>
      </c>
      <c r="R282" s="408">
        <v>17.8</v>
      </c>
      <c r="S282" s="408">
        <v>8.18</v>
      </c>
      <c r="T282" s="408">
        <v>10.5</v>
      </c>
      <c r="U282" s="408">
        <v>9.6999999999999993</v>
      </c>
      <c r="V282" s="408">
        <v>12</v>
      </c>
      <c r="W282" s="408">
        <v>5.58</v>
      </c>
      <c r="X282" s="408">
        <v>6.52</v>
      </c>
      <c r="Y282" s="408">
        <v>6.65</v>
      </c>
      <c r="Z282" s="408">
        <v>11.88</v>
      </c>
    </row>
    <row r="283" spans="1:36">
      <c r="A283" t="s">
        <v>461</v>
      </c>
      <c r="B283" s="408" t="s">
        <v>470</v>
      </c>
      <c r="C283" s="408" t="s">
        <v>457</v>
      </c>
      <c r="D283" s="408" t="s">
        <v>468</v>
      </c>
      <c r="E283" s="408" t="s">
        <v>461</v>
      </c>
      <c r="F283" s="408" t="s">
        <v>461</v>
      </c>
      <c r="G283" s="408">
        <v>9.85</v>
      </c>
      <c r="H283" s="408">
        <v>13.85</v>
      </c>
      <c r="I283" s="408">
        <v>15.1</v>
      </c>
      <c r="J283" s="408">
        <v>10.9</v>
      </c>
      <c r="K283" s="408">
        <v>9.5500000000000007</v>
      </c>
      <c r="L283" s="408">
        <v>7.55</v>
      </c>
      <c r="M283" s="408">
        <v>5.7</v>
      </c>
      <c r="N283" s="408">
        <v>12.25</v>
      </c>
      <c r="O283" s="408">
        <v>18.7</v>
      </c>
      <c r="P283" s="408">
        <v>11.52</v>
      </c>
      <c r="Q283" s="408">
        <v>13.1</v>
      </c>
      <c r="R283" s="408">
        <v>11.42</v>
      </c>
      <c r="S283" s="408">
        <v>9.48</v>
      </c>
      <c r="T283" s="408">
        <v>8.82</v>
      </c>
      <c r="U283" s="408">
        <v>6.82</v>
      </c>
      <c r="V283" s="408">
        <v>10.35</v>
      </c>
      <c r="W283" s="408">
        <v>4.9000000000000004</v>
      </c>
      <c r="X283" s="408">
        <v>13.25</v>
      </c>
      <c r="Y283" s="408">
        <v>10.6</v>
      </c>
      <c r="Z283" s="408">
        <v>9.6</v>
      </c>
    </row>
    <row r="284" spans="1:36">
      <c r="A284" t="s">
        <v>461</v>
      </c>
      <c r="B284" s="408" t="s">
        <v>470</v>
      </c>
      <c r="C284" s="408" t="s">
        <v>457</v>
      </c>
      <c r="D284" s="408" t="s">
        <v>468</v>
      </c>
      <c r="E284" s="408" t="s">
        <v>461</v>
      </c>
      <c r="F284" s="408" t="s">
        <v>461</v>
      </c>
      <c r="G284" s="408">
        <v>15.4</v>
      </c>
      <c r="H284" s="408">
        <v>12.7</v>
      </c>
      <c r="I284" s="408">
        <v>5.7</v>
      </c>
      <c r="J284" s="408">
        <v>6.85</v>
      </c>
      <c r="K284" s="408">
        <v>6.1</v>
      </c>
      <c r="L284" s="408">
        <v>10.25</v>
      </c>
      <c r="M284" s="408">
        <v>10.58</v>
      </c>
      <c r="N284" s="408">
        <v>11.95</v>
      </c>
      <c r="O284" s="408">
        <v>13.15</v>
      </c>
      <c r="P284" s="408">
        <v>8.0500000000000007</v>
      </c>
      <c r="Q284" s="408">
        <v>5.78</v>
      </c>
      <c r="R284" s="408">
        <v>11.5</v>
      </c>
      <c r="S284" s="408">
        <v>8.68</v>
      </c>
      <c r="T284" s="408">
        <v>8.1</v>
      </c>
      <c r="U284" s="408">
        <v>6.7</v>
      </c>
      <c r="V284" s="408">
        <v>6.55</v>
      </c>
      <c r="W284" s="408">
        <v>11.97</v>
      </c>
      <c r="X284" s="408">
        <v>14.2</v>
      </c>
      <c r="Y284" s="408">
        <v>6.3</v>
      </c>
      <c r="Z284" s="408">
        <v>7</v>
      </c>
    </row>
    <row r="285" spans="1:36">
      <c r="A285" t="s">
        <v>461</v>
      </c>
      <c r="B285" s="408" t="s">
        <v>470</v>
      </c>
      <c r="C285" s="408" t="s">
        <v>457</v>
      </c>
      <c r="D285" s="408" t="s">
        <v>468</v>
      </c>
      <c r="E285" s="408" t="s">
        <v>461</v>
      </c>
      <c r="F285" s="408" t="s">
        <v>461</v>
      </c>
      <c r="G285" s="408">
        <v>5.48</v>
      </c>
      <c r="H285" s="408">
        <v>9.85</v>
      </c>
      <c r="I285" s="408">
        <v>5.35</v>
      </c>
      <c r="J285" s="408">
        <v>3.4</v>
      </c>
      <c r="K285" s="408">
        <v>9.15</v>
      </c>
      <c r="L285" s="408">
        <v>4.95</v>
      </c>
      <c r="M285" s="408">
        <v>11.7</v>
      </c>
      <c r="N285" s="408">
        <v>10.220000000000001</v>
      </c>
      <c r="O285" s="408">
        <v>6.05</v>
      </c>
      <c r="P285" s="408">
        <v>14.22</v>
      </c>
      <c r="Q285" s="408">
        <v>16.600000000000001</v>
      </c>
      <c r="R285" s="408">
        <v>16.8</v>
      </c>
      <c r="S285" s="408">
        <v>11.9</v>
      </c>
      <c r="T285" s="408">
        <v>9.35</v>
      </c>
      <c r="U285" s="408">
        <v>6.2</v>
      </c>
      <c r="V285" s="408">
        <v>17.600000000000001</v>
      </c>
      <c r="W285" s="408">
        <v>7.4</v>
      </c>
      <c r="X285" s="408">
        <v>18.100000000000001</v>
      </c>
      <c r="Y285" s="408">
        <v>12.9</v>
      </c>
      <c r="Z285" s="408">
        <v>8.0500000000000007</v>
      </c>
    </row>
    <row r="286" spans="1:36">
      <c r="A286" t="s">
        <v>461</v>
      </c>
      <c r="B286" s="408" t="s">
        <v>476</v>
      </c>
      <c r="C286" s="408" t="s">
        <v>451</v>
      </c>
      <c r="D286" s="408" t="s">
        <v>454</v>
      </c>
      <c r="E286" s="408" t="s">
        <v>461</v>
      </c>
      <c r="F286" s="408" t="s">
        <v>461</v>
      </c>
      <c r="G286" s="408">
        <v>10.85</v>
      </c>
      <c r="H286" s="408">
        <v>6.6</v>
      </c>
      <c r="I286" s="408">
        <v>8.19</v>
      </c>
      <c r="J286" s="408">
        <v>7.75</v>
      </c>
      <c r="K286" s="408">
        <v>9.9</v>
      </c>
      <c r="L286" s="408">
        <v>7.75</v>
      </c>
      <c r="M286" s="408">
        <v>10.5</v>
      </c>
      <c r="N286" s="408">
        <v>4.3899999999999997</v>
      </c>
      <c r="O286" s="408">
        <v>7.62</v>
      </c>
      <c r="P286" s="408">
        <v>5.55</v>
      </c>
      <c r="Q286" s="408">
        <v>9.8000000000000007</v>
      </c>
      <c r="R286" s="408">
        <v>9.6999999999999993</v>
      </c>
      <c r="S286" s="408">
        <v>6.6</v>
      </c>
      <c r="T286" s="408">
        <v>4.0999999999999996</v>
      </c>
      <c r="U286" s="408">
        <v>7.4</v>
      </c>
      <c r="V286" s="408">
        <v>8.15</v>
      </c>
      <c r="W286" s="408">
        <v>9.1999999999999993</v>
      </c>
      <c r="X286" s="408">
        <v>5.2</v>
      </c>
      <c r="Y286" s="408">
        <v>9.85</v>
      </c>
      <c r="Z286" s="408">
        <v>8</v>
      </c>
    </row>
    <row r="287" spans="1:36">
      <c r="A287" t="s">
        <v>461</v>
      </c>
      <c r="B287" s="408" t="s">
        <v>466</v>
      </c>
      <c r="C287" s="408" t="s">
        <v>452</v>
      </c>
      <c r="D287" s="408" t="s">
        <v>468</v>
      </c>
      <c r="E287" s="408" t="s">
        <v>461</v>
      </c>
      <c r="F287" s="408" t="s">
        <v>461</v>
      </c>
      <c r="G287" s="408">
        <v>9.82</v>
      </c>
      <c r="H287" s="408">
        <v>5.82</v>
      </c>
      <c r="I287" s="408">
        <v>15.8</v>
      </c>
      <c r="J287" s="408">
        <v>5.03</v>
      </c>
      <c r="K287" s="408">
        <v>8.2899999999999991</v>
      </c>
      <c r="L287" s="408">
        <v>9.1</v>
      </c>
      <c r="M287" s="408">
        <v>7.69</v>
      </c>
      <c r="N287" s="408">
        <v>4.8</v>
      </c>
      <c r="O287" s="408">
        <v>3.2</v>
      </c>
      <c r="P287" s="408">
        <v>10.199999999999999</v>
      </c>
      <c r="Q287" s="408">
        <v>5.0999999999999996</v>
      </c>
      <c r="R287" s="408">
        <v>12.05</v>
      </c>
      <c r="S287">
        <v>5.82</v>
      </c>
      <c r="T287" s="408">
        <v>6.35</v>
      </c>
      <c r="U287" s="408">
        <v>5.92</v>
      </c>
      <c r="V287" s="408">
        <v>4.7</v>
      </c>
      <c r="W287" s="408">
        <v>8.1999999999999993</v>
      </c>
      <c r="X287" s="408">
        <v>6.6</v>
      </c>
      <c r="Y287" s="408">
        <v>4.8499999999999996</v>
      </c>
      <c r="Z287" s="408">
        <v>3.7</v>
      </c>
    </row>
    <row r="288" spans="1:36">
      <c r="A288" t="s">
        <v>461</v>
      </c>
      <c r="B288" s="408" t="s">
        <v>466</v>
      </c>
      <c r="C288" s="408" t="s">
        <v>452</v>
      </c>
      <c r="D288" s="408" t="s">
        <v>468</v>
      </c>
      <c r="E288" s="408" t="s">
        <v>461</v>
      </c>
      <c r="F288" s="408" t="s">
        <v>461</v>
      </c>
      <c r="G288" s="408">
        <v>3.9</v>
      </c>
      <c r="H288" s="408">
        <v>7.8</v>
      </c>
      <c r="I288" s="408">
        <v>9.0500000000000007</v>
      </c>
      <c r="J288" s="408">
        <v>7.68</v>
      </c>
      <c r="K288" s="408">
        <v>11.45</v>
      </c>
      <c r="L288" s="408">
        <v>8.15</v>
      </c>
      <c r="M288" s="408">
        <v>6.1</v>
      </c>
      <c r="N288" s="408">
        <v>7.4</v>
      </c>
      <c r="O288" s="408">
        <v>4.75</v>
      </c>
      <c r="P288" s="408">
        <v>7.95</v>
      </c>
      <c r="Q288" s="408">
        <v>5</v>
      </c>
      <c r="R288" s="408">
        <v>7.69</v>
      </c>
      <c r="S288" s="408">
        <v>7.3</v>
      </c>
      <c r="T288" s="408">
        <v>8.2899999999999991</v>
      </c>
      <c r="U288" s="408">
        <v>6.6</v>
      </c>
      <c r="V288" s="408">
        <v>7.6</v>
      </c>
      <c r="W288" s="408">
        <v>4.3</v>
      </c>
      <c r="X288" s="408">
        <v>4.4000000000000004</v>
      </c>
      <c r="Y288" s="408">
        <v>5.6</v>
      </c>
      <c r="Z288" s="408">
        <v>4.3499999999999996</v>
      </c>
    </row>
    <row r="289" spans="1:26">
      <c r="A289" t="s">
        <v>461</v>
      </c>
      <c r="B289" s="408" t="s">
        <v>466</v>
      </c>
      <c r="C289" s="408" t="s">
        <v>452</v>
      </c>
      <c r="D289" s="408" t="s">
        <v>468</v>
      </c>
      <c r="E289" s="408" t="s">
        <v>461</v>
      </c>
      <c r="F289" s="408" t="s">
        <v>461</v>
      </c>
      <c r="G289" s="408">
        <v>5.6</v>
      </c>
      <c r="H289" s="408">
        <v>8.85</v>
      </c>
      <c r="I289" s="408">
        <v>10.85</v>
      </c>
      <c r="J289" s="408">
        <v>6.95</v>
      </c>
      <c r="K289" s="408">
        <v>5.72</v>
      </c>
      <c r="L289" s="408">
        <v>3.4</v>
      </c>
      <c r="M289" s="408">
        <v>4</v>
      </c>
      <c r="N289" s="408">
        <v>5</v>
      </c>
      <c r="O289" s="408">
        <v>4.4000000000000004</v>
      </c>
      <c r="P289" s="408">
        <v>3.98</v>
      </c>
      <c r="Q289" s="408">
        <v>2.98</v>
      </c>
      <c r="R289" s="408">
        <v>2.75</v>
      </c>
      <c r="S289" s="408">
        <v>3.15</v>
      </c>
      <c r="T289" s="408">
        <v>10.02</v>
      </c>
      <c r="U289" s="408">
        <v>6.08</v>
      </c>
      <c r="V289" s="408">
        <v>10.5</v>
      </c>
      <c r="W289" s="408">
        <v>10.220000000000001</v>
      </c>
      <c r="X289" s="408">
        <v>5.71</v>
      </c>
      <c r="Y289" s="408">
        <v>8.9</v>
      </c>
      <c r="Z289" s="408">
        <v>5.92</v>
      </c>
    </row>
    <row r="290" spans="1:26">
      <c r="A290" t="s">
        <v>461</v>
      </c>
      <c r="B290" s="408" t="s">
        <v>466</v>
      </c>
      <c r="C290" s="408" t="s">
        <v>452</v>
      </c>
      <c r="D290" s="408" t="s">
        <v>468</v>
      </c>
      <c r="E290" s="408" t="s">
        <v>461</v>
      </c>
      <c r="F290" s="408" t="s">
        <v>461</v>
      </c>
      <c r="G290" s="408">
        <v>8.48</v>
      </c>
      <c r="H290" s="408">
        <v>8.75</v>
      </c>
      <c r="I290" s="408">
        <v>7.15</v>
      </c>
      <c r="J290" s="408">
        <v>8.02</v>
      </c>
      <c r="K290" s="408">
        <v>6.05</v>
      </c>
      <c r="L290" s="408">
        <v>7.65</v>
      </c>
      <c r="M290" s="408">
        <v>6.52</v>
      </c>
      <c r="N290" s="408">
        <v>6.52</v>
      </c>
      <c r="O290" s="408">
        <v>7.85</v>
      </c>
      <c r="P290" s="408">
        <v>7.1</v>
      </c>
      <c r="Q290" s="408">
        <v>6.92</v>
      </c>
      <c r="R290" s="408">
        <v>7.6</v>
      </c>
      <c r="S290" s="408">
        <v>5.55</v>
      </c>
      <c r="T290" s="408">
        <v>4.6500000000000004</v>
      </c>
      <c r="U290" s="408">
        <v>6.75</v>
      </c>
      <c r="V290" s="408">
        <v>5.72</v>
      </c>
      <c r="W290" s="408">
        <v>6.4</v>
      </c>
      <c r="X290" s="408">
        <v>5.4</v>
      </c>
      <c r="Y290" s="408">
        <v>4</v>
      </c>
      <c r="Z290" s="408">
        <v>6.4</v>
      </c>
    </row>
    <row r="291" spans="1:26">
      <c r="A291" t="s">
        <v>461</v>
      </c>
      <c r="B291" s="408" t="s">
        <v>466</v>
      </c>
      <c r="C291" s="408" t="s">
        <v>452</v>
      </c>
      <c r="D291" s="408" t="s">
        <v>468</v>
      </c>
      <c r="E291" s="408" t="s">
        <v>461</v>
      </c>
      <c r="F291" s="408" t="s">
        <v>461</v>
      </c>
      <c r="G291" s="408">
        <v>4.1500000000000004</v>
      </c>
      <c r="H291" s="408">
        <v>5.45</v>
      </c>
      <c r="I291" s="408">
        <v>3.3</v>
      </c>
      <c r="J291" s="408">
        <v>3.72</v>
      </c>
      <c r="K291" s="408">
        <v>4.5199999999999996</v>
      </c>
      <c r="L291" s="408">
        <v>2.7</v>
      </c>
      <c r="M291" s="408">
        <v>2.95</v>
      </c>
      <c r="N291" s="408">
        <v>2.7</v>
      </c>
      <c r="O291" s="408">
        <v>3.19</v>
      </c>
      <c r="P291" s="408">
        <v>3.45</v>
      </c>
      <c r="Q291" s="408">
        <v>3.3</v>
      </c>
      <c r="R291" s="408">
        <v>11.3</v>
      </c>
      <c r="S291" s="408">
        <v>9.15</v>
      </c>
      <c r="T291" s="408">
        <v>10.08</v>
      </c>
      <c r="U291" s="408">
        <v>5.8</v>
      </c>
      <c r="V291" s="408">
        <v>8.15</v>
      </c>
      <c r="W291" s="408">
        <v>8.68</v>
      </c>
      <c r="X291" s="408">
        <v>6.3</v>
      </c>
      <c r="Y291" s="408">
        <v>5.45</v>
      </c>
      <c r="Z291" s="408">
        <v>5.75</v>
      </c>
    </row>
    <row r="292" spans="1:26">
      <c r="A292" t="s">
        <v>461</v>
      </c>
      <c r="B292" s="408" t="s">
        <v>466</v>
      </c>
      <c r="C292" s="408" t="s">
        <v>452</v>
      </c>
      <c r="D292" s="408" t="s">
        <v>468</v>
      </c>
      <c r="E292" s="408" t="s">
        <v>461</v>
      </c>
      <c r="F292" s="408" t="s">
        <v>461</v>
      </c>
      <c r="G292" s="408">
        <v>5.55</v>
      </c>
      <c r="H292" s="408">
        <v>8.4</v>
      </c>
      <c r="I292" s="408">
        <v>6.85</v>
      </c>
      <c r="J292" s="408">
        <v>9.08</v>
      </c>
      <c r="K292" s="408">
        <v>11.9</v>
      </c>
      <c r="L292" s="408">
        <v>9.75</v>
      </c>
      <c r="M292" s="408">
        <v>7.45</v>
      </c>
      <c r="N292" s="408">
        <v>7.95</v>
      </c>
      <c r="O292" s="408">
        <v>9.18</v>
      </c>
      <c r="P292" s="408">
        <v>7.2</v>
      </c>
      <c r="Q292" s="408">
        <v>5.85</v>
      </c>
      <c r="R292" s="408">
        <v>5.15</v>
      </c>
      <c r="S292" s="408">
        <v>8.15</v>
      </c>
      <c r="T292" s="408">
        <v>6.42</v>
      </c>
      <c r="U292" s="408">
        <v>6.5</v>
      </c>
      <c r="V292" s="408">
        <v>4.05</v>
      </c>
      <c r="W292" s="408">
        <v>6.55</v>
      </c>
      <c r="X292" s="408">
        <v>5.65</v>
      </c>
      <c r="Y292" s="408">
        <v>5.9</v>
      </c>
      <c r="Z292" s="408">
        <v>4.45</v>
      </c>
    </row>
    <row r="293" spans="1:26">
      <c r="A293" t="s">
        <v>461</v>
      </c>
      <c r="B293" s="408" t="s">
        <v>466</v>
      </c>
      <c r="C293" s="408" t="s">
        <v>452</v>
      </c>
      <c r="D293" s="408" t="s">
        <v>468</v>
      </c>
      <c r="E293" s="408" t="s">
        <v>461</v>
      </c>
      <c r="F293" s="408" t="s">
        <v>461</v>
      </c>
      <c r="G293" s="408">
        <v>4.38</v>
      </c>
      <c r="H293" s="408">
        <v>4.0999999999999996</v>
      </c>
      <c r="I293" s="408">
        <v>3.55</v>
      </c>
      <c r="J293" s="408">
        <v>3.35</v>
      </c>
      <c r="K293" s="408">
        <v>3.95</v>
      </c>
      <c r="L293" s="408">
        <v>5.4</v>
      </c>
      <c r="M293" s="408">
        <v>11</v>
      </c>
      <c r="N293" s="408">
        <v>8.9</v>
      </c>
      <c r="O293" s="408">
        <v>6.9</v>
      </c>
      <c r="P293" s="408">
        <v>10.4</v>
      </c>
    </row>
    <row r="294" spans="1:26">
      <c r="A294" t="s">
        <v>461</v>
      </c>
      <c r="B294" s="408" t="s">
        <v>469</v>
      </c>
      <c r="C294" s="408" t="s">
        <v>452</v>
      </c>
      <c r="D294" s="408" t="s">
        <v>467</v>
      </c>
      <c r="E294" s="408" t="s">
        <v>461</v>
      </c>
      <c r="F294" s="408" t="s">
        <v>461</v>
      </c>
      <c r="G294" s="408">
        <v>9.65</v>
      </c>
      <c r="H294" s="408">
        <v>10.7</v>
      </c>
      <c r="I294" s="408">
        <v>5.57</v>
      </c>
      <c r="J294" s="408">
        <v>6.8</v>
      </c>
      <c r="K294" s="408">
        <v>8.8000000000000007</v>
      </c>
      <c r="L294" s="408">
        <v>5.99</v>
      </c>
      <c r="M294" s="408">
        <v>12.9</v>
      </c>
      <c r="N294" s="408">
        <v>3.75</v>
      </c>
      <c r="O294" s="408">
        <v>4.0999999999999996</v>
      </c>
      <c r="P294" s="408">
        <v>6.75</v>
      </c>
      <c r="Q294" s="408">
        <v>11.6</v>
      </c>
      <c r="R294" s="408">
        <v>15.5</v>
      </c>
      <c r="S294" s="408">
        <v>5.2</v>
      </c>
      <c r="T294" s="408">
        <v>7.48</v>
      </c>
      <c r="U294" s="408">
        <v>6.18</v>
      </c>
      <c r="V294" s="408">
        <v>14.1</v>
      </c>
      <c r="W294" s="408">
        <v>12.02</v>
      </c>
      <c r="X294" s="408">
        <v>5.08</v>
      </c>
      <c r="Y294" s="408">
        <v>3.68</v>
      </c>
      <c r="Z294" s="408">
        <v>5.95</v>
      </c>
    </row>
    <row r="295" spans="1:26">
      <c r="A295" t="s">
        <v>461</v>
      </c>
      <c r="B295" s="408" t="s">
        <v>469</v>
      </c>
      <c r="C295" s="408" t="s">
        <v>452</v>
      </c>
      <c r="D295" s="408" t="s">
        <v>467</v>
      </c>
      <c r="E295" s="408" t="s">
        <v>461</v>
      </c>
      <c r="F295" s="408" t="s">
        <v>461</v>
      </c>
      <c r="G295" s="408">
        <v>9.75</v>
      </c>
      <c r="H295" s="408">
        <v>13.45</v>
      </c>
      <c r="I295" s="408">
        <v>14.5</v>
      </c>
      <c r="J295" s="408">
        <v>11.2</v>
      </c>
      <c r="K295" s="408">
        <v>12.22</v>
      </c>
      <c r="L295" s="408">
        <v>7.45</v>
      </c>
      <c r="M295" s="408">
        <v>8.5</v>
      </c>
      <c r="N295" s="408">
        <v>4.5999999999999996</v>
      </c>
      <c r="O295" s="408">
        <v>5.3</v>
      </c>
      <c r="P295" s="408">
        <v>5.08</v>
      </c>
      <c r="Q295" s="408">
        <v>2.4500000000000002</v>
      </c>
      <c r="R295" s="408">
        <v>7.4</v>
      </c>
      <c r="S295" s="408">
        <v>6.55</v>
      </c>
      <c r="T295" s="408">
        <v>6.65</v>
      </c>
      <c r="U295" s="408">
        <v>12</v>
      </c>
      <c r="V295" s="408">
        <v>7.4</v>
      </c>
      <c r="W295" s="408">
        <v>6.7</v>
      </c>
      <c r="X295" s="408">
        <v>2.95</v>
      </c>
      <c r="Y295" s="408">
        <v>5.85</v>
      </c>
      <c r="Z295" s="408">
        <v>6.95</v>
      </c>
    </row>
    <row r="296" spans="1:26">
      <c r="A296" t="s">
        <v>461</v>
      </c>
      <c r="B296" s="408" t="s">
        <v>469</v>
      </c>
      <c r="C296" s="408" t="s">
        <v>452</v>
      </c>
      <c r="D296" s="408" t="s">
        <v>467</v>
      </c>
      <c r="E296" s="408" t="s">
        <v>461</v>
      </c>
      <c r="F296" s="408" t="s">
        <v>461</v>
      </c>
      <c r="G296" s="408">
        <v>6.95</v>
      </c>
      <c r="H296" s="408">
        <v>4.45</v>
      </c>
      <c r="I296" s="408">
        <v>6.71</v>
      </c>
      <c r="J296">
        <v>6.6</v>
      </c>
      <c r="K296" s="408">
        <v>5.75</v>
      </c>
      <c r="L296" s="408">
        <v>4.33</v>
      </c>
      <c r="M296" s="408">
        <v>3.4</v>
      </c>
      <c r="N296" s="408">
        <v>5.39</v>
      </c>
      <c r="O296" s="408">
        <v>3.35</v>
      </c>
      <c r="P296" s="408">
        <v>3.7</v>
      </c>
      <c r="Q296" s="408">
        <v>3.7</v>
      </c>
      <c r="R296" s="408">
        <v>4.55</v>
      </c>
      <c r="S296" s="408">
        <v>8.5500000000000007</v>
      </c>
      <c r="T296" s="408">
        <v>5.75</v>
      </c>
      <c r="U296" s="408">
        <v>4.05</v>
      </c>
      <c r="V296" s="408">
        <v>7.75</v>
      </c>
      <c r="W296" s="408">
        <v>6.6</v>
      </c>
      <c r="X296" s="408">
        <v>4.1500000000000004</v>
      </c>
      <c r="Y296" s="408">
        <v>2.4</v>
      </c>
      <c r="Z296" s="408">
        <v>4.0999999999999996</v>
      </c>
    </row>
    <row r="297" spans="1:26">
      <c r="A297" t="s">
        <v>461</v>
      </c>
      <c r="B297" s="408" t="s">
        <v>469</v>
      </c>
      <c r="C297" s="408" t="s">
        <v>452</v>
      </c>
      <c r="D297" s="408" t="s">
        <v>467</v>
      </c>
      <c r="E297" s="408" t="s">
        <v>461</v>
      </c>
      <c r="F297" s="408" t="s">
        <v>461</v>
      </c>
      <c r="G297" s="408">
        <v>2.5</v>
      </c>
      <c r="H297" s="408">
        <v>3.3</v>
      </c>
      <c r="I297" s="408">
        <v>4.72</v>
      </c>
      <c r="J297" s="408">
        <v>3.9</v>
      </c>
      <c r="K297" s="408">
        <v>4.05</v>
      </c>
      <c r="L297" s="408">
        <v>2.65</v>
      </c>
      <c r="M297" s="408">
        <v>3.35</v>
      </c>
      <c r="N297" s="408">
        <v>6.6</v>
      </c>
      <c r="O297" s="408">
        <v>13.5</v>
      </c>
      <c r="P297" s="408">
        <v>6.92</v>
      </c>
      <c r="Q297" s="408">
        <v>5.4</v>
      </c>
      <c r="R297" s="408">
        <v>5.98</v>
      </c>
      <c r="S297" s="408">
        <v>11.2</v>
      </c>
      <c r="T297" s="408">
        <v>4.6500000000000004</v>
      </c>
      <c r="U297" s="408">
        <v>7.95</v>
      </c>
      <c r="V297" s="408">
        <v>8.8000000000000007</v>
      </c>
      <c r="W297" s="408">
        <v>6.32</v>
      </c>
      <c r="X297" s="408">
        <v>5.42</v>
      </c>
      <c r="Y297" s="408">
        <v>7.43</v>
      </c>
      <c r="Z297" s="408">
        <v>10.52</v>
      </c>
    </row>
    <row r="298" spans="1:26">
      <c r="A298" t="s">
        <v>461</v>
      </c>
      <c r="B298" s="408" t="s">
        <v>469</v>
      </c>
      <c r="C298" s="408" t="s">
        <v>452</v>
      </c>
      <c r="D298" s="408" t="s">
        <v>467</v>
      </c>
      <c r="E298" s="408" t="s">
        <v>461</v>
      </c>
      <c r="F298" s="408" t="s">
        <v>461</v>
      </c>
      <c r="G298" s="408">
        <v>9.2899999999999991</v>
      </c>
      <c r="H298" s="408">
        <v>12.85</v>
      </c>
      <c r="I298" s="408">
        <v>6.72</v>
      </c>
      <c r="J298" s="408">
        <v>8</v>
      </c>
      <c r="K298" s="408">
        <v>3.92</v>
      </c>
      <c r="L298" s="408">
        <v>7.98</v>
      </c>
      <c r="M298" s="408">
        <v>8.4</v>
      </c>
      <c r="N298" s="408">
        <v>13.78</v>
      </c>
      <c r="O298" s="408">
        <v>5.2</v>
      </c>
      <c r="P298" s="408">
        <v>5.79</v>
      </c>
      <c r="Q298" s="408">
        <v>8.82</v>
      </c>
      <c r="R298" s="408">
        <v>4.93</v>
      </c>
      <c r="S298" s="408">
        <v>7.15</v>
      </c>
      <c r="T298" s="408">
        <v>6.6</v>
      </c>
      <c r="U298" s="408">
        <v>5.12</v>
      </c>
      <c r="V298" s="408">
        <v>5.35</v>
      </c>
      <c r="W298" s="408">
        <v>5.45</v>
      </c>
      <c r="X298" s="408">
        <v>7.8</v>
      </c>
      <c r="Y298" s="408">
        <v>6.25</v>
      </c>
      <c r="Z298" s="408">
        <v>6.85</v>
      </c>
    </row>
    <row r="299" spans="1:26">
      <c r="A299" t="s">
        <v>461</v>
      </c>
      <c r="B299" s="408" t="s">
        <v>469</v>
      </c>
      <c r="C299" s="408" t="s">
        <v>452</v>
      </c>
      <c r="D299" s="408" t="s">
        <v>467</v>
      </c>
      <c r="E299" s="408" t="s">
        <v>461</v>
      </c>
      <c r="F299" s="408" t="s">
        <v>461</v>
      </c>
      <c r="G299" s="408">
        <v>10.65</v>
      </c>
      <c r="H299" s="408">
        <v>10.6</v>
      </c>
      <c r="I299" s="408">
        <v>4.58</v>
      </c>
      <c r="J299" s="408">
        <v>5.95</v>
      </c>
      <c r="K299" s="408">
        <v>11.7</v>
      </c>
      <c r="L299" s="408">
        <v>6.95</v>
      </c>
      <c r="M299" s="408">
        <v>10.3</v>
      </c>
      <c r="N299" s="408">
        <v>4.0999999999999996</v>
      </c>
      <c r="O299" s="408">
        <v>7.02</v>
      </c>
      <c r="P299" s="408">
        <v>5.29</v>
      </c>
      <c r="Q299" s="408">
        <v>4.17</v>
      </c>
      <c r="R299" s="408">
        <v>2.35</v>
      </c>
      <c r="S299" s="408">
        <v>5.25</v>
      </c>
      <c r="T299" s="408">
        <v>3.7</v>
      </c>
      <c r="U299" s="408">
        <v>4.0999999999999996</v>
      </c>
      <c r="V299" s="408">
        <v>5.92</v>
      </c>
      <c r="W299" s="408">
        <v>3.9</v>
      </c>
      <c r="X299" s="408">
        <v>3.72</v>
      </c>
      <c r="Y299" s="408">
        <v>9.5500000000000007</v>
      </c>
      <c r="Z299" s="408">
        <v>5.5</v>
      </c>
    </row>
    <row r="300" spans="1:26">
      <c r="A300" t="s">
        <v>461</v>
      </c>
      <c r="B300" s="408" t="s">
        <v>469</v>
      </c>
      <c r="C300" s="408" t="s">
        <v>452</v>
      </c>
      <c r="D300" s="408" t="s">
        <v>467</v>
      </c>
      <c r="E300" s="408" t="s">
        <v>461</v>
      </c>
      <c r="F300" s="408" t="s">
        <v>461</v>
      </c>
      <c r="G300" s="408">
        <v>4.5</v>
      </c>
      <c r="H300" s="408">
        <v>2.9</v>
      </c>
      <c r="I300" s="408">
        <v>4.63</v>
      </c>
      <c r="J300" s="408">
        <v>11.22</v>
      </c>
      <c r="K300" s="408">
        <v>6.72</v>
      </c>
      <c r="L300" s="408">
        <v>13.25</v>
      </c>
      <c r="M300" s="408">
        <v>9.6</v>
      </c>
      <c r="N300" s="408">
        <v>11.3</v>
      </c>
      <c r="O300" s="408">
        <v>7.18</v>
      </c>
      <c r="P300" s="408">
        <v>4.3499999999999996</v>
      </c>
      <c r="Q300" s="408">
        <v>6.35</v>
      </c>
      <c r="R300" s="408">
        <v>6.48</v>
      </c>
      <c r="S300" s="408">
        <v>5.6</v>
      </c>
      <c r="T300" s="408">
        <v>5.05</v>
      </c>
      <c r="U300" s="408">
        <v>5.7</v>
      </c>
      <c r="V300" s="408">
        <v>4.0999999999999996</v>
      </c>
      <c r="W300" s="408">
        <v>5.12</v>
      </c>
      <c r="X300" s="408">
        <v>4.9800000000000004</v>
      </c>
      <c r="Y300" s="408">
        <v>4.99</v>
      </c>
      <c r="Z300" s="408">
        <v>4.45</v>
      </c>
    </row>
    <row r="301" spans="1:26">
      <c r="A301" t="s">
        <v>461</v>
      </c>
      <c r="B301" s="408" t="s">
        <v>469</v>
      </c>
      <c r="C301" s="408" t="s">
        <v>452</v>
      </c>
      <c r="D301" s="408" t="s">
        <v>467</v>
      </c>
      <c r="E301" s="408" t="s">
        <v>461</v>
      </c>
      <c r="F301" s="408" t="s">
        <v>461</v>
      </c>
      <c r="G301" s="408">
        <v>4.4000000000000004</v>
      </c>
      <c r="H301" s="408">
        <v>4.1500000000000004</v>
      </c>
      <c r="I301" s="408">
        <v>4.71</v>
      </c>
      <c r="J301" s="408">
        <v>5.78</v>
      </c>
      <c r="K301" s="408">
        <v>3.49</v>
      </c>
      <c r="L301" s="408">
        <v>5.15</v>
      </c>
      <c r="M301" s="408">
        <v>3.95</v>
      </c>
      <c r="N301" s="408">
        <v>5.05</v>
      </c>
      <c r="O301" s="408">
        <v>4.95</v>
      </c>
      <c r="P301" s="408">
        <v>6.15</v>
      </c>
      <c r="Q301" s="408">
        <v>4.49</v>
      </c>
      <c r="R301" s="408">
        <v>3.48</v>
      </c>
      <c r="S301" s="408">
        <v>4.7300000000000004</v>
      </c>
      <c r="T301" s="408">
        <v>3.85</v>
      </c>
      <c r="U301" s="408">
        <v>3.35</v>
      </c>
      <c r="V301" s="408">
        <v>4.2</v>
      </c>
      <c r="W301" s="408">
        <v>4.1500000000000004</v>
      </c>
      <c r="X301" s="408">
        <v>3.35</v>
      </c>
      <c r="Y301" s="408">
        <v>3.49</v>
      </c>
      <c r="Z301" s="408">
        <v>2.52</v>
      </c>
    </row>
    <row r="302" spans="1:26">
      <c r="A302" t="s">
        <v>461</v>
      </c>
      <c r="B302" s="408" t="s">
        <v>469</v>
      </c>
      <c r="C302" s="408" t="s">
        <v>452</v>
      </c>
      <c r="D302" s="408" t="s">
        <v>467</v>
      </c>
      <c r="E302" s="408" t="s">
        <v>461</v>
      </c>
      <c r="F302" s="408" t="s">
        <v>461</v>
      </c>
      <c r="G302" s="408">
        <v>4.05</v>
      </c>
      <c r="H302" s="408">
        <v>3.05</v>
      </c>
      <c r="I302" s="408">
        <v>3.6</v>
      </c>
      <c r="J302" s="408">
        <v>2.2999999999999998</v>
      </c>
      <c r="K302" s="408">
        <v>11.6</v>
      </c>
      <c r="L302" s="408">
        <v>11.4</v>
      </c>
      <c r="M302" s="408">
        <v>13.65</v>
      </c>
      <c r="N302" s="408">
        <v>11.42</v>
      </c>
      <c r="O302" s="408">
        <v>8.99</v>
      </c>
      <c r="P302" s="408">
        <v>9.69</v>
      </c>
      <c r="Q302" s="408">
        <v>7.75</v>
      </c>
      <c r="R302" s="408">
        <v>7.73</v>
      </c>
      <c r="S302" s="408">
        <v>6.8</v>
      </c>
      <c r="T302" s="408">
        <v>7.43</v>
      </c>
      <c r="U302" s="408">
        <v>10.48</v>
      </c>
      <c r="V302" s="408">
        <v>5.72</v>
      </c>
      <c r="W302" s="408">
        <v>6.75</v>
      </c>
      <c r="X302" s="408">
        <v>6.5</v>
      </c>
      <c r="Y302" s="408">
        <v>5.38</v>
      </c>
      <c r="Z302" s="408">
        <v>3.62</v>
      </c>
    </row>
    <row r="303" spans="1:26">
      <c r="A303" t="s">
        <v>461</v>
      </c>
      <c r="B303" s="408" t="s">
        <v>469</v>
      </c>
      <c r="C303" s="408" t="s">
        <v>452</v>
      </c>
      <c r="D303" s="408" t="s">
        <v>467</v>
      </c>
      <c r="E303" s="408" t="s">
        <v>461</v>
      </c>
      <c r="F303" s="408" t="s">
        <v>461</v>
      </c>
      <c r="G303" s="408">
        <v>4.49</v>
      </c>
      <c r="H303" s="408">
        <v>5.65</v>
      </c>
      <c r="I303" s="408">
        <v>6.02</v>
      </c>
      <c r="J303" s="408">
        <v>6.2</v>
      </c>
      <c r="K303" s="408">
        <v>4.95</v>
      </c>
      <c r="L303" s="408">
        <v>5.08</v>
      </c>
      <c r="M303" s="408">
        <v>4.4000000000000004</v>
      </c>
      <c r="N303" s="408">
        <v>2.25</v>
      </c>
      <c r="O303" s="408">
        <v>2.0499999999999998</v>
      </c>
      <c r="P303" s="408">
        <v>7.4</v>
      </c>
      <c r="Q303" s="408">
        <v>9.85</v>
      </c>
      <c r="R303" s="408">
        <v>7.13</v>
      </c>
      <c r="S303" s="408">
        <v>11.08</v>
      </c>
      <c r="T303" s="408">
        <v>5.85</v>
      </c>
      <c r="U303" s="408">
        <v>13.9</v>
      </c>
      <c r="V303" s="408">
        <v>13.12</v>
      </c>
      <c r="W303" s="408">
        <v>11.93</v>
      </c>
      <c r="X303" s="408">
        <v>8.1</v>
      </c>
      <c r="Y303" s="408">
        <v>8.1199999999999992</v>
      </c>
      <c r="Z303" s="408">
        <v>10.65</v>
      </c>
    </row>
    <row r="304" spans="1:26">
      <c r="A304" t="s">
        <v>461</v>
      </c>
      <c r="B304" s="408" t="s">
        <v>469</v>
      </c>
      <c r="C304" s="408" t="s">
        <v>452</v>
      </c>
      <c r="D304" s="408" t="s">
        <v>467</v>
      </c>
      <c r="E304" s="408" t="s">
        <v>461</v>
      </c>
      <c r="F304" s="408" t="s">
        <v>461</v>
      </c>
      <c r="G304" s="408">
        <v>14.58</v>
      </c>
      <c r="H304" s="408">
        <v>9.15</v>
      </c>
      <c r="I304" s="408">
        <v>6.82</v>
      </c>
      <c r="J304" s="408">
        <v>4.68</v>
      </c>
      <c r="K304" s="408">
        <v>5.52</v>
      </c>
      <c r="L304" s="408">
        <v>6.2</v>
      </c>
      <c r="M304" s="408">
        <v>5.9</v>
      </c>
      <c r="N304" s="408">
        <v>6.98</v>
      </c>
      <c r="O304" s="408">
        <v>5.75</v>
      </c>
      <c r="P304" s="408">
        <v>6</v>
      </c>
      <c r="Q304" s="408">
        <v>4.51</v>
      </c>
      <c r="R304" s="408">
        <v>4.6500000000000004</v>
      </c>
      <c r="S304" s="408">
        <v>2.0499999999999998</v>
      </c>
      <c r="T304" s="408">
        <v>2.5299999999999998</v>
      </c>
      <c r="U304" s="408">
        <v>2.4900000000000002</v>
      </c>
      <c r="V304" s="408">
        <v>2.25</v>
      </c>
      <c r="W304" s="408">
        <v>2.2200000000000002</v>
      </c>
      <c r="X304" s="408">
        <v>2.2999999999999998</v>
      </c>
      <c r="Y304" s="408">
        <v>2.48</v>
      </c>
      <c r="Z304" s="408">
        <v>1.7</v>
      </c>
    </row>
    <row r="305" spans="1:30">
      <c r="A305" t="s">
        <v>461</v>
      </c>
      <c r="B305" s="408" t="s">
        <v>469</v>
      </c>
      <c r="C305" s="408" t="s">
        <v>452</v>
      </c>
      <c r="D305" s="408" t="s">
        <v>467</v>
      </c>
      <c r="E305" s="408" t="s">
        <v>461</v>
      </c>
      <c r="F305" s="408" t="s">
        <v>461</v>
      </c>
      <c r="G305" s="408">
        <v>9.8000000000000007</v>
      </c>
      <c r="H305" s="408">
        <v>11.63</v>
      </c>
      <c r="I305" s="408">
        <v>11.3</v>
      </c>
      <c r="J305" s="408">
        <v>11.15</v>
      </c>
      <c r="K305" s="408">
        <v>9.8000000000000007</v>
      </c>
      <c r="L305" s="408">
        <v>9.4499999999999993</v>
      </c>
      <c r="M305" s="408">
        <v>12.72</v>
      </c>
      <c r="N305" s="408">
        <v>8.9499999999999993</v>
      </c>
      <c r="O305" s="408">
        <v>6.2</v>
      </c>
      <c r="P305" s="408">
        <v>8.31</v>
      </c>
      <c r="Q305" s="408">
        <v>7.9</v>
      </c>
      <c r="R305" s="408">
        <v>6.12</v>
      </c>
      <c r="S305" s="408">
        <v>4.95</v>
      </c>
      <c r="T305" s="408">
        <v>6.18</v>
      </c>
      <c r="U305" s="408">
        <v>5.85</v>
      </c>
      <c r="V305" s="408">
        <v>6.88</v>
      </c>
      <c r="W305" s="408">
        <v>5.9</v>
      </c>
      <c r="X305" s="408">
        <v>4.75</v>
      </c>
      <c r="Y305" s="408">
        <v>4.88</v>
      </c>
      <c r="Z305" s="408">
        <v>2.89</v>
      </c>
    </row>
    <row r="306" spans="1:30">
      <c r="A306" t="s">
        <v>461</v>
      </c>
      <c r="B306" s="408" t="s">
        <v>469</v>
      </c>
      <c r="C306" s="408" t="s">
        <v>452</v>
      </c>
      <c r="D306" s="408" t="s">
        <v>467</v>
      </c>
      <c r="E306" s="408" t="s">
        <v>461</v>
      </c>
      <c r="F306" s="408" t="s">
        <v>461</v>
      </c>
      <c r="G306" s="408">
        <v>3.02</v>
      </c>
      <c r="H306" s="408">
        <v>4</v>
      </c>
      <c r="I306" s="408">
        <v>4.22</v>
      </c>
      <c r="J306" s="408">
        <v>9.9499999999999993</v>
      </c>
      <c r="K306" s="408">
        <v>11.68</v>
      </c>
      <c r="L306" s="408">
        <v>9.1199999999999992</v>
      </c>
      <c r="M306" s="408">
        <v>6.87</v>
      </c>
      <c r="N306" s="408">
        <v>7.98</v>
      </c>
      <c r="O306" s="408">
        <v>4.3499999999999996</v>
      </c>
      <c r="P306" s="408">
        <v>5.12</v>
      </c>
      <c r="Q306" s="408">
        <v>6.82</v>
      </c>
      <c r="R306" s="408">
        <v>5.69</v>
      </c>
      <c r="S306" s="408">
        <v>5.89</v>
      </c>
      <c r="T306" s="408">
        <v>8.92</v>
      </c>
      <c r="U306" s="408">
        <v>6.13</v>
      </c>
      <c r="V306" s="408">
        <v>8.57</v>
      </c>
      <c r="W306" s="408">
        <v>7.25</v>
      </c>
      <c r="X306" s="408">
        <v>3.93</v>
      </c>
      <c r="Y306" s="408">
        <v>6.29</v>
      </c>
      <c r="Z306" s="408">
        <v>5.82</v>
      </c>
    </row>
    <row r="307" spans="1:30">
      <c r="A307" t="s">
        <v>461</v>
      </c>
      <c r="B307" s="418" t="s">
        <v>469</v>
      </c>
      <c r="C307" s="408" t="s">
        <v>452</v>
      </c>
      <c r="D307" s="408" t="s">
        <v>467</v>
      </c>
      <c r="E307" s="408" t="s">
        <v>461</v>
      </c>
      <c r="F307" s="408" t="s">
        <v>461</v>
      </c>
      <c r="G307" s="408">
        <v>4.68</v>
      </c>
      <c r="H307" s="408">
        <v>6.35</v>
      </c>
      <c r="I307" s="408">
        <v>7.48</v>
      </c>
      <c r="J307" s="408">
        <v>5.65</v>
      </c>
      <c r="K307" s="408">
        <v>9.7899999999999991</v>
      </c>
      <c r="L307" s="408">
        <v>8.49</v>
      </c>
      <c r="M307" s="408">
        <v>6.71</v>
      </c>
      <c r="N307" s="408">
        <v>5.4</v>
      </c>
      <c r="O307" s="408">
        <v>7.5</v>
      </c>
      <c r="P307" s="408">
        <v>6.95</v>
      </c>
      <c r="Q307" s="408">
        <v>5.28</v>
      </c>
      <c r="R307" s="408">
        <v>4.7</v>
      </c>
      <c r="S307" s="408">
        <v>4.99</v>
      </c>
      <c r="T307" s="408">
        <v>6.72</v>
      </c>
      <c r="U307" s="408">
        <v>5.7</v>
      </c>
      <c r="V307" s="408">
        <v>4.6500000000000004</v>
      </c>
      <c r="W307" s="408">
        <v>4.4000000000000004</v>
      </c>
      <c r="X307" s="408">
        <v>4.82</v>
      </c>
      <c r="Y307" s="408">
        <v>5.0199999999999996</v>
      </c>
      <c r="Z307" s="408">
        <v>6.25</v>
      </c>
    </row>
    <row r="308" spans="1:30">
      <c r="A308" t="s">
        <v>461</v>
      </c>
      <c r="B308" t="s">
        <v>479</v>
      </c>
      <c r="C308" t="s">
        <v>453</v>
      </c>
      <c r="D308" t="s">
        <v>454</v>
      </c>
      <c r="E308" t="s">
        <v>461</v>
      </c>
      <c r="F308" t="s">
        <v>461</v>
      </c>
      <c r="G308">
        <v>12.73</v>
      </c>
      <c r="H308">
        <v>12.15</v>
      </c>
      <c r="I308">
        <v>12.7</v>
      </c>
      <c r="J308">
        <v>9.6</v>
      </c>
      <c r="K308">
        <v>6.73</v>
      </c>
      <c r="L308">
        <v>10.86</v>
      </c>
      <c r="M308">
        <v>9.08</v>
      </c>
      <c r="N308">
        <v>12.14</v>
      </c>
      <c r="O308">
        <v>11.47</v>
      </c>
      <c r="P308">
        <v>8.94</v>
      </c>
      <c r="Q308">
        <v>14.31</v>
      </c>
      <c r="R308">
        <v>14.91</v>
      </c>
      <c r="S308">
        <v>15.25</v>
      </c>
      <c r="T308">
        <v>11.63</v>
      </c>
      <c r="U308">
        <v>11.95</v>
      </c>
      <c r="V308">
        <v>10.3</v>
      </c>
      <c r="W308">
        <v>9.52</v>
      </c>
      <c r="X308">
        <v>21.13</v>
      </c>
      <c r="Y308">
        <v>12.32</v>
      </c>
      <c r="Z308">
        <v>12.42</v>
      </c>
    </row>
    <row r="309" spans="1:30">
      <c r="A309" t="s">
        <v>461</v>
      </c>
      <c r="B309" t="s">
        <v>479</v>
      </c>
      <c r="C309" t="s">
        <v>453</v>
      </c>
      <c r="D309" t="s">
        <v>454</v>
      </c>
      <c r="E309" t="s">
        <v>461</v>
      </c>
      <c r="F309" t="s">
        <v>461</v>
      </c>
      <c r="G309">
        <v>14.01</v>
      </c>
      <c r="H309">
        <v>14.77</v>
      </c>
      <c r="I309">
        <v>15.7</v>
      </c>
      <c r="J309">
        <v>16.399999999999999</v>
      </c>
      <c r="K309">
        <v>10.74</v>
      </c>
      <c r="L309">
        <v>16.88</v>
      </c>
      <c r="M309">
        <v>12.83</v>
      </c>
      <c r="N309">
        <v>11.76</v>
      </c>
      <c r="O309">
        <v>8.89</v>
      </c>
      <c r="P309">
        <v>10.17</v>
      </c>
      <c r="Q309">
        <v>14.85</v>
      </c>
      <c r="R309">
        <v>14.11</v>
      </c>
      <c r="S309">
        <v>12.85</v>
      </c>
      <c r="T309">
        <v>11.3</v>
      </c>
      <c r="U309">
        <v>11.29</v>
      </c>
      <c r="V309">
        <v>10.18</v>
      </c>
      <c r="W309">
        <v>11.06</v>
      </c>
      <c r="X309">
        <v>10.76</v>
      </c>
      <c r="Y309">
        <v>9.91</v>
      </c>
      <c r="Z309">
        <v>12.17</v>
      </c>
    </row>
    <row r="310" spans="1:30">
      <c r="A310" t="s">
        <v>461</v>
      </c>
      <c r="B310" t="s">
        <v>479</v>
      </c>
      <c r="C310" t="s">
        <v>453</v>
      </c>
      <c r="D310" t="s">
        <v>454</v>
      </c>
      <c r="E310" t="s">
        <v>461</v>
      </c>
      <c r="F310" t="s">
        <v>461</v>
      </c>
      <c r="G310">
        <v>8.52</v>
      </c>
      <c r="H310">
        <v>8.86</v>
      </c>
      <c r="I310">
        <v>8.1199999999999992</v>
      </c>
      <c r="J310">
        <v>8.7799999999999994</v>
      </c>
    </row>
    <row r="311" spans="1:30">
      <c r="A311" t="s">
        <v>461</v>
      </c>
      <c r="B311" t="s">
        <v>479</v>
      </c>
      <c r="C311" t="s">
        <v>453</v>
      </c>
      <c r="D311" t="s">
        <v>454</v>
      </c>
      <c r="E311" t="s">
        <v>461</v>
      </c>
      <c r="F311" t="s">
        <v>461</v>
      </c>
      <c r="G311">
        <v>16.72</v>
      </c>
      <c r="H311">
        <v>13.59</v>
      </c>
      <c r="I311">
        <v>14.21</v>
      </c>
      <c r="J311">
        <v>13.06</v>
      </c>
      <c r="K311">
        <v>14.31</v>
      </c>
      <c r="L311">
        <v>17.079999999999998</v>
      </c>
      <c r="M311">
        <v>14.37</v>
      </c>
      <c r="N311">
        <v>13.55</v>
      </c>
      <c r="O311">
        <v>16.25</v>
      </c>
      <c r="P311">
        <v>13.89</v>
      </c>
      <c r="Q311">
        <v>13.77</v>
      </c>
      <c r="R311">
        <v>13.85</v>
      </c>
      <c r="S311">
        <v>14.18</v>
      </c>
      <c r="T311">
        <v>13.91</v>
      </c>
      <c r="U311">
        <v>14.74</v>
      </c>
      <c r="V311">
        <v>13.3</v>
      </c>
      <c r="W311">
        <v>15.4</v>
      </c>
      <c r="X311">
        <v>15.73</v>
      </c>
      <c r="Y311">
        <v>15.41</v>
      </c>
      <c r="Z311">
        <v>11.75</v>
      </c>
      <c r="AA311">
        <v>14.88</v>
      </c>
      <c r="AB311">
        <v>18.52</v>
      </c>
      <c r="AC311">
        <v>15.03</v>
      </c>
      <c r="AD311">
        <v>13.09</v>
      </c>
    </row>
    <row r="312" spans="1:30">
      <c r="A312" t="s">
        <v>461</v>
      </c>
      <c r="B312" t="s">
        <v>478</v>
      </c>
      <c r="C312" t="s">
        <v>453</v>
      </c>
      <c r="D312" t="s">
        <v>467</v>
      </c>
      <c r="E312" t="s">
        <v>461</v>
      </c>
      <c r="F312" t="s">
        <v>461</v>
      </c>
      <c r="G312">
        <v>15.14</v>
      </c>
      <c r="H312">
        <v>12.48</v>
      </c>
      <c r="I312">
        <v>11.39</v>
      </c>
      <c r="J312">
        <v>15.71</v>
      </c>
      <c r="K312">
        <v>16.13</v>
      </c>
      <c r="L312">
        <v>13.03</v>
      </c>
      <c r="M312">
        <v>11.26</v>
      </c>
      <c r="N312">
        <v>16.559999999999999</v>
      </c>
      <c r="O312">
        <v>7.7</v>
      </c>
      <c r="P312">
        <v>11.69</v>
      </c>
      <c r="Q312">
        <v>18.489999999999998</v>
      </c>
      <c r="R312">
        <v>14.04</v>
      </c>
      <c r="S312">
        <v>10.119999999999999</v>
      </c>
      <c r="T312">
        <v>11.14</v>
      </c>
      <c r="U312">
        <v>12.54</v>
      </c>
      <c r="V312">
        <v>13.89</v>
      </c>
      <c r="W312">
        <v>8.11</v>
      </c>
      <c r="X312">
        <v>12.48</v>
      </c>
      <c r="Y312" s="408">
        <v>12.94</v>
      </c>
    </row>
    <row r="313" spans="1:30">
      <c r="A313" t="s">
        <v>461</v>
      </c>
      <c r="B313" t="s">
        <v>481</v>
      </c>
      <c r="C313" t="s">
        <v>453</v>
      </c>
      <c r="D313" t="s">
        <v>468</v>
      </c>
      <c r="E313" t="s">
        <v>461</v>
      </c>
      <c r="F313" t="s">
        <v>461</v>
      </c>
      <c r="G313">
        <v>19.09</v>
      </c>
      <c r="H313">
        <v>16.16</v>
      </c>
      <c r="I313">
        <v>16.89</v>
      </c>
      <c r="J313">
        <v>18.79</v>
      </c>
    </row>
    <row r="314" spans="1:30">
      <c r="A314" t="s">
        <v>461</v>
      </c>
      <c r="B314" t="s">
        <v>480</v>
      </c>
      <c r="C314" t="s">
        <v>453</v>
      </c>
      <c r="D314" t="s">
        <v>455</v>
      </c>
      <c r="E314" t="s">
        <v>461</v>
      </c>
      <c r="F314" t="s">
        <v>461</v>
      </c>
      <c r="G314">
        <v>14.33</v>
      </c>
      <c r="H314">
        <v>13.27</v>
      </c>
      <c r="I314">
        <v>19.12</v>
      </c>
      <c r="J314">
        <v>12.01</v>
      </c>
      <c r="K314">
        <v>15.4</v>
      </c>
      <c r="L314">
        <v>13.99</v>
      </c>
      <c r="M314">
        <v>15.13</v>
      </c>
      <c r="N314">
        <v>12.72</v>
      </c>
      <c r="O314">
        <v>14.92</v>
      </c>
      <c r="P314">
        <v>14.18</v>
      </c>
      <c r="Q314">
        <v>16.61</v>
      </c>
      <c r="R314">
        <v>12.75</v>
      </c>
      <c r="S314">
        <v>18.38</v>
      </c>
      <c r="T314">
        <v>13.96</v>
      </c>
      <c r="U314">
        <v>17.510000000000002</v>
      </c>
      <c r="V314">
        <v>14.76</v>
      </c>
      <c r="W314">
        <v>14.95</v>
      </c>
      <c r="X314">
        <v>14.34</v>
      </c>
      <c r="Y314">
        <v>15.77</v>
      </c>
      <c r="Z314">
        <v>15.17</v>
      </c>
      <c r="AA314">
        <v>16.829999999999998</v>
      </c>
      <c r="AB314">
        <v>18.22</v>
      </c>
      <c r="AC314">
        <v>14.9</v>
      </c>
      <c r="AD314">
        <v>13.19</v>
      </c>
    </row>
    <row r="315" spans="1:30">
      <c r="A315" t="s">
        <v>461</v>
      </c>
      <c r="B315" t="s">
        <v>480</v>
      </c>
      <c r="C315" t="s">
        <v>453</v>
      </c>
      <c r="D315" t="s">
        <v>455</v>
      </c>
      <c r="E315" t="s">
        <v>461</v>
      </c>
      <c r="F315" t="s">
        <v>461</v>
      </c>
      <c r="G315">
        <v>18.79</v>
      </c>
      <c r="H315">
        <v>17.59</v>
      </c>
      <c r="I315">
        <v>19.2</v>
      </c>
      <c r="J315">
        <v>15.52</v>
      </c>
      <c r="K315">
        <v>12.2</v>
      </c>
      <c r="L315">
        <v>16.2</v>
      </c>
      <c r="M315">
        <v>16.73</v>
      </c>
      <c r="N315">
        <v>14.69</v>
      </c>
      <c r="O315">
        <v>10.68</v>
      </c>
      <c r="P315">
        <v>16.41</v>
      </c>
      <c r="Q315">
        <v>15.89</v>
      </c>
      <c r="R315">
        <v>12.97</v>
      </c>
      <c r="S315">
        <v>12.97</v>
      </c>
      <c r="T315">
        <v>15.21</v>
      </c>
      <c r="U315">
        <v>14.64</v>
      </c>
      <c r="V315">
        <v>19.66</v>
      </c>
      <c r="W315">
        <v>16.45</v>
      </c>
      <c r="X315">
        <v>18.09</v>
      </c>
      <c r="Y315">
        <v>12.23</v>
      </c>
      <c r="Z315">
        <v>13.68</v>
      </c>
    </row>
    <row r="316" spans="1:30">
      <c r="A316" t="s">
        <v>461</v>
      </c>
      <c r="B316" t="s">
        <v>480</v>
      </c>
      <c r="C316" t="s">
        <v>453</v>
      </c>
      <c r="D316" t="s">
        <v>455</v>
      </c>
      <c r="E316" t="s">
        <v>461</v>
      </c>
      <c r="F316" t="s">
        <v>461</v>
      </c>
      <c r="G316">
        <v>11.98</v>
      </c>
      <c r="H316">
        <v>5.77</v>
      </c>
      <c r="I316">
        <v>15.83</v>
      </c>
      <c r="J316">
        <v>13.26</v>
      </c>
      <c r="K316">
        <v>13.46</v>
      </c>
      <c r="L316">
        <v>11.42</v>
      </c>
      <c r="M316">
        <v>11.95</v>
      </c>
      <c r="N316">
        <v>12.03</v>
      </c>
      <c r="O316">
        <v>13.77</v>
      </c>
      <c r="P316">
        <v>11.74</v>
      </c>
      <c r="Q316">
        <v>12.6</v>
      </c>
      <c r="R316">
        <v>13.62</v>
      </c>
      <c r="S316">
        <v>9.3000000000000007</v>
      </c>
      <c r="T316">
        <v>5.75</v>
      </c>
      <c r="U316">
        <v>13.79</v>
      </c>
      <c r="V316">
        <v>11.57</v>
      </c>
      <c r="W316">
        <v>6.74</v>
      </c>
      <c r="X316">
        <v>9.9600000000000009</v>
      </c>
      <c r="Y316">
        <v>6.09</v>
      </c>
      <c r="Z316">
        <v>8.99</v>
      </c>
    </row>
    <row r="317" spans="1:30">
      <c r="A317" t="s">
        <v>461</v>
      </c>
      <c r="B317" t="s">
        <v>480</v>
      </c>
      <c r="C317" t="s">
        <v>453</v>
      </c>
      <c r="D317" t="s">
        <v>455</v>
      </c>
      <c r="E317" t="s">
        <v>461</v>
      </c>
      <c r="F317" t="s">
        <v>461</v>
      </c>
      <c r="G317">
        <v>10.73</v>
      </c>
      <c r="H317">
        <v>10.8</v>
      </c>
      <c r="I317">
        <v>11.54</v>
      </c>
      <c r="J317">
        <v>6.11</v>
      </c>
      <c r="K317">
        <v>10.77</v>
      </c>
      <c r="L317">
        <v>12.98</v>
      </c>
      <c r="M317">
        <v>10.57</v>
      </c>
      <c r="N317">
        <v>9.26</v>
      </c>
      <c r="O317">
        <v>13.8</v>
      </c>
      <c r="P317">
        <v>9.9700000000000006</v>
      </c>
      <c r="Q317">
        <v>11.45</v>
      </c>
      <c r="R317">
        <v>14.57</v>
      </c>
      <c r="S317">
        <v>11.39</v>
      </c>
      <c r="T317">
        <v>10.73</v>
      </c>
      <c r="U317">
        <v>10.95</v>
      </c>
      <c r="V317">
        <v>10.65</v>
      </c>
      <c r="W317">
        <v>9.48</v>
      </c>
      <c r="X317">
        <v>12.09</v>
      </c>
      <c r="Y317">
        <v>12.15</v>
      </c>
      <c r="Z317">
        <v>8.98</v>
      </c>
    </row>
    <row r="318" spans="1:30">
      <c r="A318" t="s">
        <v>461</v>
      </c>
      <c r="B318" t="s">
        <v>480</v>
      </c>
      <c r="C318" t="s">
        <v>453</v>
      </c>
      <c r="D318" t="s">
        <v>455</v>
      </c>
      <c r="E318" t="s">
        <v>461</v>
      </c>
      <c r="F318" t="s">
        <v>461</v>
      </c>
      <c r="G318">
        <v>10.38</v>
      </c>
      <c r="H318">
        <v>12.17</v>
      </c>
      <c r="I318">
        <v>9</v>
      </c>
      <c r="J318">
        <v>10.71</v>
      </c>
      <c r="K318">
        <v>8.76</v>
      </c>
      <c r="L318">
        <v>11.57</v>
      </c>
      <c r="M318">
        <v>9.91</v>
      </c>
      <c r="N318">
        <v>10.53</v>
      </c>
      <c r="O318">
        <v>8.86</v>
      </c>
      <c r="P318">
        <v>9.2200000000000006</v>
      </c>
      <c r="Q318">
        <v>9.59</v>
      </c>
      <c r="R318">
        <v>7.86</v>
      </c>
      <c r="S318">
        <v>10.71</v>
      </c>
      <c r="T318">
        <v>12.37</v>
      </c>
      <c r="U318">
        <v>9.8699999999999992</v>
      </c>
      <c r="V318">
        <v>9.6199999999999992</v>
      </c>
      <c r="W318">
        <v>9.64</v>
      </c>
      <c r="X318">
        <v>10.27</v>
      </c>
      <c r="Y318">
        <v>11.04</v>
      </c>
      <c r="Z318">
        <v>10.48</v>
      </c>
    </row>
    <row r="319" spans="1:30">
      <c r="A319" t="s">
        <v>461</v>
      </c>
      <c r="B319" t="s">
        <v>480</v>
      </c>
      <c r="C319" t="s">
        <v>453</v>
      </c>
      <c r="D319" t="s">
        <v>455</v>
      </c>
      <c r="E319" t="s">
        <v>461</v>
      </c>
      <c r="F319" t="s">
        <v>461</v>
      </c>
      <c r="G319">
        <v>8.7799999999999994</v>
      </c>
      <c r="H319">
        <v>9.83</v>
      </c>
      <c r="I319">
        <v>9.7899999999999991</v>
      </c>
      <c r="J319">
        <v>10</v>
      </c>
      <c r="K319">
        <v>9.65</v>
      </c>
      <c r="L319">
        <v>8.57</v>
      </c>
      <c r="M319">
        <v>8.2200000000000006</v>
      </c>
      <c r="N319">
        <v>7.41</v>
      </c>
      <c r="O319">
        <v>10.11</v>
      </c>
      <c r="P319">
        <v>11.06</v>
      </c>
      <c r="Q319">
        <v>8.39</v>
      </c>
      <c r="R319">
        <v>9.14</v>
      </c>
      <c r="S319">
        <v>9</v>
      </c>
      <c r="T319">
        <v>8.7899999999999991</v>
      </c>
      <c r="U319">
        <v>9.64</v>
      </c>
      <c r="V319">
        <v>7.78</v>
      </c>
      <c r="W319">
        <v>9.57</v>
      </c>
      <c r="X319">
        <v>9</v>
      </c>
      <c r="Y319">
        <v>8.3699999999999992</v>
      </c>
      <c r="Z319">
        <v>9.1300000000000008</v>
      </c>
    </row>
    <row r="320" spans="1:30">
      <c r="A320" t="s">
        <v>461</v>
      </c>
      <c r="B320" t="s">
        <v>480</v>
      </c>
      <c r="C320" t="s">
        <v>453</v>
      </c>
      <c r="D320" t="s">
        <v>455</v>
      </c>
      <c r="E320" t="s">
        <v>461</v>
      </c>
      <c r="F320" t="s">
        <v>461</v>
      </c>
      <c r="G320">
        <v>11.65</v>
      </c>
      <c r="H320">
        <v>11.74</v>
      </c>
      <c r="I320">
        <v>9.8699999999999992</v>
      </c>
      <c r="J320">
        <v>9.18</v>
      </c>
      <c r="K320">
        <v>7.39</v>
      </c>
      <c r="L320">
        <v>6.72</v>
      </c>
      <c r="M320">
        <v>9.77</v>
      </c>
      <c r="N320">
        <v>10.67</v>
      </c>
      <c r="O320">
        <v>9.1199999999999992</v>
      </c>
      <c r="P320">
        <v>10.72</v>
      </c>
      <c r="Q320">
        <v>9.99</v>
      </c>
      <c r="R320">
        <v>9.31</v>
      </c>
      <c r="S320">
        <v>8.25</v>
      </c>
      <c r="T320">
        <v>9.86</v>
      </c>
      <c r="U320">
        <v>9.1300000000000008</v>
      </c>
      <c r="V320">
        <v>8.99</v>
      </c>
      <c r="W320">
        <v>8.1999999999999993</v>
      </c>
      <c r="X320">
        <v>8.2799999999999994</v>
      </c>
      <c r="Y320">
        <v>7.75</v>
      </c>
      <c r="Z320">
        <v>7.39</v>
      </c>
    </row>
    <row r="321" spans="1:26">
      <c r="A321" t="s">
        <v>461</v>
      </c>
      <c r="B321" t="s">
        <v>480</v>
      </c>
      <c r="C321" t="s">
        <v>453</v>
      </c>
      <c r="D321" t="s">
        <v>455</v>
      </c>
      <c r="E321" t="s">
        <v>461</v>
      </c>
      <c r="F321" t="s">
        <v>461</v>
      </c>
      <c r="G321">
        <v>8.42</v>
      </c>
      <c r="H321">
        <v>7.49</v>
      </c>
      <c r="I321">
        <v>8.25</v>
      </c>
      <c r="J321">
        <v>7.82</v>
      </c>
      <c r="K321">
        <v>6.52</v>
      </c>
      <c r="L321">
        <v>6.49</v>
      </c>
      <c r="M321">
        <v>6.88</v>
      </c>
      <c r="N321">
        <v>8.5399999999999991</v>
      </c>
      <c r="O321">
        <v>6.07</v>
      </c>
      <c r="P321">
        <v>5.26</v>
      </c>
      <c r="Q321">
        <v>5.1100000000000003</v>
      </c>
      <c r="R321">
        <v>8.7200000000000006</v>
      </c>
      <c r="S321">
        <v>8.5500000000000007</v>
      </c>
      <c r="T321">
        <v>7.08</v>
      </c>
      <c r="U321">
        <v>9.0399999999999991</v>
      </c>
      <c r="V321">
        <v>7.53</v>
      </c>
      <c r="W321">
        <v>6.41</v>
      </c>
      <c r="X321">
        <v>7.13</v>
      </c>
      <c r="Y321">
        <v>8.7100000000000009</v>
      </c>
      <c r="Z321">
        <v>9.64</v>
      </c>
    </row>
    <row r="322" spans="1:26">
      <c r="A322" t="s">
        <v>461</v>
      </c>
      <c r="B322" t="s">
        <v>480</v>
      </c>
      <c r="C322" t="s">
        <v>453</v>
      </c>
      <c r="D322" t="s">
        <v>455</v>
      </c>
      <c r="E322" t="s">
        <v>461</v>
      </c>
      <c r="F322" t="s">
        <v>461</v>
      </c>
      <c r="G322">
        <v>8.4700000000000006</v>
      </c>
      <c r="H322">
        <v>6.41</v>
      </c>
      <c r="I322">
        <v>6.6</v>
      </c>
      <c r="J322">
        <v>7.49</v>
      </c>
      <c r="K322">
        <v>8.9</v>
      </c>
      <c r="L322">
        <v>8.31</v>
      </c>
      <c r="M322">
        <v>8.35</v>
      </c>
      <c r="N322">
        <v>8.65</v>
      </c>
      <c r="O322">
        <v>8.1</v>
      </c>
      <c r="P322">
        <v>6.33</v>
      </c>
      <c r="Q322">
        <v>9.0399999999999991</v>
      </c>
      <c r="R322">
        <v>7.73</v>
      </c>
      <c r="S322">
        <v>6.66</v>
      </c>
      <c r="T322">
        <v>5.87</v>
      </c>
      <c r="U322">
        <v>8.39</v>
      </c>
      <c r="V322">
        <v>7.45</v>
      </c>
      <c r="W322">
        <v>7.85</v>
      </c>
      <c r="X322">
        <v>6.82</v>
      </c>
      <c r="Y322">
        <v>4.78</v>
      </c>
      <c r="Z322">
        <v>6.7</v>
      </c>
    </row>
    <row r="323" spans="1:26">
      <c r="A323" t="s">
        <v>461</v>
      </c>
      <c r="B323" t="s">
        <v>480</v>
      </c>
      <c r="C323" t="s">
        <v>453</v>
      </c>
      <c r="D323" t="s">
        <v>455</v>
      </c>
      <c r="E323" t="s">
        <v>461</v>
      </c>
      <c r="F323" t="s">
        <v>461</v>
      </c>
      <c r="G323">
        <v>6.32</v>
      </c>
      <c r="H323">
        <v>6.56</v>
      </c>
      <c r="I323">
        <v>7.45</v>
      </c>
      <c r="J323">
        <v>11.43</v>
      </c>
      <c r="K323">
        <v>8.1199999999999992</v>
      </c>
      <c r="L323">
        <v>7.22</v>
      </c>
      <c r="M323">
        <v>7.32</v>
      </c>
      <c r="N323">
        <v>7.47</v>
      </c>
      <c r="O323">
        <v>5.64</v>
      </c>
      <c r="P323">
        <v>5.9</v>
      </c>
    </row>
  </sheetData>
  <sortState ref="B2:B17">
    <sortCondition ref="B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Collection</vt:lpstr>
      <vt:lpstr>Bucket Counts</vt:lpstr>
      <vt:lpstr>Total Larvae to Date</vt:lpstr>
      <vt:lpstr>Date Chart</vt:lpstr>
      <vt:lpstr>Algae Counts</vt:lpstr>
      <vt:lpstr>Resources</vt:lpstr>
      <vt:lpstr>Larval Trial</vt:lpstr>
      <vt:lpstr>Outside Tank Temps</vt:lpstr>
      <vt:lpstr>Spawn Plots</vt:lpstr>
      <vt:lpstr>Stocking</vt:lpstr>
      <vt:lpstr>Survival Chart</vt:lpstr>
      <vt:lpstr>Bucket Densities</vt:lpstr>
      <vt:lpstr>9-month Size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2017-05-24T04:00:27Z</dcterms:created>
  <dcterms:modified xsi:type="dcterms:W3CDTF">2018-06-03T07:55:51Z</dcterms:modified>
</cp:coreProperties>
</file>